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eschu\Documents\github\MaterialExergyPaper2025\data\"/>
    </mc:Choice>
  </mc:AlternateContent>
  <xr:revisionPtr revIDLastSave="0" documentId="13_ncr:1_{29E3C42C-DF12-4CDB-930D-93ACEC20C764}" xr6:coauthVersionLast="47" xr6:coauthVersionMax="47" xr10:uidLastSave="{00000000-0000-0000-0000-000000000000}"/>
  <bookViews>
    <workbookView xWindow="-108" yWindow="-108" windowWidth="23256" windowHeight="13176" firstSheet="8" activeTab="15" xr2:uid="{00000000-000D-0000-FFFF-FFFF00000000}"/>
  </bookViews>
  <sheets>
    <sheet name="Constants" sheetId="3" r:id="rId1"/>
    <sheet name="Calculators" sheetId="11" r:id="rId2"/>
    <sheet name="Energy X" sheetId="17" r:id="rId3"/>
    <sheet name="MCC_B_RUVY_matrices_mat_level" sheetId="20" r:id="rId4"/>
    <sheet name="MCC_M_RUVY_matrices_mat_level" sheetId="15" r:id="rId5"/>
    <sheet name="MCC_h_RUVY_matrices_mat_level" sheetId="22" r:id="rId6"/>
    <sheet name="MCC_MW_RUVY_matrices_mat_level" sheetId="23" r:id="rId7"/>
    <sheet name="MCC_hM_RUVY_matrices_mat_level " sheetId="24" r:id="rId8"/>
    <sheet name="Waste" sheetId="13" r:id="rId9"/>
    <sheet name="Tables for Paper" sheetId="14" r:id="rId10"/>
    <sheet name="Appx_exergy_account" sheetId="25" r:id="rId11"/>
    <sheet name="B" sheetId="26" r:id="rId12"/>
    <sheet name="X" sheetId="27" r:id="rId13"/>
    <sheet name="BX" sheetId="28" r:id="rId14"/>
    <sheet name="Ore_to_PI" sheetId="9" r:id="rId15"/>
    <sheet name="BXCC Q loss" sheetId="29" r:id="rId16"/>
  </sheets>
  <definedNames>
    <definedName name="Ash_in_coal">Calculators!$K$114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out_coke_oven">Calculators!$P$112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B">B!$A$140:$AK$144</definedName>
    <definedName name="R__BX">BX!$A$217:$BF$241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_X">X!$A$151:$AA$171</definedName>
    <definedName name="r_EIOU__B">B!$BF$1:$BU$37</definedName>
    <definedName name="r_EIOU__BX">BX!$CO$1:$DR$58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_EIOU__X">X!$BU$1:$DI$41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B">B!$A$1:$B$37</definedName>
    <definedName name="S_units__BX">BX!$A$1:$B$76</definedName>
    <definedName name="S_units__MCC_B_RUVY_matrices_mat_level">MCC_B_RUVY_matrices_mat_level!$B$1:$C$37</definedName>
    <definedName name="S_units__X">X!$A$1:$B$59</definedName>
    <definedName name="S_units_M" localSheetId="5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__B">B!$AN$81:$BC$117</definedName>
    <definedName name="U__BX">BX!$BI$123:$CL$180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_X">X!$AD$89:$BR$129</definedName>
    <definedName name="U_EIOU__B">B!$AN$1:$BC$37</definedName>
    <definedName name="U_EIOU__BX">BX!$BI$1:$CL$58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EIOU__X">X!$AD$1:$BR$41</definedName>
    <definedName name="U_feed__B">B!$AN$41:$BC$77</definedName>
    <definedName name="U_feed__BX">BX!$BI$62:$CL$119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U_feed__X">X!$AD$45:$BR$85</definedName>
    <definedName name="V__B">B!$A$121:$AK$136</definedName>
    <definedName name="V__BX">BX!$A$184:$BF$213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V__X">X!$A$133:$AA$147</definedName>
    <definedName name="Y__B">B!$BF$81:$BH$117</definedName>
    <definedName name="Y__BX">BX!$CO$123:$CQ$180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_X">X!$BU$89:$DI$129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8" i="29" l="1"/>
  <c r="E48" i="29"/>
  <c r="G48" i="29"/>
  <c r="H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BT63" i="9" a="1"/>
  <c r="BT63" i="9"/>
  <c r="BT48" i="9" a="1"/>
  <c r="BT48" i="9" s="1"/>
  <c r="BA52" i="9" a="1"/>
  <c r="BA52" i="9" s="1"/>
  <c r="AH70" i="9" a="1"/>
  <c r="AH70" i="9"/>
  <c r="AH52" i="9" a="1"/>
  <c r="AH52" i="9" s="1"/>
  <c r="O52" i="9" a="1"/>
  <c r="O52" i="9"/>
  <c r="O132" i="9" a="1"/>
  <c r="O132" i="9" s="1"/>
  <c r="AI149" i="9" a="1"/>
  <c r="AI149" i="9"/>
  <c r="AI132" i="9" a="1"/>
  <c r="AI132" i="9" s="1"/>
  <c r="BB132" i="9" a="1"/>
  <c r="BB132" i="9"/>
  <c r="BU132" i="9" a="1"/>
  <c r="BU132" i="9"/>
  <c r="CP145" i="9" a="1"/>
  <c r="CP145" i="9"/>
  <c r="AI234" i="9" a="1"/>
  <c r="AI234" i="9" s="1"/>
  <c r="O218" i="9" a="1"/>
  <c r="O218" i="9" s="1"/>
  <c r="AI218" i="9" a="1"/>
  <c r="AI218" i="9" s="1"/>
  <c r="BB218" i="9" a="1"/>
  <c r="BB218" i="9" s="1"/>
  <c r="EZ241" i="9" a="1"/>
  <c r="EZ241" i="9" s="1"/>
  <c r="EE241" i="9" a="1"/>
  <c r="EE241" i="9" s="1"/>
  <c r="DJ241" i="9" a="1"/>
  <c r="DJ241" i="9" s="1"/>
  <c r="CP229" i="9" a="1"/>
  <c r="CP229" i="9"/>
  <c r="CP243" i="9" a="1"/>
  <c r="CP243" i="9" s="1"/>
  <c r="CP258" i="9" a="1"/>
  <c r="CP258" i="9" s="1"/>
  <c r="CP282" i="9" a="1"/>
  <c r="CP282" i="9" s="1"/>
  <c r="BU218" i="9" a="1"/>
  <c r="BU218" i="9"/>
  <c r="FF149" i="9" a="1"/>
  <c r="FF149" i="9"/>
  <c r="EF160" i="9" a="1"/>
  <c r="EF160" i="9" s="1"/>
  <c r="EF119" i="9"/>
  <c r="EF134" i="9" a="1"/>
  <c r="EF134" i="9" s="1"/>
  <c r="DX132" i="9"/>
  <c r="H62" i="29"/>
  <c r="H59" i="29"/>
  <c r="H58" i="29"/>
  <c r="H57" i="29"/>
  <c r="H56" i="29"/>
  <c r="H55" i="29"/>
  <c r="H54" i="29"/>
  <c r="H53" i="29"/>
  <c r="H52" i="29"/>
  <c r="H51" i="29"/>
  <c r="H50" i="29"/>
  <c r="H49" i="29"/>
  <c r="G40" i="29"/>
  <c r="G39" i="29"/>
  <c r="G38" i="29"/>
  <c r="G37" i="29"/>
  <c r="G36" i="29"/>
  <c r="G35" i="29"/>
  <c r="G34" i="29"/>
  <c r="G33" i="29"/>
  <c r="G32" i="29"/>
  <c r="G31" i="29"/>
  <c r="G30" i="29"/>
  <c r="G29" i="29"/>
  <c r="G28" i="29"/>
  <c r="G27" i="29"/>
  <c r="G26" i="29"/>
  <c r="G25" i="29"/>
  <c r="G24" i="29"/>
  <c r="G23" i="29"/>
  <c r="G22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9" i="29"/>
  <c r="G8" i="29"/>
  <c r="G7" i="29"/>
  <c r="G6" i="29"/>
  <c r="I36" i="29"/>
  <c r="I27" i="29"/>
  <c r="I26" i="29"/>
  <c r="I25" i="29"/>
  <c r="I24" i="29"/>
  <c r="I17" i="29"/>
  <c r="I16" i="29"/>
  <c r="I15" i="29"/>
  <c r="I5" i="29" a="1"/>
  <c r="I40" i="29" s="1"/>
  <c r="G5" i="29"/>
  <c r="E5" i="29" a="1"/>
  <c r="C5" i="29" a="1"/>
  <c r="C20" i="29" s="1"/>
  <c r="AY64" i="9"/>
  <c r="AV64" i="9"/>
  <c r="AW64" i="9"/>
  <c r="AX64" i="9" s="1"/>
  <c r="AW141" i="9"/>
  <c r="AZ141" i="9" s="1"/>
  <c r="AX141" i="9"/>
  <c r="AY141" i="9" s="1"/>
  <c r="AD78" i="9"/>
  <c r="AE78" i="9" s="1"/>
  <c r="AD159" i="9"/>
  <c r="AE159" i="9" s="1"/>
  <c r="AW227" i="9"/>
  <c r="AZ227" i="9" s="1"/>
  <c r="AX227" i="9"/>
  <c r="AY227" i="9" s="1"/>
  <c r="BS227" i="9"/>
  <c r="BP227" i="9"/>
  <c r="BQ227" i="9"/>
  <c r="BR227" i="9" s="1"/>
  <c r="DE250" i="9"/>
  <c r="DG250" i="9"/>
  <c r="AE242" i="9"/>
  <c r="AF242" i="9" s="1"/>
  <c r="BU118" i="9"/>
  <c r="BR118" i="9"/>
  <c r="BR74" i="9"/>
  <c r="CN293" i="9"/>
  <c r="CK155" i="9"/>
  <c r="CL155" i="9"/>
  <c r="FC161" i="9"/>
  <c r="H44" i="25"/>
  <c r="G43" i="25"/>
  <c r="D43" i="25"/>
  <c r="H43" i="25" s="1"/>
  <c r="D33" i="25"/>
  <c r="G31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G104" i="14"/>
  <c r="AF104" i="14"/>
  <c r="AF103" i="14"/>
  <c r="AG103" i="14" s="1"/>
  <c r="AF102" i="14"/>
  <c r="AG102" i="14" s="1"/>
  <c r="AF101" i="14"/>
  <c r="AG101" i="14" s="1"/>
  <c r="AG100" i="14"/>
  <c r="AF100" i="14"/>
  <c r="AF99" i="14"/>
  <c r="AG99" i="14" s="1"/>
  <c r="AF98" i="14"/>
  <c r="AG98" i="14" s="1"/>
  <c r="AF97" i="14"/>
  <c r="AG97" i="14" s="1"/>
  <c r="AG96" i="14"/>
  <c r="AF96" i="14"/>
  <c r="AF95" i="14"/>
  <c r="AG95" i="14" s="1"/>
  <c r="AF94" i="14"/>
  <c r="AG94" i="14" s="1"/>
  <c r="AF93" i="14"/>
  <c r="AG93" i="14" s="1"/>
  <c r="AG92" i="14"/>
  <c r="AF92" i="14"/>
  <c r="AF91" i="14"/>
  <c r="AG91" i="14" s="1"/>
  <c r="AF90" i="14"/>
  <c r="AG90" i="14" s="1"/>
  <c r="AF89" i="14"/>
  <c r="AG89" i="14" s="1"/>
  <c r="AG88" i="14"/>
  <c r="AF88" i="14"/>
  <c r="AF87" i="14"/>
  <c r="AG87" i="14" s="1"/>
  <c r="AF86" i="14"/>
  <c r="AG86" i="14" s="1"/>
  <c r="AF85" i="14"/>
  <c r="AG85" i="14" s="1"/>
  <c r="AG84" i="14"/>
  <c r="AF84" i="14"/>
  <c r="AF83" i="14"/>
  <c r="AG83" i="14" s="1"/>
  <c r="AF82" i="14"/>
  <c r="AG82" i="14" s="1"/>
  <c r="AF81" i="14"/>
  <c r="AG81" i="14" s="1"/>
  <c r="AG80" i="14"/>
  <c r="AF80" i="14"/>
  <c r="AF79" i="14"/>
  <c r="AG79" i="14" s="1"/>
  <c r="AF78" i="14"/>
  <c r="AG78" i="14" s="1"/>
  <c r="AF77" i="14"/>
  <c r="AG77" i="14" s="1"/>
  <c r="AG76" i="14"/>
  <c r="AF76" i="14"/>
  <c r="AF75" i="14"/>
  <c r="AG75" i="14" s="1"/>
  <c r="AF74" i="14"/>
  <c r="AG74" i="14" s="1"/>
  <c r="AF73" i="14"/>
  <c r="AG73" i="14" s="1"/>
  <c r="AG72" i="14"/>
  <c r="AF72" i="14"/>
  <c r="AF71" i="14"/>
  <c r="AG71" i="14" s="1"/>
  <c r="AF70" i="14"/>
  <c r="AG70" i="14" s="1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S65" i="14"/>
  <c r="N65" i="14"/>
  <c r="U65" i="14" s="1"/>
  <c r="AF64" i="14"/>
  <c r="AG64" i="14" s="1"/>
  <c r="AA64" i="14"/>
  <c r="X64" i="14"/>
  <c r="U64" i="14"/>
  <c r="S64" i="14"/>
  <c r="N64" i="14"/>
  <c r="AF63" i="14"/>
  <c r="AG63" i="14" s="1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S61" i="14"/>
  <c r="N61" i="14"/>
  <c r="U61" i="14" s="1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F58" i="14"/>
  <c r="AG58" i="14" s="1"/>
  <c r="AA58" i="14"/>
  <c r="X58" i="14"/>
  <c r="U58" i="14"/>
  <c r="S58" i="14"/>
  <c r="N58" i="14"/>
  <c r="AF57" i="14"/>
  <c r="AG57" i="14" s="1"/>
  <c r="AA57" i="14"/>
  <c r="X57" i="14"/>
  <c r="S57" i="14"/>
  <c r="N57" i="14"/>
  <c r="U57" i="14" s="1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F54" i="14"/>
  <c r="AG54" i="14" s="1"/>
  <c r="AA54" i="14"/>
  <c r="X54" i="14"/>
  <c r="U54" i="14"/>
  <c r="S54" i="14"/>
  <c r="N54" i="14"/>
  <c r="AF53" i="14"/>
  <c r="AG53" i="14" s="1"/>
  <c r="AA53" i="14"/>
  <c r="X53" i="14"/>
  <c r="S53" i="14"/>
  <c r="N53" i="14"/>
  <c r="U53" i="14" s="1"/>
  <c r="AF52" i="14"/>
  <c r="AG52" i="14" s="1"/>
  <c r="AA52" i="14"/>
  <c r="X52" i="14"/>
  <c r="U52" i="14"/>
  <c r="S52" i="14"/>
  <c r="N52" i="14"/>
  <c r="AF51" i="14"/>
  <c r="AG51" i="14" s="1"/>
  <c r="AA51" i="14"/>
  <c r="X51" i="14"/>
  <c r="S51" i="14"/>
  <c r="N51" i="14"/>
  <c r="U51" i="14" s="1"/>
  <c r="AF50" i="14"/>
  <c r="AG50" i="14" s="1"/>
  <c r="AB50" i="14"/>
  <c r="Y50" i="14"/>
  <c r="V50" i="14"/>
  <c r="U50" i="14"/>
  <c r="T50" i="14"/>
  <c r="AF49" i="14"/>
  <c r="AG49" i="14" s="1"/>
  <c r="AG48" i="14"/>
  <c r="AF48" i="14"/>
  <c r="AG47" i="14"/>
  <c r="AF47" i="14"/>
  <c r="AG46" i="14"/>
  <c r="AF46" i="14"/>
  <c r="AF45" i="14"/>
  <c r="AG45" i="14" s="1"/>
  <c r="AG44" i="14"/>
  <c r="AF44" i="14"/>
  <c r="AG43" i="14"/>
  <c r="AF43" i="14"/>
  <c r="AG42" i="14"/>
  <c r="AF42" i="14"/>
  <c r="AG41" i="14"/>
  <c r="AF41" i="14"/>
  <c r="AF40" i="14"/>
  <c r="AG40" i="14" s="1"/>
  <c r="AG39" i="14"/>
  <c r="AF39" i="14"/>
  <c r="AF38" i="14"/>
  <c r="AG38" i="14" s="1"/>
  <c r="AG37" i="14"/>
  <c r="AF37" i="14"/>
  <c r="AF36" i="14"/>
  <c r="AG36" i="14" s="1"/>
  <c r="AG35" i="14"/>
  <c r="AF35" i="14"/>
  <c r="AF34" i="14"/>
  <c r="AG34" i="14" s="1"/>
  <c r="AG33" i="14"/>
  <c r="AF33" i="14"/>
  <c r="E33" i="14"/>
  <c r="AG32" i="14"/>
  <c r="AF32" i="14"/>
  <c r="AF31" i="14"/>
  <c r="AG31" i="14" s="1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G24" i="14"/>
  <c r="AF24" i="14"/>
  <c r="G24" i="14"/>
  <c r="F24" i="14"/>
  <c r="E24" i="14"/>
  <c r="AF23" i="14"/>
  <c r="AG23" i="14" s="1"/>
  <c r="AG22" i="14"/>
  <c r="AF22" i="14"/>
  <c r="AF21" i="14"/>
  <c r="AG21" i="14" s="1"/>
  <c r="AG20" i="14"/>
  <c r="AF20" i="14"/>
  <c r="AF19" i="14"/>
  <c r="AG19" i="14" s="1"/>
  <c r="AG18" i="14"/>
  <c r="AF18" i="14"/>
  <c r="AG17" i="14"/>
  <c r="AF17" i="14"/>
  <c r="AF16" i="14"/>
  <c r="AG16" i="14" s="1"/>
  <c r="G16" i="14"/>
  <c r="F16" i="14"/>
  <c r="E16" i="14"/>
  <c r="AF15" i="14"/>
  <c r="AG15" i="14" s="1"/>
  <c r="AG14" i="14"/>
  <c r="AF14" i="14"/>
  <c r="AG13" i="14"/>
  <c r="AF13" i="14"/>
  <c r="AG12" i="14"/>
  <c r="AF12" i="14"/>
  <c r="AF11" i="14"/>
  <c r="AG11" i="14" s="1"/>
  <c r="AG10" i="14"/>
  <c r="AF10" i="14"/>
  <c r="AG9" i="14"/>
  <c r="AF9" i="14"/>
  <c r="AG8" i="14"/>
  <c r="AF8" i="14"/>
  <c r="AF7" i="14"/>
  <c r="AG7" i="14" s="1"/>
  <c r="G7" i="14"/>
  <c r="F7" i="14"/>
  <c r="E7" i="14"/>
  <c r="AG6" i="14"/>
  <c r="AF6" i="14"/>
  <c r="AG5" i="14"/>
  <c r="AF5" i="14"/>
  <c r="AG4" i="14"/>
  <c r="AF4" i="14"/>
  <c r="AG3" i="14"/>
  <c r="AF3" i="14"/>
  <c r="E15" i="13"/>
  <c r="N12" i="13"/>
  <c r="F8" i="13"/>
  <c r="E7" i="13"/>
  <c r="J136" i="24"/>
  <c r="J130" i="24"/>
  <c r="J121" i="24"/>
  <c r="J112" i="24"/>
  <c r="N95" i="24"/>
  <c r="N74" i="24"/>
  <c r="M74" i="24"/>
  <c r="L74" i="24"/>
  <c r="K74" i="24"/>
  <c r="J74" i="24"/>
  <c r="I74" i="24"/>
  <c r="H74" i="24"/>
  <c r="G74" i="24"/>
  <c r="F74" i="24"/>
  <c r="BI53" i="24"/>
  <c r="J137" i="24" s="1"/>
  <c r="BI52" i="24"/>
  <c r="BI51" i="24"/>
  <c r="J135" i="24" s="1"/>
  <c r="BP50" i="24"/>
  <c r="BP48" i="24"/>
  <c r="BI47" i="24"/>
  <c r="J131" i="24" s="1"/>
  <c r="BI46" i="24"/>
  <c r="BI45" i="24"/>
  <c r="J129" i="24" s="1"/>
  <c r="BP44" i="24"/>
  <c r="BP43" i="24"/>
  <c r="BI42" i="24"/>
  <c r="J126" i="24" s="1"/>
  <c r="BI41" i="24"/>
  <c r="J125" i="24" s="1"/>
  <c r="BP40" i="24"/>
  <c r="BP39" i="24"/>
  <c r="BP38" i="24"/>
  <c r="BI37" i="24"/>
  <c r="BP36" i="24"/>
  <c r="BP35" i="24"/>
  <c r="BP34" i="24"/>
  <c r="BP33" i="24"/>
  <c r="BI32" i="24"/>
  <c r="J116" i="24" s="1"/>
  <c r="BP31" i="24"/>
  <c r="BI30" i="24"/>
  <c r="J114" i="24" s="1"/>
  <c r="BP29" i="24"/>
  <c r="BI28" i="24"/>
  <c r="BP27" i="24"/>
  <c r="BP26" i="24"/>
  <c r="BI26" i="24"/>
  <c r="J110" i="24" s="1"/>
  <c r="BP25" i="24"/>
  <c r="BP24" i="24"/>
  <c r="BP23" i="24"/>
  <c r="BP22" i="24"/>
  <c r="BP21" i="24"/>
  <c r="BP20" i="24"/>
  <c r="BP19" i="24"/>
  <c r="BP18" i="24"/>
  <c r="J137" i="23"/>
  <c r="J132" i="23"/>
  <c r="J107" i="23"/>
  <c r="J106" i="23"/>
  <c r="J103" i="23"/>
  <c r="N94" i="23"/>
  <c r="M94" i="23"/>
  <c r="L94" i="23"/>
  <c r="K94" i="23"/>
  <c r="J94" i="23"/>
  <c r="I94" i="23"/>
  <c r="G94" i="23"/>
  <c r="AO73" i="23"/>
  <c r="AN73" i="23"/>
  <c r="AM73" i="23"/>
  <c r="AL73" i="23"/>
  <c r="AK73" i="23"/>
  <c r="AJ73" i="23"/>
  <c r="AI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6" i="23"/>
  <c r="AP65" i="23"/>
  <c r="AP64" i="23"/>
  <c r="AP63" i="23"/>
  <c r="AP62" i="23"/>
  <c r="AP61" i="23"/>
  <c r="AP60" i="23"/>
  <c r="AP59" i="23"/>
  <c r="AP58" i="23"/>
  <c r="AP57" i="23"/>
  <c r="BG55" i="23"/>
  <c r="BF55" i="23"/>
  <c r="BE55" i="23"/>
  <c r="BC55" i="23"/>
  <c r="BB55" i="23"/>
  <c r="BA55" i="23"/>
  <c r="AZ55" i="23"/>
  <c r="AY55" i="23"/>
  <c r="AX55" i="23"/>
  <c r="AW55" i="23"/>
  <c r="AU55" i="23"/>
  <c r="AT55" i="23"/>
  <c r="BP53" i="23"/>
  <c r="BI53" i="23"/>
  <c r="BP52" i="23"/>
  <c r="BI52" i="23"/>
  <c r="J136" i="23" s="1"/>
  <c r="BP51" i="23"/>
  <c r="BI51" i="23"/>
  <c r="J135" i="23" s="1"/>
  <c r="BP50" i="23"/>
  <c r="BP49" i="23"/>
  <c r="BI49" i="23"/>
  <c r="J133" i="23" s="1"/>
  <c r="BP48" i="23"/>
  <c r="BI48" i="23"/>
  <c r="BP47" i="23"/>
  <c r="BI47" i="23"/>
  <c r="J131" i="23" s="1"/>
  <c r="BI46" i="23"/>
  <c r="J130" i="23" s="1"/>
  <c r="BP45" i="23"/>
  <c r="BI45" i="23"/>
  <c r="J129" i="23" s="1"/>
  <c r="BP44" i="23"/>
  <c r="BI44" i="23"/>
  <c r="J128" i="23" s="1"/>
  <c r="BP43" i="23"/>
  <c r="BI43" i="23"/>
  <c r="J127" i="23" s="1"/>
  <c r="BP42" i="23"/>
  <c r="BI42" i="23"/>
  <c r="J126" i="23" s="1"/>
  <c r="BP41" i="23"/>
  <c r="BI41" i="23"/>
  <c r="J125" i="23" s="1"/>
  <c r="BP40" i="23"/>
  <c r="BI40" i="23"/>
  <c r="J124" i="23" s="1"/>
  <c r="BP39" i="23"/>
  <c r="BP38" i="23"/>
  <c r="BI38" i="23"/>
  <c r="J122" i="23" s="1"/>
  <c r="BP37" i="23"/>
  <c r="BI37" i="23"/>
  <c r="J121" i="23" s="1"/>
  <c r="BP36" i="23"/>
  <c r="BI36" i="23"/>
  <c r="J120" i="23" s="1"/>
  <c r="BP35" i="23"/>
  <c r="BI35" i="23"/>
  <c r="J119" i="23" s="1"/>
  <c r="BP34" i="23"/>
  <c r="BI34" i="23"/>
  <c r="J118" i="23" s="1"/>
  <c r="BP33" i="23"/>
  <c r="BI33" i="23"/>
  <c r="J117" i="23" s="1"/>
  <c r="BP32" i="23"/>
  <c r="BI32" i="23"/>
  <c r="J116" i="23" s="1"/>
  <c r="BP31" i="23"/>
  <c r="BI31" i="23"/>
  <c r="J115" i="23" s="1"/>
  <c r="BP30" i="23"/>
  <c r="BI30" i="23"/>
  <c r="J114" i="23" s="1"/>
  <c r="BP29" i="23"/>
  <c r="BI29" i="23"/>
  <c r="J113" i="23" s="1"/>
  <c r="BP28" i="23"/>
  <c r="BI28" i="23"/>
  <c r="J112" i="23" s="1"/>
  <c r="BP27" i="23"/>
  <c r="BI27" i="23"/>
  <c r="J111" i="23" s="1"/>
  <c r="BP26" i="23"/>
  <c r="BI26" i="23"/>
  <c r="J110" i="23" s="1"/>
  <c r="BP25" i="23"/>
  <c r="BI25" i="23"/>
  <c r="J109" i="23" s="1"/>
  <c r="BP24" i="23"/>
  <c r="BI24" i="23"/>
  <c r="J108" i="23" s="1"/>
  <c r="BP23" i="23"/>
  <c r="BI23" i="23"/>
  <c r="BP22" i="23"/>
  <c r="BI22" i="23"/>
  <c r="BP21" i="23"/>
  <c r="BP20" i="23"/>
  <c r="BP19" i="23"/>
  <c r="BI19" i="23"/>
  <c r="BP18" i="23"/>
  <c r="BI18" i="23"/>
  <c r="J102" i="23" s="1"/>
  <c r="G193" i="22"/>
  <c r="G184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G156" i="22"/>
  <c r="G162" i="22" s="1"/>
  <c r="K139" i="22"/>
  <c r="J139" i="22"/>
  <c r="I139" i="22"/>
  <c r="H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N113" i="22"/>
  <c r="BG112" i="22"/>
  <c r="G199" i="22" s="1"/>
  <c r="BG111" i="22"/>
  <c r="G198" i="22" s="1"/>
  <c r="BG110" i="22"/>
  <c r="BN109" i="22"/>
  <c r="BN108" i="22"/>
  <c r="BG107" i="22"/>
  <c r="G194" i="22" s="1"/>
  <c r="BG106" i="22"/>
  <c r="BN105" i="22"/>
  <c r="BN104" i="22"/>
  <c r="BN103" i="22"/>
  <c r="BG102" i="22"/>
  <c r="G189" i="22" s="1"/>
  <c r="BN101" i="22"/>
  <c r="BN100" i="22"/>
  <c r="BN99" i="22"/>
  <c r="BN98" i="22"/>
  <c r="BG97" i="22"/>
  <c r="BN96" i="22"/>
  <c r="BG95" i="22"/>
  <c r="G182" i="22" s="1"/>
  <c r="BN94" i="22"/>
  <c r="BG93" i="22"/>
  <c r="G180" i="22" s="1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6" i="15"/>
  <c r="G200" i="15"/>
  <c r="G199" i="15"/>
  <c r="G198" i="15"/>
  <c r="G194" i="15"/>
  <c r="G181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BG117" i="15"/>
  <c r="G205" i="15" s="1"/>
  <c r="BG116" i="15"/>
  <c r="G204" i="15" s="1"/>
  <c r="BN115" i="15"/>
  <c r="BN113" i="15"/>
  <c r="BG112" i="15"/>
  <c r="BG111" i="15"/>
  <c r="BG110" i="15"/>
  <c r="BN109" i="15"/>
  <c r="BN108" i="15"/>
  <c r="BG107" i="15"/>
  <c r="G195" i="15" s="1"/>
  <c r="BG106" i="15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G183" i="15" s="1"/>
  <c r="BN94" i="15"/>
  <c r="BG93" i="15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3" i="20"/>
  <c r="J202" i="20"/>
  <c r="J201" i="20"/>
  <c r="J197" i="20"/>
  <c r="J188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BJ115" i="20"/>
  <c r="BJ114" i="20"/>
  <c r="BQ113" i="20"/>
  <c r="BQ112" i="20"/>
  <c r="BJ111" i="20"/>
  <c r="J198" i="20" s="1"/>
  <c r="BJ110" i="20"/>
  <c r="BQ109" i="20"/>
  <c r="BQ108" i="20"/>
  <c r="BQ107" i="20"/>
  <c r="BJ106" i="20"/>
  <c r="J193" i="20" s="1"/>
  <c r="BQ105" i="20"/>
  <c r="BQ104" i="20"/>
  <c r="BQ103" i="20"/>
  <c r="BQ102" i="20"/>
  <c r="BJ101" i="20"/>
  <c r="BQ100" i="20"/>
  <c r="BJ99" i="20"/>
  <c r="J186" i="20" s="1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CP281" i="9"/>
  <c r="CQ280" i="9"/>
  <c r="CP280" i="9"/>
  <c r="CQ279" i="9"/>
  <c r="CP279" i="9"/>
  <c r="CP278" i="9"/>
  <c r="CP277" i="9"/>
  <c r="CM277" i="9"/>
  <c r="CP276" i="9"/>
  <c r="CN276" i="9"/>
  <c r="CM276" i="9"/>
  <c r="CP275" i="9"/>
  <c r="CM275" i="9"/>
  <c r="CQ274" i="9"/>
  <c r="CP274" i="9"/>
  <c r="CM274" i="9"/>
  <c r="CP273" i="9"/>
  <c r="CM273" i="9"/>
  <c r="CP272" i="9"/>
  <c r="CM272" i="9"/>
  <c r="CP271" i="9"/>
  <c r="CM271" i="9"/>
  <c r="CQ257" i="9"/>
  <c r="CP257" i="9"/>
  <c r="CP256" i="9"/>
  <c r="CN256" i="9"/>
  <c r="CQ255" i="9"/>
  <c r="CP255" i="9"/>
  <c r="BU248" i="9"/>
  <c r="BU249" i="9" s="1"/>
  <c r="BB87" i="22" s="1"/>
  <c r="BB46" i="22" s="1"/>
  <c r="CP242" i="9"/>
  <c r="CQ241" i="9"/>
  <c r="CP241" i="9"/>
  <c r="O241" i="9"/>
  <c r="EZ240" i="9"/>
  <c r="EX240" i="9"/>
  <c r="EE240" i="9"/>
  <c r="EC240" i="9"/>
  <c r="DJ240" i="9"/>
  <c r="CQ240" i="9"/>
  <c r="CP240" i="9"/>
  <c r="O240" i="9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BU238" i="9" s="1"/>
  <c r="BB86" i="22" s="1"/>
  <c r="BB45" i="22" s="1"/>
  <c r="AI233" i="9"/>
  <c r="AJ232" i="9"/>
  <c r="AI232" i="9"/>
  <c r="AI231" i="9"/>
  <c r="CZ229" i="9"/>
  <c r="E229" i="9"/>
  <c r="CQ228" i="9"/>
  <c r="CP228" i="9"/>
  <c r="E228" i="9"/>
  <c r="CP227" i="9"/>
  <c r="E227" i="9"/>
  <c r="CP226" i="9"/>
  <c r="E226" i="9"/>
  <c r="CP225" i="9"/>
  <c r="CP224" i="9"/>
  <c r="CP223" i="9"/>
  <c r="CQ222" i="9"/>
  <c r="CP222" i="9"/>
  <c r="BU217" i="9"/>
  <c r="BB217" i="9"/>
  <c r="AI217" i="9"/>
  <c r="AG217" i="9"/>
  <c r="O217" i="9"/>
  <c r="M217" i="9"/>
  <c r="BU216" i="9"/>
  <c r="BB216" i="9"/>
  <c r="AZ216" i="9"/>
  <c r="AI216" i="9"/>
  <c r="O216" i="9"/>
  <c r="M216" i="9"/>
  <c r="BU215" i="9"/>
  <c r="BB215" i="9"/>
  <c r="AZ215" i="9"/>
  <c r="AI215" i="9"/>
  <c r="O215" i="9"/>
  <c r="BU214" i="9"/>
  <c r="BB214" i="9"/>
  <c r="AI214" i="9"/>
  <c r="O214" i="9"/>
  <c r="BU213" i="9"/>
  <c r="BC213" i="9"/>
  <c r="BB213" i="9"/>
  <c r="AI213" i="9"/>
  <c r="O213" i="9"/>
  <c r="BU212" i="9"/>
  <c r="BB212" i="9"/>
  <c r="AI212" i="9"/>
  <c r="AG212" i="9"/>
  <c r="O212" i="9"/>
  <c r="BV211" i="9"/>
  <c r="BU211" i="9"/>
  <c r="BC211" i="9"/>
  <c r="BB211" i="9"/>
  <c r="AJ211" i="9"/>
  <c r="AI211" i="9"/>
  <c r="AG211" i="9"/>
  <c r="O211" i="9"/>
  <c r="BI195" i="9"/>
  <c r="BJ194" i="9"/>
  <c r="Z194" i="9"/>
  <c r="BJ193" i="9"/>
  <c r="Z193" i="9"/>
  <c r="BJ192" i="9"/>
  <c r="Z192" i="9"/>
  <c r="BJ191" i="9"/>
  <c r="Z191" i="9"/>
  <c r="BJ190" i="9"/>
  <c r="Z190" i="9"/>
  <c r="Z189" i="9"/>
  <c r="Z188" i="9"/>
  <c r="Z187" i="9"/>
  <c r="Z186" i="9"/>
  <c r="Z185" i="9"/>
  <c r="P168" i="9"/>
  <c r="O168" i="9"/>
  <c r="O167" i="9"/>
  <c r="EF159" i="9"/>
  <c r="EF158" i="9"/>
  <c r="EF157" i="9"/>
  <c r="BU157" i="9"/>
  <c r="BA87" i="22" s="1"/>
  <c r="E157" i="9"/>
  <c r="EG156" i="9"/>
  <c r="EF156" i="9"/>
  <c r="BU156" i="9"/>
  <c r="O156" i="9"/>
  <c r="O155" i="9"/>
  <c r="FG148" i="9"/>
  <c r="FF148" i="9"/>
  <c r="FD148" i="9"/>
  <c r="AJ148" i="9"/>
  <c r="AI148" i="9"/>
  <c r="E148" i="9"/>
  <c r="FG147" i="9"/>
  <c r="FF147" i="9"/>
  <c r="AJ147" i="9"/>
  <c r="AI147" i="9"/>
  <c r="E147" i="9"/>
  <c r="FF146" i="9"/>
  <c r="FD146" i="9"/>
  <c r="BU146" i="9"/>
  <c r="BA86" i="22" s="1"/>
  <c r="AI146" i="9"/>
  <c r="AG146" i="9"/>
  <c r="E146" i="9"/>
  <c r="FF145" i="9"/>
  <c r="EF145" i="9"/>
  <c r="BU145" i="9"/>
  <c r="BS145" i="9"/>
  <c r="E145" i="9"/>
  <c r="EF144" i="9"/>
  <c r="ED144" i="9"/>
  <c r="CP144" i="9"/>
  <c r="BU144" i="9"/>
  <c r="D144" i="9"/>
  <c r="E144" i="9" s="1"/>
  <c r="CP143" i="9"/>
  <c r="D143" i="9"/>
  <c r="E143" i="9" s="1"/>
  <c r="CQ142" i="9"/>
  <c r="CP142" i="9"/>
  <c r="CN142" i="9"/>
  <c r="E142" i="9"/>
  <c r="E141" i="9"/>
  <c r="EF132" i="9"/>
  <c r="BS132" i="9"/>
  <c r="BR132" i="9"/>
  <c r="AY132" i="9"/>
  <c r="AF132" i="9"/>
  <c r="L132" i="9"/>
  <c r="EF131" i="9"/>
  <c r="DT131" i="9"/>
  <c r="L22" i="13" s="1"/>
  <c r="BV131" i="9"/>
  <c r="BU131" i="9"/>
  <c r="BS131" i="9"/>
  <c r="BB131" i="9"/>
  <c r="AJ131" i="9"/>
  <c r="AI131" i="9"/>
  <c r="P131" i="9"/>
  <c r="O131" i="9"/>
  <c r="FF130" i="9"/>
  <c r="FF131" i="9" s="1"/>
  <c r="AJ137" i="22" s="1"/>
  <c r="EF130" i="9"/>
  <c r="CQ130" i="9"/>
  <c r="CP130" i="9"/>
  <c r="CP131" i="9" s="1"/>
  <c r="BU130" i="9"/>
  <c r="BS130" i="9"/>
  <c r="BB130" i="9"/>
  <c r="AZ130" i="9"/>
  <c r="AQ130" i="9"/>
  <c r="M12" i="13" s="1"/>
  <c r="AI130" i="9"/>
  <c r="AG130" i="9"/>
  <c r="O130" i="9"/>
  <c r="DU120" i="9"/>
  <c r="DV120" i="9" s="1"/>
  <c r="BF87" i="22"/>
  <c r="BF46" i="22" s="1"/>
  <c r="EF118" i="9"/>
  <c r="CP118" i="9"/>
  <c r="CP119" i="9" s="1"/>
  <c r="EQ117" i="9"/>
  <c r="ER117" i="9" s="1"/>
  <c r="BI116" i="9"/>
  <c r="BJ115" i="9"/>
  <c r="BJ114" i="9"/>
  <c r="BI113" i="9"/>
  <c r="BJ113" i="9" s="1"/>
  <c r="FF109" i="9"/>
  <c r="FD108" i="9"/>
  <c r="FD109" i="9" s="1"/>
  <c r="DU107" i="9"/>
  <c r="DV107" i="9" s="1"/>
  <c r="O77" i="9"/>
  <c r="O78" i="9" s="1"/>
  <c r="AR86" i="22" s="1"/>
  <c r="M77" i="9"/>
  <c r="O76" i="9"/>
  <c r="E71" i="9"/>
  <c r="E70" i="9"/>
  <c r="AI69" i="9"/>
  <c r="AH69" i="9"/>
  <c r="E69" i="9"/>
  <c r="AI68" i="9"/>
  <c r="AH68" i="9"/>
  <c r="AF68" i="9"/>
  <c r="E68" i="9"/>
  <c r="AI67" i="9"/>
  <c r="AH67" i="9"/>
  <c r="E67" i="9"/>
  <c r="E66" i="9"/>
  <c r="D65" i="9"/>
  <c r="D72" i="9" s="1"/>
  <c r="BT62" i="9"/>
  <c r="BP62" i="9"/>
  <c r="BU61" i="9"/>
  <c r="BT61" i="9"/>
  <c r="BR61" i="9"/>
  <c r="BU60" i="9"/>
  <c r="BT60" i="9"/>
  <c r="BR60" i="9"/>
  <c r="BP60" i="9"/>
  <c r="BS60" i="9" s="1"/>
  <c r="BU59" i="9"/>
  <c r="BT59" i="9"/>
  <c r="BP59" i="9"/>
  <c r="AR59" i="9"/>
  <c r="BB51" i="9"/>
  <c r="BA51" i="9"/>
  <c r="AY51" i="9"/>
  <c r="AW51" i="9"/>
  <c r="AI51" i="9"/>
  <c r="AH51" i="9"/>
  <c r="O51" i="9"/>
  <c r="K51" i="9"/>
  <c r="BA50" i="9"/>
  <c r="AY50" i="9"/>
  <c r="AW50" i="9"/>
  <c r="AH50" i="9"/>
  <c r="AF50" i="9"/>
  <c r="AG50" i="9" s="1"/>
  <c r="P50" i="9"/>
  <c r="O50" i="9"/>
  <c r="K50" i="9"/>
  <c r="N50" i="9" s="1"/>
  <c r="BB49" i="9"/>
  <c r="BA49" i="9"/>
  <c r="AW49" i="9"/>
  <c r="AI49" i="9"/>
  <c r="AH49" i="9"/>
  <c r="P49" i="9"/>
  <c r="O49" i="9"/>
  <c r="M49" i="9"/>
  <c r="N49" i="9" s="1"/>
  <c r="K49" i="9"/>
  <c r="BA48" i="9"/>
  <c r="AY48" i="9"/>
  <c r="AZ48" i="9" s="1"/>
  <c r="AW48" i="9"/>
  <c r="AI48" i="9"/>
  <c r="AH48" i="9"/>
  <c r="P48" i="9"/>
  <c r="O48" i="9"/>
  <c r="M48" i="9"/>
  <c r="K48" i="9"/>
  <c r="BT47" i="9"/>
  <c r="BR47" i="9"/>
  <c r="BA47" i="9"/>
  <c r="AH47" i="9"/>
  <c r="O47" i="9"/>
  <c r="BT46" i="9"/>
  <c r="BB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D281" i="11"/>
  <c r="D275" i="11"/>
  <c r="D264" i="11"/>
  <c r="M259" i="11"/>
  <c r="D259" i="11"/>
  <c r="J258" i="11"/>
  <c r="G258" i="11"/>
  <c r="J252" i="11"/>
  <c r="D247" i="11"/>
  <c r="M242" i="11"/>
  <c r="J242" i="11"/>
  <c r="D242" i="11"/>
  <c r="M241" i="11"/>
  <c r="M240" i="11"/>
  <c r="G241" i="11" s="1"/>
  <c r="J240" i="11"/>
  <c r="CL236" i="11"/>
  <c r="J235" i="11"/>
  <c r="L223" i="11"/>
  <c r="BQ219" i="11"/>
  <c r="J217" i="11"/>
  <c r="D217" i="11"/>
  <c r="M216" i="11"/>
  <c r="M215" i="11"/>
  <c r="CG204" i="11"/>
  <c r="CW199" i="11"/>
  <c r="CV199" i="11"/>
  <c r="E199" i="11"/>
  <c r="O193" i="11"/>
  <c r="E193" i="11"/>
  <c r="E192" i="11"/>
  <c r="E191" i="11"/>
  <c r="E190" i="11"/>
  <c r="D190" i="11"/>
  <c r="D195" i="11" s="1"/>
  <c r="E170" i="11"/>
  <c r="E166" i="11"/>
  <c r="E163" i="11"/>
  <c r="L114" i="11"/>
  <c r="Q112" i="11"/>
  <c r="AJ109" i="11"/>
  <c r="AB108" i="11"/>
  <c r="R108" i="11"/>
  <c r="J107" i="11"/>
  <c r="G107" i="11"/>
  <c r="E101" i="11"/>
  <c r="E100" i="11"/>
  <c r="H98" i="11"/>
  <c r="G98" i="11"/>
  <c r="E91" i="11"/>
  <c r="AB90" i="11"/>
  <c r="H90" i="11"/>
  <c r="G90" i="11"/>
  <c r="E89" i="11"/>
  <c r="D89" i="11"/>
  <c r="D94" i="11" s="1"/>
  <c r="AA80" i="11"/>
  <c r="C74" i="11"/>
  <c r="D65" i="11"/>
  <c r="D64" i="11"/>
  <c r="M61" i="11"/>
  <c r="H61" i="11"/>
  <c r="Q61" i="11" s="1"/>
  <c r="M60" i="11"/>
  <c r="D60" i="11"/>
  <c r="Q59" i="11"/>
  <c r="E43" i="11"/>
  <c r="E41" i="11"/>
  <c r="E37" i="11" s="1"/>
  <c r="M38" i="11"/>
  <c r="H37" i="11"/>
  <c r="H36" i="11"/>
  <c r="E36" i="11"/>
  <c r="E32" i="11"/>
  <c r="V13" i="11" s="1"/>
  <c r="E30" i="11"/>
  <c r="E27" i="11"/>
  <c r="H26" i="11"/>
  <c r="E25" i="11"/>
  <c r="H23" i="11"/>
  <c r="H21" i="11"/>
  <c r="H20" i="11"/>
  <c r="V15" i="11"/>
  <c r="F13" i="11"/>
  <c r="D13" i="11"/>
  <c r="E13" i="11" s="1"/>
  <c r="G13" i="11" s="1"/>
  <c r="D12" i="11"/>
  <c r="E12" i="11" s="1"/>
  <c r="F49" i="3"/>
  <c r="E49" i="3"/>
  <c r="E48" i="3"/>
  <c r="E47" i="3"/>
  <c r="E46" i="3"/>
  <c r="CQ276" i="9" s="1"/>
  <c r="D46" i="3"/>
  <c r="G46" i="3" s="1"/>
  <c r="E45" i="3"/>
  <c r="CQ275" i="9" s="1"/>
  <c r="D45" i="3"/>
  <c r="E44" i="3"/>
  <c r="E43" i="3"/>
  <c r="CQ273" i="9" s="1"/>
  <c r="E42" i="3"/>
  <c r="CQ272" i="9" s="1"/>
  <c r="E41" i="3"/>
  <c r="CQ271" i="9" s="1"/>
  <c r="G40" i="3"/>
  <c r="G39" i="3"/>
  <c r="E38" i="3"/>
  <c r="D38" i="3"/>
  <c r="G37" i="3"/>
  <c r="D37" i="3"/>
  <c r="E36" i="3"/>
  <c r="D36" i="3"/>
  <c r="G36" i="3" s="1"/>
  <c r="D34" i="3"/>
  <c r="G34" i="3" s="1"/>
  <c r="E33" i="3"/>
  <c r="D33" i="3"/>
  <c r="G33" i="3" s="1"/>
  <c r="G32" i="3"/>
  <c r="E32" i="3"/>
  <c r="D32" i="3"/>
  <c r="E31" i="3"/>
  <c r="D30" i="3"/>
  <c r="G30" i="3" s="1"/>
  <c r="E29" i="3"/>
  <c r="D29" i="3"/>
  <c r="G29" i="3" s="1"/>
  <c r="E28" i="3"/>
  <c r="D28" i="3"/>
  <c r="G27" i="3"/>
  <c r="E27" i="3"/>
  <c r="D27" i="3"/>
  <c r="M50" i="9" s="1"/>
  <c r="C27" i="3"/>
  <c r="E26" i="3"/>
  <c r="D26" i="3"/>
  <c r="E25" i="3"/>
  <c r="D25" i="3"/>
  <c r="AG214" i="9" s="1"/>
  <c r="E24" i="3"/>
  <c r="D24" i="3"/>
  <c r="G23" i="3"/>
  <c r="E23" i="3"/>
  <c r="P211" i="9" s="1"/>
  <c r="D23" i="3"/>
  <c r="M211" i="9" s="1"/>
  <c r="E22" i="3"/>
  <c r="D22" i="3"/>
  <c r="G22" i="3" s="1"/>
  <c r="E21" i="3"/>
  <c r="D21" i="3"/>
  <c r="AF51" i="9" s="1"/>
  <c r="AG51" i="9" s="1"/>
  <c r="E20" i="3"/>
  <c r="D20" i="3"/>
  <c r="D49" i="3" s="1"/>
  <c r="G49" i="3" s="1"/>
  <c r="G19" i="3"/>
  <c r="E19" i="3"/>
  <c r="FG146" i="9" s="1"/>
  <c r="D19" i="3"/>
  <c r="J216" i="11" s="1"/>
  <c r="E18" i="3"/>
  <c r="D18" i="3"/>
  <c r="M168" i="9" s="1"/>
  <c r="E17" i="3"/>
  <c r="E16" i="3"/>
  <c r="D16" i="3"/>
  <c r="AZ212" i="9" s="1"/>
  <c r="E15" i="3"/>
  <c r="E14" i="3"/>
  <c r="BC216" i="9" s="1"/>
  <c r="D14" i="3"/>
  <c r="CN227" i="9" s="1"/>
  <c r="E13" i="3"/>
  <c r="D13" i="3"/>
  <c r="G13" i="3" s="1"/>
  <c r="G12" i="3"/>
  <c r="E12" i="3"/>
  <c r="BV144" i="9" s="1"/>
  <c r="D12" i="3"/>
  <c r="G11" i="3"/>
  <c r="E11" i="3"/>
  <c r="D11" i="3"/>
  <c r="E10" i="3"/>
  <c r="D10" i="3"/>
  <c r="E9" i="3"/>
  <c r="FG130" i="9" s="1"/>
  <c r="FG131" i="9" s="1"/>
  <c r="D9" i="3"/>
  <c r="E8" i="3"/>
  <c r="AJ146" i="9" s="1"/>
  <c r="D8" i="3"/>
  <c r="M59" i="11" s="1"/>
  <c r="U7" i="3"/>
  <c r="T7" i="3"/>
  <c r="S7" i="3"/>
  <c r="R7" i="3"/>
  <c r="F7" i="3"/>
  <c r="FF108" i="9" s="1"/>
  <c r="E7" i="3"/>
  <c r="FG108" i="9" s="1"/>
  <c r="D7" i="3"/>
  <c r="H43" i="11" s="1"/>
  <c r="S6" i="3"/>
  <c r="R6" i="3"/>
  <c r="H6" i="3"/>
  <c r="G6" i="3"/>
  <c r="E6" i="3"/>
  <c r="D6" i="3"/>
  <c r="S5" i="3"/>
  <c r="R5" i="3"/>
  <c r="M5" i="3"/>
  <c r="O5" i="3" s="1"/>
  <c r="E5" i="3"/>
  <c r="D5" i="3"/>
  <c r="H19" i="11" s="1"/>
  <c r="AC4" i="3"/>
  <c r="Y4" i="3"/>
  <c r="C19" i="29" l="1"/>
  <c r="I37" i="29"/>
  <c r="I12" i="29"/>
  <c r="I38" i="29"/>
  <c r="I13" i="29"/>
  <c r="I39" i="29"/>
  <c r="I14" i="29"/>
  <c r="E37" i="29"/>
  <c r="E25" i="29"/>
  <c r="E13" i="29"/>
  <c r="E36" i="29"/>
  <c r="E24" i="29"/>
  <c r="E12" i="29"/>
  <c r="E35" i="29"/>
  <c r="E23" i="29"/>
  <c r="E11" i="29"/>
  <c r="E34" i="29"/>
  <c r="E22" i="29"/>
  <c r="E10" i="29"/>
  <c r="E33" i="29"/>
  <c r="E21" i="29"/>
  <c r="E9" i="29"/>
  <c r="E32" i="29"/>
  <c r="E26" i="29"/>
  <c r="E5" i="29"/>
  <c r="E27" i="29"/>
  <c r="C38" i="29"/>
  <c r="K38" i="29" s="1"/>
  <c r="C26" i="29"/>
  <c r="K26" i="29" s="1"/>
  <c r="C14" i="29"/>
  <c r="C37" i="29"/>
  <c r="C25" i="29"/>
  <c r="C13" i="29"/>
  <c r="C36" i="29"/>
  <c r="C24" i="29"/>
  <c r="C12" i="29"/>
  <c r="C35" i="29"/>
  <c r="C23" i="29"/>
  <c r="C11" i="29"/>
  <c r="C34" i="29"/>
  <c r="C22" i="29"/>
  <c r="C10" i="29"/>
  <c r="C21" i="29"/>
  <c r="E6" i="29"/>
  <c r="E28" i="29"/>
  <c r="C5" i="29"/>
  <c r="C27" i="29"/>
  <c r="E7" i="29"/>
  <c r="E29" i="29"/>
  <c r="C6" i="29"/>
  <c r="C28" i="29"/>
  <c r="E8" i="29"/>
  <c r="E30" i="29"/>
  <c r="C7" i="29"/>
  <c r="C29" i="29"/>
  <c r="E14" i="29"/>
  <c r="E31" i="29"/>
  <c r="C8" i="29"/>
  <c r="C30" i="29"/>
  <c r="E15" i="29"/>
  <c r="E38" i="29"/>
  <c r="C9" i="29"/>
  <c r="C31" i="29"/>
  <c r="E16" i="29"/>
  <c r="E39" i="29"/>
  <c r="C15" i="29"/>
  <c r="K15" i="29" s="1"/>
  <c r="C32" i="29"/>
  <c r="E17" i="29"/>
  <c r="E40" i="29"/>
  <c r="C16" i="29"/>
  <c r="C33" i="29"/>
  <c r="K33" i="29" s="1"/>
  <c r="E18" i="29"/>
  <c r="C17" i="29"/>
  <c r="C39" i="29"/>
  <c r="E19" i="29"/>
  <c r="I35" i="29"/>
  <c r="I23" i="29"/>
  <c r="I11" i="29"/>
  <c r="I34" i="29"/>
  <c r="I22" i="29"/>
  <c r="I10" i="29"/>
  <c r="I33" i="29"/>
  <c r="I21" i="29"/>
  <c r="I9" i="29"/>
  <c r="I32" i="29"/>
  <c r="I20" i="29"/>
  <c r="I8" i="29"/>
  <c r="I31" i="29"/>
  <c r="I19" i="29"/>
  <c r="I7" i="29"/>
  <c r="I30" i="29"/>
  <c r="I18" i="29"/>
  <c r="I6" i="29"/>
  <c r="I28" i="29"/>
  <c r="C18" i="29"/>
  <c r="C40" i="29"/>
  <c r="E20" i="29"/>
  <c r="I5" i="29"/>
  <c r="I29" i="29"/>
  <c r="DH250" i="9"/>
  <c r="AR45" i="22"/>
  <c r="M62" i="11"/>
  <c r="AR60" i="9"/>
  <c r="Z60" i="9"/>
  <c r="G12" i="11"/>
  <c r="E195" i="11"/>
  <c r="AH48" i="14"/>
  <c r="AH44" i="14"/>
  <c r="AH30" i="14"/>
  <c r="AH26" i="14"/>
  <c r="AH22" i="14"/>
  <c r="AH18" i="14"/>
  <c r="AH8" i="14"/>
  <c r="AH111" i="14"/>
  <c r="AH107" i="14"/>
  <c r="AH103" i="14"/>
  <c r="AH99" i="14"/>
  <c r="AH95" i="14"/>
  <c r="AH91" i="14"/>
  <c r="AH87" i="14"/>
  <c r="AH83" i="14"/>
  <c r="AH79" i="14"/>
  <c r="AH75" i="14"/>
  <c r="AH71" i="14"/>
  <c r="AH67" i="14"/>
  <c r="AH64" i="14"/>
  <c r="AH62" i="14"/>
  <c r="AH60" i="14"/>
  <c r="AH58" i="14"/>
  <c r="AH56" i="14"/>
  <c r="AH54" i="14"/>
  <c r="AH52" i="14"/>
  <c r="AH50" i="14"/>
  <c r="AH40" i="14"/>
  <c r="AH36" i="14"/>
  <c r="AH33" i="14"/>
  <c r="AH24" i="14"/>
  <c r="AH14" i="14"/>
  <c r="AH10" i="14"/>
  <c r="AH6" i="14"/>
  <c r="AH47" i="14"/>
  <c r="AH43" i="14"/>
  <c r="AH29" i="14"/>
  <c r="AH21" i="14"/>
  <c r="AH110" i="14"/>
  <c r="AH106" i="14"/>
  <c r="AH102" i="14"/>
  <c r="AH98" i="14"/>
  <c r="AH94" i="14"/>
  <c r="AH90" i="14"/>
  <c r="AH86" i="14"/>
  <c r="AH82" i="14"/>
  <c r="AH78" i="14"/>
  <c r="AH74" i="14"/>
  <c r="AH70" i="14"/>
  <c r="AH66" i="14"/>
  <c r="AH39" i="14"/>
  <c r="AH35" i="14"/>
  <c r="AH16" i="14"/>
  <c r="AH13" i="14"/>
  <c r="AH9" i="14"/>
  <c r="AH5" i="14"/>
  <c r="AH46" i="14"/>
  <c r="AH42" i="14"/>
  <c r="AH32" i="14"/>
  <c r="AH28" i="14"/>
  <c r="AH20" i="14"/>
  <c r="AH109" i="14"/>
  <c r="AH105" i="14"/>
  <c r="AH101" i="14"/>
  <c r="AH97" i="14"/>
  <c r="AH93" i="14"/>
  <c r="AH89" i="14"/>
  <c r="AH85" i="14"/>
  <c r="AH81" i="14"/>
  <c r="AH77" i="14"/>
  <c r="AH73" i="14"/>
  <c r="AH69" i="14"/>
  <c r="AH65" i="14"/>
  <c r="AH63" i="14"/>
  <c r="AH61" i="14"/>
  <c r="AH59" i="14"/>
  <c r="AH57" i="14"/>
  <c r="AH55" i="14"/>
  <c r="AH53" i="14"/>
  <c r="AH51" i="14"/>
  <c r="AH38" i="14"/>
  <c r="AH25" i="14"/>
  <c r="AH7" i="14"/>
  <c r="I32" i="25"/>
  <c r="AH17" i="14"/>
  <c r="AH12" i="14"/>
  <c r="AH4" i="14"/>
  <c r="AH49" i="14"/>
  <c r="AH45" i="14"/>
  <c r="AH34" i="14"/>
  <c r="AH31" i="14"/>
  <c r="AH27" i="14"/>
  <c r="AH23" i="14"/>
  <c r="AH19" i="14"/>
  <c r="AH108" i="14"/>
  <c r="AH104" i="14"/>
  <c r="AH100" i="14"/>
  <c r="AH96" i="14"/>
  <c r="AH92" i="14"/>
  <c r="AH88" i="14"/>
  <c r="AH84" i="14"/>
  <c r="AH80" i="14"/>
  <c r="AH76" i="14"/>
  <c r="AH72" i="14"/>
  <c r="AH68" i="14"/>
  <c r="AH41" i="14"/>
  <c r="AH37" i="14"/>
  <c r="AH15" i="14"/>
  <c r="AH11" i="14"/>
  <c r="AH3" i="14"/>
  <c r="AS57" i="9"/>
  <c r="BJ57" i="9"/>
  <c r="EF240" i="9"/>
  <c r="FA240" i="9"/>
  <c r="DK240" i="9"/>
  <c r="CQ239" i="9" a="1"/>
  <c r="CQ239" i="9" s="1"/>
  <c r="E22" i="11"/>
  <c r="V12" i="11"/>
  <c r="EG159" i="9"/>
  <c r="AG4" i="3"/>
  <c r="CN224" i="9"/>
  <c r="M213" i="9"/>
  <c r="BS213" i="9"/>
  <c r="AZ213" i="9"/>
  <c r="CN118" i="9"/>
  <c r="CN119" i="9" s="1"/>
  <c r="J109" i="11"/>
  <c r="AG213" i="9"/>
  <c r="E32" i="25"/>
  <c r="E6" i="25"/>
  <c r="H35" i="11"/>
  <c r="AG131" i="9"/>
  <c r="AJ213" i="9"/>
  <c r="P213" i="9"/>
  <c r="BV213" i="9"/>
  <c r="N48" i="9"/>
  <c r="EC237" i="9"/>
  <c r="DK239" i="9"/>
  <c r="CQ281" i="9"/>
  <c r="EF239" i="9"/>
  <c r="P76" i="9"/>
  <c r="EG144" i="9"/>
  <c r="P167" i="9"/>
  <c r="FA239" i="9"/>
  <c r="BV236" i="9"/>
  <c r="EG158" i="9"/>
  <c r="D111" i="11"/>
  <c r="CN275" i="9"/>
  <c r="M155" i="9"/>
  <c r="M156" i="9" s="1"/>
  <c r="D240" i="11"/>
  <c r="G38" i="3"/>
  <c r="CQ256" i="9"/>
  <c r="CQ258" i="9" s="1"/>
  <c r="FG145" i="9"/>
  <c r="BE105" i="22"/>
  <c r="Y132" i="22"/>
  <c r="BA46" i="22"/>
  <c r="BG87" i="22"/>
  <c r="G174" i="22" s="1"/>
  <c r="P240" i="9"/>
  <c r="D280" i="11"/>
  <c r="CQ226" i="9"/>
  <c r="AJ215" i="9"/>
  <c r="BV215" i="9"/>
  <c r="BC215" i="9"/>
  <c r="AI46" i="9"/>
  <c r="EG130" i="9"/>
  <c r="P46" i="9"/>
  <c r="P215" i="9"/>
  <c r="BU46" i="9"/>
  <c r="G28" i="3"/>
  <c r="E26" i="11"/>
  <c r="E90" i="11"/>
  <c r="D115" i="11"/>
  <c r="BV214" i="9"/>
  <c r="P214" i="9"/>
  <c r="BC214" i="9"/>
  <c r="AJ214" i="9"/>
  <c r="CQ225" i="9"/>
  <c r="M37" i="11"/>
  <c r="Y59" i="9"/>
  <c r="EF241" i="9"/>
  <c r="D18" i="25"/>
  <c r="C18" i="25"/>
  <c r="F18" i="25" s="1"/>
  <c r="G45" i="3"/>
  <c r="CQ227" i="9"/>
  <c r="P216" i="9"/>
  <c r="AJ216" i="9"/>
  <c r="EG131" i="9"/>
  <c r="BB47" i="9"/>
  <c r="BU47" i="9"/>
  <c r="BV216" i="9"/>
  <c r="P47" i="9"/>
  <c r="Z59" i="9"/>
  <c r="E65" i="9"/>
  <c r="AL137" i="22"/>
  <c r="AL139" i="22" s="1"/>
  <c r="BM118" i="22"/>
  <c r="BN118" i="22" s="1"/>
  <c r="DH237" i="9"/>
  <c r="EX237" i="9"/>
  <c r="CN238" i="9"/>
  <c r="CN279" i="9"/>
  <c r="D31" i="3"/>
  <c r="G31" i="3" s="1"/>
  <c r="E247" i="11"/>
  <c r="AJ106" i="11"/>
  <c r="AB75" i="11"/>
  <c r="R107" i="11"/>
  <c r="AB106" i="11"/>
  <c r="AB88" i="11"/>
  <c r="D42" i="3"/>
  <c r="D41" i="3"/>
  <c r="BJ116" i="9"/>
  <c r="Y58" i="9"/>
  <c r="AJ231" i="9"/>
  <c r="CN223" i="9"/>
  <c r="CN130" i="9"/>
  <c r="CN131" i="9" s="1"/>
  <c r="BS212" i="9"/>
  <c r="J108" i="11"/>
  <c r="ED132" i="9"/>
  <c r="M212" i="9"/>
  <c r="G20" i="3"/>
  <c r="AZ214" i="9"/>
  <c r="J110" i="11"/>
  <c r="BS214" i="9"/>
  <c r="M214" i="9"/>
  <c r="CN225" i="9"/>
  <c r="H28" i="3"/>
  <c r="Z132" i="22"/>
  <c r="Z139" i="22" s="1"/>
  <c r="BM106" i="22"/>
  <c r="BN106" i="22" s="1"/>
  <c r="G25" i="3"/>
  <c r="AI47" i="9"/>
  <c r="CQ118" i="9"/>
  <c r="M131" i="9"/>
  <c r="ED156" i="9"/>
  <c r="EF238" i="9"/>
  <c r="BV248" i="9"/>
  <c r="FA238" i="9"/>
  <c r="EG157" i="9"/>
  <c r="DK238" i="9"/>
  <c r="BV156" i="9"/>
  <c r="EG118" i="9"/>
  <c r="H5" i="25"/>
  <c r="C24" i="25"/>
  <c r="BV130" i="9"/>
  <c r="P130" i="9"/>
  <c r="BC130" i="9"/>
  <c r="AJ130" i="9"/>
  <c r="BK58" i="9"/>
  <c r="J257" i="11"/>
  <c r="AG231" i="9"/>
  <c r="CN143" i="9"/>
  <c r="CN145" i="9" s="1"/>
  <c r="AB78" i="11"/>
  <c r="H38" i="11"/>
  <c r="R110" i="11"/>
  <c r="H22" i="11"/>
  <c r="AF67" i="9"/>
  <c r="O191" i="11"/>
  <c r="H25" i="11"/>
  <c r="H32" i="11"/>
  <c r="G8" i="3"/>
  <c r="CQ143" i="9"/>
  <c r="AS89" i="22"/>
  <c r="I158" i="22"/>
  <c r="I162" i="22" s="1"/>
  <c r="H39" i="11"/>
  <c r="F114" i="11"/>
  <c r="F116" i="11"/>
  <c r="F115" i="11"/>
  <c r="M215" i="9"/>
  <c r="BS215" i="9"/>
  <c r="AY46" i="9"/>
  <c r="AY52" i="9" s="1"/>
  <c r="F12" i="11"/>
  <c r="ED130" i="9"/>
  <c r="CN226" i="9"/>
  <c r="AF46" i="9"/>
  <c r="G10" i="3"/>
  <c r="J111" i="11"/>
  <c r="BR46" i="9"/>
  <c r="BR48" i="9" s="1"/>
  <c r="H29" i="11"/>
  <c r="C25" i="25"/>
  <c r="H6" i="25"/>
  <c r="BC131" i="9"/>
  <c r="E99" i="11"/>
  <c r="M164" i="11"/>
  <c r="BK29" i="9"/>
  <c r="CQ224" i="9"/>
  <c r="G24" i="3"/>
  <c r="FD145" i="9"/>
  <c r="H41" i="11"/>
  <c r="D112" i="11"/>
  <c r="F280" i="11"/>
  <c r="AZ50" i="9"/>
  <c r="BP61" i="9"/>
  <c r="CQ242" i="9"/>
  <c r="G7" i="3"/>
  <c r="CQ223" i="9"/>
  <c r="AJ212" i="9"/>
  <c r="BC212" i="9"/>
  <c r="BV212" i="9"/>
  <c r="EG132" i="9"/>
  <c r="P212" i="9"/>
  <c r="E194" i="11"/>
  <c r="M51" i="9"/>
  <c r="N51" i="9" s="1"/>
  <c r="D48" i="3"/>
  <c r="E102" i="11"/>
  <c r="BR62" i="9"/>
  <c r="BS62" i="9" s="1"/>
  <c r="E93" i="11"/>
  <c r="G16" i="3"/>
  <c r="BU62" i="9"/>
  <c r="P51" i="9"/>
  <c r="Q60" i="11"/>
  <c r="H51" i="11" s="1"/>
  <c r="F117" i="11"/>
  <c r="J273" i="11"/>
  <c r="CN281" i="9"/>
  <c r="EC239" i="9"/>
  <c r="DH239" i="9"/>
  <c r="M240" i="9"/>
  <c r="M242" i="9" s="1"/>
  <c r="E198" i="11"/>
  <c r="ED158" i="9"/>
  <c r="BS236" i="9"/>
  <c r="BS144" i="9"/>
  <c r="BS146" i="9" s="1"/>
  <c r="D274" i="11"/>
  <c r="AJ108" i="11"/>
  <c r="E165" i="11"/>
  <c r="EX239" i="9"/>
  <c r="D241" i="11"/>
  <c r="D216" i="11"/>
  <c r="D117" i="11"/>
  <c r="D258" i="11"/>
  <c r="D17" i="3"/>
  <c r="G21" i="3"/>
  <c r="AZ217" i="9"/>
  <c r="CN228" i="9"/>
  <c r="BS217" i="9"/>
  <c r="J113" i="11"/>
  <c r="BR59" i="9"/>
  <c r="G26" i="3"/>
  <c r="AF48" i="9"/>
  <c r="AG48" i="9" s="1"/>
  <c r="M35" i="11"/>
  <c r="J215" i="11"/>
  <c r="M46" i="9"/>
  <c r="M76" i="9"/>
  <c r="AZ131" i="9"/>
  <c r="M167" i="9"/>
  <c r="AG215" i="9"/>
  <c r="CN241" i="9"/>
  <c r="P217" i="9"/>
  <c r="BV217" i="9"/>
  <c r="AJ217" i="9"/>
  <c r="FD130" i="9"/>
  <c r="FD131" i="9" s="1"/>
  <c r="H31" i="11"/>
  <c r="D47" i="3"/>
  <c r="BB48" i="9"/>
  <c r="BJ195" i="9"/>
  <c r="BL116" i="22"/>
  <c r="BN116" i="22" s="1"/>
  <c r="AG132" i="9"/>
  <c r="E171" i="11"/>
  <c r="E172" i="11" s="1"/>
  <c r="P241" i="9"/>
  <c r="BV237" i="9"/>
  <c r="CQ144" i="9"/>
  <c r="P77" i="9"/>
  <c r="E34" i="3"/>
  <c r="H42" i="11"/>
  <c r="D116" i="11"/>
  <c r="AZ51" i="9"/>
  <c r="AJ139" i="22"/>
  <c r="BA45" i="22"/>
  <c r="CN278" i="9"/>
  <c r="D40" i="3"/>
  <c r="D44" i="3"/>
  <c r="D35" i="3"/>
  <c r="G35" i="3" s="1"/>
  <c r="D15" i="3"/>
  <c r="D114" i="11"/>
  <c r="M36" i="11"/>
  <c r="D39" i="3"/>
  <c r="AG233" i="9"/>
  <c r="CN280" i="9"/>
  <c r="BS237" i="9"/>
  <c r="CN257" i="9"/>
  <c r="M241" i="9"/>
  <c r="ED145" i="9"/>
  <c r="J259" i="11"/>
  <c r="AF69" i="9"/>
  <c r="AJ233" i="9"/>
  <c r="AG148" i="9"/>
  <c r="CN144" i="9"/>
  <c r="G18" i="3"/>
  <c r="E98" i="11"/>
  <c r="G216" i="11"/>
  <c r="E35" i="3"/>
  <c r="E30" i="3"/>
  <c r="CQ278" i="9"/>
  <c r="G5" i="3"/>
  <c r="FG109" i="9"/>
  <c r="G9" i="3"/>
  <c r="BS216" i="9"/>
  <c r="ED131" i="9"/>
  <c r="J112" i="11"/>
  <c r="M47" i="9"/>
  <c r="AF47" i="9"/>
  <c r="G14" i="3"/>
  <c r="BB50" i="9"/>
  <c r="AI50" i="9"/>
  <c r="CN239" i="9"/>
  <c r="DH240" i="9"/>
  <c r="AB109" i="11"/>
  <c r="AB91" i="11"/>
  <c r="ED159" i="9"/>
  <c r="AB76" i="11"/>
  <c r="E37" i="3"/>
  <c r="D43" i="3"/>
  <c r="D61" i="11"/>
  <c r="E92" i="11"/>
  <c r="M166" i="11"/>
  <c r="J275" i="11"/>
  <c r="AY47" i="9"/>
  <c r="BV145" i="9"/>
  <c r="EG145" i="9"/>
  <c r="AG216" i="9"/>
  <c r="BC217" i="9"/>
  <c r="EF146" i="9"/>
  <c r="BF86" i="22" s="1"/>
  <c r="AG232" i="9"/>
  <c r="CN255" i="9"/>
  <c r="J274" i="11"/>
  <c r="O190" i="11"/>
  <c r="J241" i="11"/>
  <c r="AG147" i="9"/>
  <c r="AY49" i="9"/>
  <c r="AZ49" i="9" s="1"/>
  <c r="AF49" i="9"/>
  <c r="AG49" i="9" s="1"/>
  <c r="BS211" i="9"/>
  <c r="CN222" i="9"/>
  <c r="M163" i="11"/>
  <c r="AZ132" i="9"/>
  <c r="AZ211" i="9"/>
  <c r="E31" i="25"/>
  <c r="E5" i="25"/>
  <c r="E7" i="25" s="1"/>
  <c r="M130" i="9"/>
  <c r="M132" i="9" s="1"/>
  <c r="O242" i="9"/>
  <c r="G33" i="25"/>
  <c r="H31" i="25"/>
  <c r="I31" i="25" s="1"/>
  <c r="I43" i="25"/>
  <c r="I44" i="25"/>
  <c r="G32" i="25"/>
  <c r="H32" i="25" s="1"/>
  <c r="K10" i="29" l="1"/>
  <c r="K20" i="29"/>
  <c r="K17" i="29"/>
  <c r="K14" i="29"/>
  <c r="K19" i="29"/>
  <c r="K28" i="29"/>
  <c r="K9" i="29"/>
  <c r="K6" i="29"/>
  <c r="K40" i="29"/>
  <c r="K7" i="29"/>
  <c r="K22" i="29"/>
  <c r="K34" i="29"/>
  <c r="K31" i="29"/>
  <c r="K11" i="29"/>
  <c r="K39" i="29"/>
  <c r="K23" i="29"/>
  <c r="K35" i="29"/>
  <c r="K12" i="29"/>
  <c r="K18" i="29"/>
  <c r="K30" i="29"/>
  <c r="K27" i="29"/>
  <c r="K24" i="29"/>
  <c r="K16" i="29"/>
  <c r="K8" i="29"/>
  <c r="K5" i="29"/>
  <c r="K41" i="29" s="1"/>
  <c r="K36" i="29"/>
  <c r="K13" i="29"/>
  <c r="K25" i="29"/>
  <c r="K32" i="29"/>
  <c r="K29" i="29"/>
  <c r="K21" i="29"/>
  <c r="K37" i="29"/>
  <c r="Y60" i="9"/>
  <c r="AA60" i="9" s="1"/>
  <c r="BK60" i="9"/>
  <c r="E21" i="11"/>
  <c r="E19" i="11"/>
  <c r="ED105" i="9"/>
  <c r="D257" i="11"/>
  <c r="DK241" i="9"/>
  <c r="CN271" i="9"/>
  <c r="CN282" i="9" s="1"/>
  <c r="AG67" i="23" s="1"/>
  <c r="AG73" i="23" s="1"/>
  <c r="D107" i="11"/>
  <c r="G41" i="3"/>
  <c r="G42" i="3"/>
  <c r="CN272" i="9"/>
  <c r="D108" i="11"/>
  <c r="F14" i="11"/>
  <c r="H13" i="11" s="1"/>
  <c r="F42" i="11" s="1"/>
  <c r="H12" i="11"/>
  <c r="F29" i="11" s="1"/>
  <c r="G14" i="11"/>
  <c r="BJ60" i="9"/>
  <c r="AS60" i="9"/>
  <c r="AF70" i="9"/>
  <c r="E264" i="11"/>
  <c r="G43" i="3"/>
  <c r="D109" i="11"/>
  <c r="CN273" i="9"/>
  <c r="Z57" i="9"/>
  <c r="AR57" i="9"/>
  <c r="AT57" i="9" s="1"/>
  <c r="BS61" i="9"/>
  <c r="BQ61" i="9"/>
  <c r="BP63" i="9"/>
  <c r="AT86" i="22"/>
  <c r="AT45" i="22" s="1"/>
  <c r="F155" i="22"/>
  <c r="F162" i="22" s="1"/>
  <c r="CM279" i="9"/>
  <c r="Y139" i="22"/>
  <c r="FD147" i="9"/>
  <c r="FD149" i="9" s="1"/>
  <c r="O192" i="11"/>
  <c r="M165" i="11"/>
  <c r="G48" i="3"/>
  <c r="J114" i="11"/>
  <c r="E103" i="11" s="1"/>
  <c r="CN258" i="9"/>
  <c r="M217" i="11"/>
  <c r="J210" i="11"/>
  <c r="BJ59" i="9"/>
  <c r="AS59" i="9"/>
  <c r="AT59" i="9" s="1"/>
  <c r="AG149" i="9"/>
  <c r="E104" i="11"/>
  <c r="BR63" i="9"/>
  <c r="CM281" i="9"/>
  <c r="E72" i="9"/>
  <c r="Y57" i="9"/>
  <c r="AT60" i="9"/>
  <c r="H157" i="22"/>
  <c r="H162" i="22" s="1"/>
  <c r="M226" i="9"/>
  <c r="D215" i="11"/>
  <c r="M144" i="9"/>
  <c r="M63" i="9"/>
  <c r="BS59" i="9"/>
  <c r="D19" i="25"/>
  <c r="C19" i="25"/>
  <c r="F19" i="25" s="1"/>
  <c r="FA241" i="9"/>
  <c r="EG160" i="9"/>
  <c r="M169" i="9"/>
  <c r="CM280" i="9"/>
  <c r="AA59" i="9"/>
  <c r="CN229" i="9"/>
  <c r="F118" i="11"/>
  <c r="CM278" i="9"/>
  <c r="AG234" i="9"/>
  <c r="F247" i="11"/>
  <c r="G247" i="11"/>
  <c r="H247" i="11" s="1"/>
  <c r="P155" i="9" s="1"/>
  <c r="BG105" i="22"/>
  <c r="G192" i="22" s="1"/>
  <c r="BE64" i="22"/>
  <c r="BF45" i="22"/>
  <c r="CN240" i="9"/>
  <c r="AB77" i="11"/>
  <c r="AB80" i="11" s="1"/>
  <c r="H27" i="11"/>
  <c r="G15" i="3"/>
  <c r="H30" i="11"/>
  <c r="R109" i="11"/>
  <c r="R112" i="11" s="1"/>
  <c r="BS238" i="9"/>
  <c r="BD21" i="23" s="1"/>
  <c r="E33" i="25"/>
  <c r="AR58" i="9"/>
  <c r="Z58" i="9"/>
  <c r="BL35" i="9"/>
  <c r="C219" i="22" s="1"/>
  <c r="CQ277" i="9"/>
  <c r="CN277" i="9"/>
  <c r="G47" i="3"/>
  <c r="D113" i="11"/>
  <c r="M78" i="9"/>
  <c r="AA58" i="9"/>
  <c r="AS58" i="9"/>
  <c r="BJ58" i="9"/>
  <c r="BL58" i="9" s="1"/>
  <c r="CN274" i="9"/>
  <c r="D110" i="11"/>
  <c r="G44" i="3"/>
  <c r="M52" i="9"/>
  <c r="F84" i="23" s="1"/>
  <c r="F94" i="23" s="1"/>
  <c r="DH238" i="9"/>
  <c r="DH241" i="9" s="1"/>
  <c r="ED160" i="9" s="1"/>
  <c r="EX238" i="9"/>
  <c r="EC238" i="9"/>
  <c r="EC241" i="9" s="1"/>
  <c r="ED157" i="9"/>
  <c r="AB89" i="11"/>
  <c r="BS248" i="9" a="1"/>
  <c r="BS248" i="9" s="1"/>
  <c r="BS249" i="9" s="1"/>
  <c r="CN242" i="9"/>
  <c r="ED118" i="9"/>
  <c r="ED119" i="9" s="1"/>
  <c r="D59" i="11"/>
  <c r="D62" i="11" s="1"/>
  <c r="BS156" i="9" a="1"/>
  <c r="BS156" i="9" s="1"/>
  <c r="BS157" i="9" s="1"/>
  <c r="E164" i="11"/>
  <c r="AB107" i="11"/>
  <c r="G17" i="3"/>
  <c r="AJ107" i="11"/>
  <c r="D273" i="11"/>
  <c r="R111" i="11"/>
  <c r="AB79" i="11"/>
  <c r="AF52" i="9"/>
  <c r="BG89" i="22"/>
  <c r="G176" i="22" s="1"/>
  <c r="AS48" i="22"/>
  <c r="CN243" i="9"/>
  <c r="AF67" i="23" s="1"/>
  <c r="AF73" i="23" s="1"/>
  <c r="ED146" i="9"/>
  <c r="F264" i="11" l="1"/>
  <c r="G264" i="11" s="1"/>
  <c r="H264" i="11" s="1"/>
  <c r="EG105" i="9" s="1"/>
  <c r="F31" i="11"/>
  <c r="F30" i="11"/>
  <c r="M64" i="9"/>
  <c r="O63" i="9"/>
  <c r="O64" i="9" s="1"/>
  <c r="AR88" i="22" s="1"/>
  <c r="I12" i="11"/>
  <c r="J12" i="11" s="1"/>
  <c r="G42" i="11" s="1"/>
  <c r="I42" i="11" s="1"/>
  <c r="BK57" i="9"/>
  <c r="BL57" i="9" s="1"/>
  <c r="BV59" i="9"/>
  <c r="BS63" i="9"/>
  <c r="CM282" i="9"/>
  <c r="M227" i="9"/>
  <c r="O226" i="9"/>
  <c r="O227" i="9" s="1"/>
  <c r="AT88" i="22" s="1"/>
  <c r="AT47" i="22" s="1"/>
  <c r="BZ55" i="9"/>
  <c r="BQ62" i="9"/>
  <c r="BQ60" i="9"/>
  <c r="BQ59" i="9"/>
  <c r="BQ63" i="9" s="1"/>
  <c r="BL60" i="9"/>
  <c r="E23" i="11"/>
  <c r="V11" i="11"/>
  <c r="BL59" i="9"/>
  <c r="F43" i="11"/>
  <c r="V129" i="22"/>
  <c r="V139" i="22" s="1"/>
  <c r="BM102" i="22"/>
  <c r="BN102" i="22" s="1"/>
  <c r="AT58" i="9"/>
  <c r="O144" i="9"/>
  <c r="O145" i="9" s="1"/>
  <c r="AS88" i="22" s="1"/>
  <c r="AS47" i="22" s="1"/>
  <c r="M145" i="9"/>
  <c r="BK59" i="9"/>
  <c r="BV61" i="9"/>
  <c r="BO46" i="23"/>
  <c r="BP46" i="23" s="1"/>
  <c r="L102" i="23" s="1" a="1"/>
  <c r="AH67" i="23"/>
  <c r="AH73" i="23" s="1"/>
  <c r="ED106" i="9"/>
  <c r="EF105" i="9"/>
  <c r="EF106" i="9" s="1"/>
  <c r="M167" i="11"/>
  <c r="BI21" i="23"/>
  <c r="J105" i="23" s="1"/>
  <c r="AA57" i="9"/>
  <c r="J42" i="11" l="1"/>
  <c r="EB131" i="9"/>
  <c r="E6" i="13"/>
  <c r="E8" i="13" s="1"/>
  <c r="BM102" i="15"/>
  <c r="V130" i="15"/>
  <c r="G29" i="11"/>
  <c r="I29" i="11" s="1"/>
  <c r="L135" i="23"/>
  <c r="L123" i="23"/>
  <c r="L134" i="23"/>
  <c r="L122" i="23"/>
  <c r="L110" i="23"/>
  <c r="L132" i="23"/>
  <c r="L120" i="23"/>
  <c r="L108" i="23"/>
  <c r="L130" i="23"/>
  <c r="L118" i="23"/>
  <c r="L106" i="23"/>
  <c r="L129" i="23"/>
  <c r="L117" i="23"/>
  <c r="L105" i="23"/>
  <c r="L128" i="23"/>
  <c r="L126" i="23"/>
  <c r="L114" i="23"/>
  <c r="L136" i="23"/>
  <c r="L124" i="23"/>
  <c r="L112" i="23"/>
  <c r="L116" i="23"/>
  <c r="L121" i="23"/>
  <c r="L119" i="23"/>
  <c r="L127" i="23"/>
  <c r="L125" i="23"/>
  <c r="L115" i="23"/>
  <c r="L103" i="23"/>
  <c r="L102" i="23"/>
  <c r="L137" i="23"/>
  <c r="L131" i="23"/>
  <c r="L113" i="23"/>
  <c r="L109" i="23"/>
  <c r="L107" i="23"/>
  <c r="L104" i="23"/>
  <c r="L133" i="23"/>
  <c r="L111" i="23"/>
  <c r="AR47" i="22"/>
  <c r="BG88" i="22"/>
  <c r="G175" i="22" s="1"/>
  <c r="J159" i="22"/>
  <c r="J162" i="22" s="1"/>
  <c r="BF90" i="22"/>
  <c r="G43" i="11"/>
  <c r="I43" i="11" s="1"/>
  <c r="F41" i="11"/>
  <c r="F32" i="11"/>
  <c r="G32" i="11" s="1"/>
  <c r="I32" i="11" s="1"/>
  <c r="F27" i="11"/>
  <c r="G30" i="11"/>
  <c r="I30" i="11" s="1"/>
  <c r="J30" i="11" s="1"/>
  <c r="G31" i="11"/>
  <c r="I31" i="11" s="1"/>
  <c r="BW61" i="9"/>
  <c r="BX61" i="9" s="1"/>
  <c r="BY61" i="9" s="1"/>
  <c r="BZ61" i="9" s="1"/>
  <c r="CA61" i="9" s="1"/>
  <c r="BV60" i="9"/>
  <c r="BV62" i="9"/>
  <c r="BW59" i="9"/>
  <c r="BX59" i="9" s="1"/>
  <c r="BY59" i="9" s="1"/>
  <c r="BZ59" i="9"/>
  <c r="BW62" i="9" l="1"/>
  <c r="BX62" i="9" s="1"/>
  <c r="BY62" i="9" s="1"/>
  <c r="BZ62" i="9"/>
  <c r="CA62" i="9" s="1"/>
  <c r="EB130" i="9"/>
  <c r="J29" i="11"/>
  <c r="J31" i="11"/>
  <c r="FB130" i="9"/>
  <c r="G41" i="11"/>
  <c r="I41" i="11" s="1"/>
  <c r="J41" i="11" s="1"/>
  <c r="F37" i="11"/>
  <c r="CA59" i="9"/>
  <c r="BW60" i="9"/>
  <c r="BX60" i="9" s="1"/>
  <c r="BY60" i="9" s="1"/>
  <c r="BZ60" i="9" s="1"/>
  <c r="BO37" i="24"/>
  <c r="BP37" i="24" s="1"/>
  <c r="BN102" i="15"/>
  <c r="EE131" i="9"/>
  <c r="BP47" i="9"/>
  <c r="FB108" i="9"/>
  <c r="J43" i="11"/>
  <c r="BF49" i="22"/>
  <c r="BG90" i="22"/>
  <c r="G177" i="22" s="1"/>
  <c r="Y64" i="24"/>
  <c r="Y74" i="24" s="1"/>
  <c r="V140" i="15"/>
  <c r="G27" i="11"/>
  <c r="I27" i="11" s="1"/>
  <c r="J27" i="11" s="1"/>
  <c r="F25" i="11"/>
  <c r="J32" i="11"/>
  <c r="M23" i="11"/>
  <c r="CA60" i="9" l="1"/>
  <c r="BZ63" i="9"/>
  <c r="BS47" i="9"/>
  <c r="AW47" i="9"/>
  <c r="CA63" i="9"/>
  <c r="CA55" i="9" s="1"/>
  <c r="G37" i="11"/>
  <c r="F36" i="11"/>
  <c r="FE108" i="9"/>
  <c r="FB109" i="9"/>
  <c r="FL104" i="9" s="1"/>
  <c r="FC108" i="9"/>
  <c r="FC109" i="9" s="1"/>
  <c r="FE130" i="9"/>
  <c r="FB131" i="9"/>
  <c r="FL126" i="9" s="1"/>
  <c r="FC130" i="9"/>
  <c r="F22" i="11"/>
  <c r="G25" i="11"/>
  <c r="I25" i="11" s="1"/>
  <c r="J25" i="11" s="1"/>
  <c r="EQ141" i="9"/>
  <c r="EE130" i="9"/>
  <c r="BP46" i="9"/>
  <c r="F26" i="11"/>
  <c r="G26" i="11" s="1"/>
  <c r="I26" i="11" s="1"/>
  <c r="J26" i="11" s="1"/>
  <c r="FE131" i="9" l="1"/>
  <c r="FH130" i="9"/>
  <c r="FI130" i="9" s="1"/>
  <c r="FJ130" i="9" s="1"/>
  <c r="ER140" i="9"/>
  <c r="G36" i="11"/>
  <c r="BP106" i="20"/>
  <c r="BQ106" i="20" s="1"/>
  <c r="Y133" i="20"/>
  <c r="Y143" i="20" s="1"/>
  <c r="BI46" i="9"/>
  <c r="N6" i="13" s="1"/>
  <c r="G6" i="13"/>
  <c r="BM118" i="15"/>
  <c r="AL138" i="15"/>
  <c r="ER142" i="9"/>
  <c r="ER141" i="9"/>
  <c r="FE109" i="9"/>
  <c r="FH108" i="9"/>
  <c r="EQ140" i="9"/>
  <c r="ES140" i="9" s="1"/>
  <c r="ES141" i="9"/>
  <c r="BQ46" i="9"/>
  <c r="AW46" i="9"/>
  <c r="BS46" i="9"/>
  <c r="BP48" i="9"/>
  <c r="I37" i="11"/>
  <c r="O37" i="11"/>
  <c r="AZ47" i="9"/>
  <c r="AD47" i="9"/>
  <c r="G22" i="11"/>
  <c r="I22" i="11" s="1"/>
  <c r="J22" i="11" s="1"/>
  <c r="F19" i="11"/>
  <c r="G19" i="11" s="1"/>
  <c r="F21" i="11"/>
  <c r="BK56" i="9"/>
  <c r="BL116" i="15"/>
  <c r="AJ138" i="15"/>
  <c r="AG47" i="9" l="1"/>
  <c r="K47" i="9"/>
  <c r="AS56" i="9"/>
  <c r="BJ56" i="9"/>
  <c r="BL56" i="9" s="1"/>
  <c r="I36" i="11"/>
  <c r="N37" i="11"/>
  <c r="I19" i="11"/>
  <c r="BO53" i="24"/>
  <c r="BP53" i="24" s="1"/>
  <c r="BN118" i="15"/>
  <c r="BZ42" i="9"/>
  <c r="BQ47" i="9"/>
  <c r="FJ131" i="9"/>
  <c r="FK130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AW52" i="9"/>
  <c r="AE47" i="9" s="1"/>
  <c r="AX46" i="9"/>
  <c r="AZ46" i="9"/>
  <c r="AD46" i="9"/>
  <c r="AO72" i="24"/>
  <c r="AO74" i="24" s="1"/>
  <c r="AL140" i="15"/>
  <c r="FH109" i="9"/>
  <c r="FI108" i="9"/>
  <c r="FJ108" i="9" s="1"/>
  <c r="AM72" i="24"/>
  <c r="AJ140" i="15"/>
  <c r="CL130" i="9"/>
  <c r="J37" i="11"/>
  <c r="BN51" i="24"/>
  <c r="BP51" i="24" s="1"/>
  <c r="BN116" i="15"/>
  <c r="BS48" i="9"/>
  <c r="BV47" i="9" s="1"/>
  <c r="BW47" i="9" s="1"/>
  <c r="BX47" i="9" s="1"/>
  <c r="BY47" i="9" s="1"/>
  <c r="BZ47" i="9" s="1"/>
  <c r="CA47" i="9" s="1"/>
  <c r="BK61" i="9"/>
  <c r="BV46" i="9"/>
  <c r="BW46" i="9" s="1"/>
  <c r="BX46" i="9" s="1"/>
  <c r="BY46" i="9" s="1"/>
  <c r="BZ46" i="9" s="1"/>
  <c r="BK55" i="9"/>
  <c r="BJ61" i="9" l="1"/>
  <c r="BL61" i="9" s="1"/>
  <c r="AS55" i="9"/>
  <c r="BJ55" i="9"/>
  <c r="BL55" i="9" s="1"/>
  <c r="AS61" i="9"/>
  <c r="AZ52" i="9"/>
  <c r="CO130" i="9"/>
  <c r="CL131" i="9"/>
  <c r="CV126" i="9" s="1"/>
  <c r="L27" i="11"/>
  <c r="J36" i="11"/>
  <c r="C65" i="11"/>
  <c r="E65" i="11" s="1"/>
  <c r="CA46" i="9"/>
  <c r="BZ48" i="9"/>
  <c r="BE101" i="22"/>
  <c r="U129" i="22"/>
  <c r="AX98" i="22"/>
  <c r="R126" i="22"/>
  <c r="L23" i="11"/>
  <c r="B74" i="11" s="1"/>
  <c r="J19" i="11"/>
  <c r="L19" i="11"/>
  <c r="AE49" i="9"/>
  <c r="AX48" i="9"/>
  <c r="AX52" i="9" s="1"/>
  <c r="BG42" i="9"/>
  <c r="AE48" i="9"/>
  <c r="AE50" i="9"/>
  <c r="BL28" i="9"/>
  <c r="BN28" i="9" s="1"/>
  <c r="AE51" i="9"/>
  <c r="BL31" i="9"/>
  <c r="BN31" i="9" s="1"/>
  <c r="BL33" i="9"/>
  <c r="BN33" i="9" s="1"/>
  <c r="AX51" i="9"/>
  <c r="BL30" i="9"/>
  <c r="BN30" i="9" s="1"/>
  <c r="AX50" i="9"/>
  <c r="BL34" i="9"/>
  <c r="BN34" i="9" s="1"/>
  <c r="AX49" i="9"/>
  <c r="BL32" i="9"/>
  <c r="BN32" i="9" s="1"/>
  <c r="BL29" i="9"/>
  <c r="BN29" i="9" s="1"/>
  <c r="AX47" i="9"/>
  <c r="AM74" i="24"/>
  <c r="J23" i="11"/>
  <c r="M19" i="11"/>
  <c r="FJ109" i="9"/>
  <c r="FK108" i="9"/>
  <c r="FK131" i="9"/>
  <c r="FL130" i="9"/>
  <c r="N47" i="9"/>
  <c r="BK46" i="9"/>
  <c r="Q57" i="14" s="1"/>
  <c r="AB57" i="14" s="1"/>
  <c r="U130" i="15"/>
  <c r="BE101" i="15"/>
  <c r="AR56" i="9"/>
  <c r="AT56" i="9" s="1"/>
  <c r="AJ47" i="9"/>
  <c r="Z56" i="9"/>
  <c r="AG46" i="9"/>
  <c r="AE46" i="9"/>
  <c r="AD52" i="9"/>
  <c r="K46" i="9"/>
  <c r="AU92" i="22" l="1"/>
  <c r="L123" i="22"/>
  <c r="D74" i="11"/>
  <c r="C89" i="11"/>
  <c r="AK47" i="9"/>
  <c r="AL47" i="9" s="1"/>
  <c r="AM47" i="9" s="1"/>
  <c r="AN47" i="9" s="1"/>
  <c r="AO47" i="9" s="1"/>
  <c r="AJ50" i="9"/>
  <c r="AJ51" i="9"/>
  <c r="BC48" i="9"/>
  <c r="Q50" i="9"/>
  <c r="Q49" i="9"/>
  <c r="BC49" i="9"/>
  <c r="AJ48" i="9"/>
  <c r="BC50" i="9"/>
  <c r="Q48" i="9"/>
  <c r="Q51" i="9"/>
  <c r="BC51" i="9"/>
  <c r="AJ49" i="9"/>
  <c r="BC47" i="9"/>
  <c r="BG36" i="24"/>
  <c r="BG101" i="15"/>
  <c r="G189" i="15" s="1"/>
  <c r="BE60" i="15"/>
  <c r="Q47" i="9"/>
  <c r="Y56" i="9"/>
  <c r="AA56" i="9" s="1"/>
  <c r="FL131" i="9"/>
  <c r="FM130" i="9"/>
  <c r="AE52" i="9"/>
  <c r="CF139" i="9"/>
  <c r="CO131" i="9"/>
  <c r="CR130" i="9"/>
  <c r="CS130" i="9" s="1"/>
  <c r="CT130" i="9" s="1"/>
  <c r="CU130" i="9" s="1"/>
  <c r="CV130" i="9" s="1"/>
  <c r="R139" i="22"/>
  <c r="AM126" i="22"/>
  <c r="BC46" i="9"/>
  <c r="AM129" i="22"/>
  <c r="U139" i="22"/>
  <c r="X64" i="24"/>
  <c r="U140" i="15"/>
  <c r="AM130" i="15"/>
  <c r="E219" i="15" s="1"/>
  <c r="BG101" i="22"/>
  <c r="G188" i="22" s="1"/>
  <c r="BE60" i="22"/>
  <c r="K52" i="9"/>
  <c r="N46" i="9"/>
  <c r="L46" i="9"/>
  <c r="F68" i="9"/>
  <c r="H68" i="9" s="1"/>
  <c r="F67" i="9"/>
  <c r="H67" i="9" s="1"/>
  <c r="AS28" i="9"/>
  <c r="AN42" i="9"/>
  <c r="F71" i="9"/>
  <c r="H71" i="9" s="1"/>
  <c r="F69" i="9"/>
  <c r="H69" i="9" s="1"/>
  <c r="F70" i="9"/>
  <c r="H70" i="9" s="1"/>
  <c r="F66" i="9"/>
  <c r="H66" i="9" s="1"/>
  <c r="F65" i="9"/>
  <c r="C5" i="25"/>
  <c r="C31" i="25"/>
  <c r="K130" i="9"/>
  <c r="BQ130" i="9"/>
  <c r="AX130" i="9"/>
  <c r="AE130" i="9"/>
  <c r="B51" i="11"/>
  <c r="C51" i="11" s="1"/>
  <c r="FK109" i="9"/>
  <c r="FL108" i="9"/>
  <c r="BE105" i="15"/>
  <c r="EB132" i="9"/>
  <c r="Y133" i="15"/>
  <c r="AJ46" i="9"/>
  <c r="AR55" i="9"/>
  <c r="AT55" i="9" s="1"/>
  <c r="Z55" i="9"/>
  <c r="AR61" i="9"/>
  <c r="AT61" i="9" s="1"/>
  <c r="AG52" i="9"/>
  <c r="AX120" i="22"/>
  <c r="AX57" i="22"/>
  <c r="BG98" i="22"/>
  <c r="G185" i="22" s="1"/>
  <c r="BN35" i="9"/>
  <c r="R127" i="15"/>
  <c r="AX98" i="15"/>
  <c r="AR46" i="9"/>
  <c r="Q54" i="14" s="1"/>
  <c r="AB54" i="14" s="1"/>
  <c r="CA48" i="9"/>
  <c r="CA42" i="9" s="1"/>
  <c r="BD48" i="9" l="1"/>
  <c r="BE48" i="9" s="1"/>
  <c r="BF48" i="9" s="1"/>
  <c r="BG48" i="9"/>
  <c r="BH48" i="9" s="1"/>
  <c r="BT130" i="9"/>
  <c r="BQ131" i="9"/>
  <c r="BT131" i="9" s="1"/>
  <c r="BQ132" i="9"/>
  <c r="CA126" i="9" s="1"/>
  <c r="R47" i="9"/>
  <c r="S47" i="9" s="1"/>
  <c r="T47" i="9" s="1"/>
  <c r="U47" i="9" s="1"/>
  <c r="V47" i="9" s="1"/>
  <c r="X133" i="20"/>
  <c r="BH105" i="20"/>
  <c r="C152" i="22"/>
  <c r="C162" i="22" s="1"/>
  <c r="AR83" i="22"/>
  <c r="C6" i="25"/>
  <c r="F6" i="25" s="1"/>
  <c r="C7" i="25"/>
  <c r="G7" i="25" a="1"/>
  <c r="G7" i="25" s="1"/>
  <c r="F5" i="25"/>
  <c r="CV131" i="9"/>
  <c r="CW130" i="9"/>
  <c r="H151" i="24"/>
  <c r="BA95" i="20"/>
  <c r="AK50" i="9"/>
  <c r="AL50" i="9" s="1"/>
  <c r="AM50" i="9" s="1"/>
  <c r="AN50" i="9" s="1"/>
  <c r="AO50" i="9" s="1"/>
  <c r="AN49" i="9"/>
  <c r="AO49" i="9" s="1"/>
  <c r="AK49" i="9"/>
  <c r="AL49" i="9" s="1"/>
  <c r="AM49" i="9" s="1"/>
  <c r="BD51" i="9"/>
  <c r="BE51" i="9" s="1"/>
  <c r="BF51" i="9" s="1"/>
  <c r="BG51" i="9" s="1"/>
  <c r="BH51" i="9" s="1"/>
  <c r="R51" i="9"/>
  <c r="S51" i="9" s="1"/>
  <c r="T51" i="9" s="1"/>
  <c r="U51" i="9"/>
  <c r="V51" i="9" s="1"/>
  <c r="BR156" i="9"/>
  <c r="C59" i="11"/>
  <c r="AU92" i="15"/>
  <c r="AR83" i="15"/>
  <c r="FM131" i="9"/>
  <c r="FM126" i="9" s="1"/>
  <c r="R48" i="9"/>
  <c r="S48" i="9" s="1"/>
  <c r="T48" i="9" s="1"/>
  <c r="U48" i="9" s="1"/>
  <c r="V48" i="9" s="1"/>
  <c r="C216" i="22"/>
  <c r="AU28" i="9"/>
  <c r="F8" i="17"/>
  <c r="BD50" i="9"/>
  <c r="BE50" i="9" s="1"/>
  <c r="BF50" i="9" s="1"/>
  <c r="BG50" i="9"/>
  <c r="BH50" i="9" s="1"/>
  <c r="L139" i="22"/>
  <c r="BD49" i="9"/>
  <c r="BE49" i="9" s="1"/>
  <c r="BF49" i="9" s="1"/>
  <c r="BG49" i="9" s="1"/>
  <c r="BH49" i="9" s="1"/>
  <c r="N130" i="9"/>
  <c r="K131" i="9"/>
  <c r="N131" i="9" s="1"/>
  <c r="BD46" i="9"/>
  <c r="BE46" i="9" s="1"/>
  <c r="BF46" i="9" s="1"/>
  <c r="BG46" i="9" s="1"/>
  <c r="R49" i="9"/>
  <c r="S49" i="9" s="1"/>
  <c r="T49" i="9" s="1"/>
  <c r="U49" i="9"/>
  <c r="V49" i="9" s="1"/>
  <c r="C32" i="25"/>
  <c r="F32" i="25" s="1"/>
  <c r="F31" i="25"/>
  <c r="F33" i="25" s="1"/>
  <c r="C33" i="25"/>
  <c r="R50" i="9"/>
  <c r="S50" i="9" s="1"/>
  <c r="T50" i="9" s="1"/>
  <c r="U50" i="9"/>
  <c r="V50" i="9" s="1"/>
  <c r="AZ33" i="24"/>
  <c r="BG98" i="15"/>
  <c r="G186" i="15" s="1"/>
  <c r="AX57" i="15"/>
  <c r="AX120" i="15"/>
  <c r="AK46" i="9"/>
  <c r="AL46" i="9" s="1"/>
  <c r="AM46" i="9" s="1"/>
  <c r="AN46" i="9" s="1"/>
  <c r="N52" i="9"/>
  <c r="Y55" i="9"/>
  <c r="AA55" i="9" s="1"/>
  <c r="Q46" i="9"/>
  <c r="U61" i="24"/>
  <c r="AM127" i="15"/>
  <c r="E216" i="15" s="1"/>
  <c r="R140" i="15"/>
  <c r="AB67" i="24"/>
  <c r="Y140" i="15"/>
  <c r="F72" i="9"/>
  <c r="H65" i="9"/>
  <c r="H72" i="9" s="1"/>
  <c r="U42" i="9"/>
  <c r="L49" i="9"/>
  <c r="L50" i="9"/>
  <c r="L51" i="9"/>
  <c r="L48" i="9"/>
  <c r="L47" i="9"/>
  <c r="L52" i="9" s="1"/>
  <c r="BI36" i="24"/>
  <c r="J120" i="24" s="1"/>
  <c r="AK51" i="9"/>
  <c r="AL51" i="9" s="1"/>
  <c r="AM51" i="9" s="1"/>
  <c r="AN51" i="9" s="1"/>
  <c r="AO51" i="9" s="1"/>
  <c r="EE132" i="9"/>
  <c r="BD47" i="9"/>
  <c r="BE47" i="9" s="1"/>
  <c r="BF47" i="9" s="1"/>
  <c r="BG47" i="9"/>
  <c r="BH47" i="9" s="1"/>
  <c r="BG40" i="24"/>
  <c r="BI40" i="24" s="1"/>
  <c r="J124" i="24" s="1"/>
  <c r="BG105" i="15"/>
  <c r="G193" i="15" s="1"/>
  <c r="BE64" i="15"/>
  <c r="FL109" i="9"/>
  <c r="FM108" i="9"/>
  <c r="FM109" i="9" s="1"/>
  <c r="FM104" i="9" s="1"/>
  <c r="F89" i="11"/>
  <c r="C92" i="11"/>
  <c r="C93" i="11"/>
  <c r="C90" i="11"/>
  <c r="CL210" i="9" s="1"/>
  <c r="C91" i="11"/>
  <c r="C94" i="11"/>
  <c r="G74" i="11" s="1"/>
  <c r="C190" i="11"/>
  <c r="F190" i="11" s="1"/>
  <c r="AH130" i="9"/>
  <c r="AE131" i="9"/>
  <c r="AE132" i="9"/>
  <c r="AO126" i="9" s="1"/>
  <c r="X74" i="24"/>
  <c r="AP64" i="24"/>
  <c r="J151" i="24" s="1"/>
  <c r="BA130" i="9"/>
  <c r="AX131" i="9"/>
  <c r="AX132" i="9" s="1"/>
  <c r="BH126" i="9" s="1"/>
  <c r="AK48" i="9"/>
  <c r="AL48" i="9" s="1"/>
  <c r="AM48" i="9" s="1"/>
  <c r="AN48" i="9"/>
  <c r="AO48" i="9" s="1"/>
  <c r="BG92" i="22"/>
  <c r="G179" i="22" s="1"/>
  <c r="AU120" i="22"/>
  <c r="AU51" i="22"/>
  <c r="S128" i="15" l="1"/>
  <c r="AY99" i="15"/>
  <c r="AS130" i="9"/>
  <c r="Q55" i="14" s="1"/>
  <c r="AB55" i="14" s="1"/>
  <c r="N124" i="22"/>
  <c r="AV94" i="22"/>
  <c r="CL211" i="9"/>
  <c r="CV206" i="9" s="1"/>
  <c r="CM210" i="9"/>
  <c r="CM211" i="9" s="1"/>
  <c r="AN52" i="9"/>
  <c r="AO46" i="9"/>
  <c r="Q27" i="9"/>
  <c r="D7" i="14" s="1"/>
  <c r="BG52" i="9"/>
  <c r="BH46" i="9"/>
  <c r="Z138" i="9"/>
  <c r="AR137" i="9"/>
  <c r="AT137" i="9" s="1"/>
  <c r="AM141" i="20"/>
  <c r="BO120" i="20"/>
  <c r="BQ120" i="20" s="1"/>
  <c r="E59" i="11"/>
  <c r="W131" i="15"/>
  <c r="BA103" i="15"/>
  <c r="BL130" i="9"/>
  <c r="Q58" i="14" s="1"/>
  <c r="AB58" i="14" s="1"/>
  <c r="F7" i="25"/>
  <c r="I5" i="25" s="1"/>
  <c r="I92" i="11"/>
  <c r="F7" i="17"/>
  <c r="K63" i="9"/>
  <c r="AV94" i="15"/>
  <c r="N125" i="15"/>
  <c r="Y140" i="9"/>
  <c r="N132" i="9"/>
  <c r="Q131" i="9" s="1"/>
  <c r="R131" i="9" s="1"/>
  <c r="S131" i="9" s="1"/>
  <c r="T131" i="9" s="1"/>
  <c r="U131" i="9" s="1"/>
  <c r="V131" i="9" s="1"/>
  <c r="Y138" i="9"/>
  <c r="AA138" i="9" s="1"/>
  <c r="Q130" i="9"/>
  <c r="BJ105" i="20"/>
  <c r="J192" i="20" s="1"/>
  <c r="BH60" i="20"/>
  <c r="AT18" i="24"/>
  <c r="BG83" i="15"/>
  <c r="G171" i="15" s="1"/>
  <c r="AR42" i="15"/>
  <c r="BA50" i="20"/>
  <c r="AS138" i="9"/>
  <c r="BK138" i="9"/>
  <c r="BM138" i="9" s="1"/>
  <c r="BK137" i="9"/>
  <c r="AS140" i="9"/>
  <c r="AS137" i="9"/>
  <c r="BT156" i="9"/>
  <c r="BQ156" i="9"/>
  <c r="F12" i="17" s="1"/>
  <c r="BR157" i="9"/>
  <c r="CA152" i="9"/>
  <c r="BA87" i="15" s="1"/>
  <c r="K90" i="11"/>
  <c r="F92" i="11"/>
  <c r="F94" i="11" s="1"/>
  <c r="C193" i="11"/>
  <c r="F193" i="11" s="1"/>
  <c r="H148" i="24"/>
  <c r="AX95" i="20"/>
  <c r="BP122" i="20"/>
  <c r="BQ122" i="20" s="1"/>
  <c r="AO141" i="20"/>
  <c r="AO143" i="20" s="1"/>
  <c r="AB74" i="24"/>
  <c r="K132" i="9"/>
  <c r="U126" i="9" s="1"/>
  <c r="BG83" i="22"/>
  <c r="G170" i="22" s="1"/>
  <c r="AR42" i="22"/>
  <c r="AR120" i="22"/>
  <c r="I199" i="11"/>
  <c r="P191" i="11"/>
  <c r="AP61" i="24"/>
  <c r="J148" i="24" s="1"/>
  <c r="U74" i="24"/>
  <c r="G76" i="11"/>
  <c r="G75" i="11"/>
  <c r="P112" i="11" s="1"/>
  <c r="G78" i="11"/>
  <c r="G73" i="11"/>
  <c r="G77" i="11"/>
  <c r="R46" i="9"/>
  <c r="S46" i="9" s="1"/>
  <c r="T46" i="9" s="1"/>
  <c r="U46" i="9" s="1"/>
  <c r="AP133" i="20"/>
  <c r="H222" i="20" s="1"/>
  <c r="X143" i="20"/>
  <c r="BA131" i="9"/>
  <c r="BK140" i="9" s="1"/>
  <c r="BM140" i="9" s="1"/>
  <c r="BK114" i="9"/>
  <c r="BM114" i="9" s="1"/>
  <c r="BK115" i="9"/>
  <c r="BM115" i="9" s="1"/>
  <c r="BK113" i="9"/>
  <c r="F91" i="11"/>
  <c r="J92" i="11" s="1"/>
  <c r="J90" i="11"/>
  <c r="C192" i="11"/>
  <c r="F192" i="11" s="1"/>
  <c r="AW27" i="24"/>
  <c r="AU120" i="15"/>
  <c r="BG92" i="15"/>
  <c r="G180" i="15" s="1"/>
  <c r="AU51" i="15"/>
  <c r="I90" i="11"/>
  <c r="M90" i="11" s="1"/>
  <c r="N90" i="11" s="1"/>
  <c r="F90" i="11"/>
  <c r="H92" i="11" s="1"/>
  <c r="C191" i="11"/>
  <c r="CW131" i="9"/>
  <c r="CW126" i="9" s="1"/>
  <c r="C194" i="11"/>
  <c r="F194" i="11" s="1"/>
  <c r="L90" i="11"/>
  <c r="F93" i="11"/>
  <c r="L92" i="11" s="1"/>
  <c r="C153" i="15"/>
  <c r="L124" i="15"/>
  <c r="CE141" i="9"/>
  <c r="BL139" i="9"/>
  <c r="EQ142" i="9"/>
  <c r="ES142" i="9" s="1"/>
  <c r="H8" i="17"/>
  <c r="G8" i="17"/>
  <c r="I8" i="17" s="1"/>
  <c r="BL140" i="9"/>
  <c r="CE139" i="9"/>
  <c r="CG139" i="9" s="1"/>
  <c r="BW130" i="9"/>
  <c r="BL137" i="9"/>
  <c r="BL138" i="9"/>
  <c r="BT132" i="9"/>
  <c r="BW131" i="9" s="1"/>
  <c r="BX131" i="9" s="1"/>
  <c r="BY131" i="9" s="1"/>
  <c r="BZ131" i="9" s="1"/>
  <c r="CA131" i="9" s="1"/>
  <c r="CB131" i="9" s="1"/>
  <c r="AH131" i="9"/>
  <c r="AR140" i="9" s="1"/>
  <c r="AT140" i="9" s="1"/>
  <c r="I35" i="11"/>
  <c r="F141" i="9"/>
  <c r="AS113" i="9"/>
  <c r="F157" i="9"/>
  <c r="F145" i="9"/>
  <c r="H145" i="9" s="1"/>
  <c r="F142" i="9"/>
  <c r="H142" i="9" s="1"/>
  <c r="F146" i="9"/>
  <c r="H146" i="9" s="1"/>
  <c r="F147" i="9"/>
  <c r="H147" i="9" s="1"/>
  <c r="F143" i="9"/>
  <c r="H143" i="9" s="1"/>
  <c r="F148" i="9"/>
  <c r="H148" i="9" s="1"/>
  <c r="F144" i="9"/>
  <c r="H144" i="9" s="1"/>
  <c r="BI33" i="24"/>
  <c r="J117" i="24" s="1"/>
  <c r="AZ55" i="24"/>
  <c r="J5" i="25" l="1"/>
  <c r="K5" i="25" s="1"/>
  <c r="L5" i="25" s="1"/>
  <c r="M5" i="25" s="1"/>
  <c r="C51" i="25"/>
  <c r="U52" i="9"/>
  <c r="V46" i="9"/>
  <c r="S127" i="22"/>
  <c r="V62" i="24" s="1"/>
  <c r="AY99" i="22"/>
  <c r="AS84" i="22"/>
  <c r="D153" i="22"/>
  <c r="D162" i="22" s="1"/>
  <c r="F149" i="9"/>
  <c r="K144" i="9" s="1"/>
  <c r="H141" i="9"/>
  <c r="H149" i="9" s="1"/>
  <c r="F85" i="24"/>
  <c r="F95" i="24" s="1"/>
  <c r="C163" i="15"/>
  <c r="BR230" i="11"/>
  <c r="BR248" i="9"/>
  <c r="D154" i="15"/>
  <c r="AS84" i="15"/>
  <c r="BA103" i="22"/>
  <c r="BC38" i="24" s="1"/>
  <c r="BI38" i="24" s="1"/>
  <c r="J122" i="24" s="1"/>
  <c r="W130" i="22"/>
  <c r="Z65" i="24" s="1"/>
  <c r="P192" i="11"/>
  <c r="I203" i="11"/>
  <c r="C103" i="11"/>
  <c r="K114" i="11"/>
  <c r="BI18" i="24"/>
  <c r="J102" i="24" s="1"/>
  <c r="AH132" i="9"/>
  <c r="AK130" i="9" s="1"/>
  <c r="BM137" i="9"/>
  <c r="Q59" i="24"/>
  <c r="N140" i="15"/>
  <c r="N60" i="11"/>
  <c r="D51" i="11"/>
  <c r="N59" i="11"/>
  <c r="BW132" i="9"/>
  <c r="BX130" i="9"/>
  <c r="BY130" i="9" s="1"/>
  <c r="BZ130" i="9" s="1"/>
  <c r="CA130" i="9" s="1"/>
  <c r="G7" i="17"/>
  <c r="I7" i="17" s="1"/>
  <c r="H7" i="17"/>
  <c r="K92" i="11"/>
  <c r="AO52" i="9"/>
  <c r="AO42" i="9" s="1"/>
  <c r="BA46" i="15"/>
  <c r="BC22" i="24"/>
  <c r="J35" i="11"/>
  <c r="G35" i="11"/>
  <c r="C64" i="11"/>
  <c r="E64" i="11" s="1"/>
  <c r="N65" i="11" s="1"/>
  <c r="L65" i="11" s="1"/>
  <c r="H12" i="17"/>
  <c r="G12" i="17"/>
  <c r="I12" i="17" s="1"/>
  <c r="CL282" i="9"/>
  <c r="E118" i="11"/>
  <c r="BW156" i="9"/>
  <c r="BX156" i="9" s="1"/>
  <c r="BY156" i="9" s="1"/>
  <c r="BZ156" i="9" s="1"/>
  <c r="CA156" i="9" s="1"/>
  <c r="CA157" i="9" s="1"/>
  <c r="CB156" i="9"/>
  <c r="CB152" i="9" s="1"/>
  <c r="BT157" i="9"/>
  <c r="CB157" i="9" s="1"/>
  <c r="CE144" i="9"/>
  <c r="I6" i="25"/>
  <c r="I7" i="25" s="1"/>
  <c r="AR138" i="9"/>
  <c r="AT138" i="9" s="1"/>
  <c r="AV53" i="22"/>
  <c r="AV120" i="22"/>
  <c r="BG94" i="22"/>
  <c r="G181" i="22" s="1"/>
  <c r="BH109" i="20"/>
  <c r="AB136" i="20"/>
  <c r="BM113" i="9"/>
  <c r="BM116" i="9" s="1"/>
  <c r="BK116" i="9"/>
  <c r="C220" i="22" s="1"/>
  <c r="AA140" i="9"/>
  <c r="N139" i="22"/>
  <c r="C195" i="11"/>
  <c r="F191" i="11"/>
  <c r="AX50" i="20"/>
  <c r="AX29" i="24"/>
  <c r="BG94" i="15"/>
  <c r="G182" i="15" s="1"/>
  <c r="AV120" i="15"/>
  <c r="AV53" i="15"/>
  <c r="AY120" i="15"/>
  <c r="BG99" i="15"/>
  <c r="G187" i="15" s="1"/>
  <c r="AY58" i="15"/>
  <c r="CQ210" i="9"/>
  <c r="K155" i="9"/>
  <c r="H157" i="9"/>
  <c r="AM143" i="20"/>
  <c r="C217" i="22"/>
  <c r="AU113" i="9"/>
  <c r="O58" i="24"/>
  <c r="L140" i="15"/>
  <c r="Q132" i="9"/>
  <c r="R130" i="9"/>
  <c r="S130" i="9" s="1"/>
  <c r="T130" i="9" s="1"/>
  <c r="U130" i="9" s="1"/>
  <c r="AW55" i="24"/>
  <c r="BI27" i="24"/>
  <c r="J111" i="24" s="1"/>
  <c r="AR139" i="9"/>
  <c r="Z140" i="9"/>
  <c r="AB134" i="15"/>
  <c r="BE108" i="15"/>
  <c r="EB133" i="9"/>
  <c r="P108" i="11"/>
  <c r="Z79" i="11"/>
  <c r="AC79" i="11" s="1"/>
  <c r="P110" i="11"/>
  <c r="Z76" i="11"/>
  <c r="AC76" i="11" s="1"/>
  <c r="P111" i="11"/>
  <c r="P109" i="11"/>
  <c r="Z78" i="11"/>
  <c r="AC78" i="11" s="1"/>
  <c r="Z75" i="11"/>
  <c r="P107" i="11"/>
  <c r="Z77" i="11"/>
  <c r="AC77" i="11" s="1"/>
  <c r="BG103" i="15"/>
  <c r="G191" i="15" s="1"/>
  <c r="BA62" i="15"/>
  <c r="AM131" i="15"/>
  <c r="E220" i="15" s="1"/>
  <c r="W140" i="15"/>
  <c r="CE140" i="9"/>
  <c r="M92" i="11"/>
  <c r="AS139" i="9"/>
  <c r="BK139" i="9"/>
  <c r="BM139" i="9" s="1"/>
  <c r="J199" i="11"/>
  <c r="K199" i="11" s="1"/>
  <c r="M191" i="11"/>
  <c r="BA132" i="9"/>
  <c r="BD130" i="9" s="1"/>
  <c r="L63" i="9"/>
  <c r="K64" i="9"/>
  <c r="BH52" i="9"/>
  <c r="BH42" i="9" s="1"/>
  <c r="AM128" i="15"/>
  <c r="E217" i="15" s="1"/>
  <c r="S140" i="15"/>
  <c r="AP65" i="24" l="1"/>
  <c r="J152" i="24" s="1"/>
  <c r="Z74" i="24"/>
  <c r="AP62" i="24"/>
  <c r="J149" i="24" s="1"/>
  <c r="V74" i="24"/>
  <c r="F10" i="17"/>
  <c r="L155" i="9"/>
  <c r="K156" i="9"/>
  <c r="P190" i="11"/>
  <c r="F195" i="11"/>
  <c r="I200" i="11"/>
  <c r="CL241" i="9"/>
  <c r="S110" i="11"/>
  <c r="W139" i="22"/>
  <c r="AM130" i="22"/>
  <c r="AC89" i="11"/>
  <c r="BE130" i="9"/>
  <c r="BF130" i="9" s="1"/>
  <c r="BG130" i="9" s="1"/>
  <c r="BH130" i="9" s="1"/>
  <c r="BD132" i="9"/>
  <c r="AY120" i="22"/>
  <c r="BG99" i="22"/>
  <c r="G186" i="22" s="1"/>
  <c r="AY58" i="22"/>
  <c r="O74" i="24"/>
  <c r="CB130" i="9"/>
  <c r="CA132" i="9"/>
  <c r="S107" i="11"/>
  <c r="CL238" i="9"/>
  <c r="H149" i="24"/>
  <c r="AY95" i="20"/>
  <c r="AK131" i="9"/>
  <c r="AL131" i="9" s="1"/>
  <c r="AM131" i="9" s="1"/>
  <c r="AN131" i="9" s="1"/>
  <c r="AO131" i="9" s="1"/>
  <c r="AP131" i="9" s="1"/>
  <c r="BT230" i="11"/>
  <c r="BQ230" i="11"/>
  <c r="AC90" i="11"/>
  <c r="AX96" i="20"/>
  <c r="AQ46" i="9"/>
  <c r="O127" i="20"/>
  <c r="U132" i="9"/>
  <c r="V130" i="9"/>
  <c r="Q115" i="9"/>
  <c r="D16" i="14" s="1"/>
  <c r="BA62" i="22"/>
  <c r="BG103" i="22"/>
  <c r="G190" i="22" s="1"/>
  <c r="BA120" i="22"/>
  <c r="AU19" i="24"/>
  <c r="AS43" i="15"/>
  <c r="BG84" i="15"/>
  <c r="G172" i="15" s="1"/>
  <c r="EB134" i="9"/>
  <c r="C52" i="25"/>
  <c r="J6" i="25"/>
  <c r="K6" i="25" s="1"/>
  <c r="L6" i="25" s="1"/>
  <c r="M6" i="25" s="1"/>
  <c r="N6" i="25" s="1"/>
  <c r="AK132" i="9"/>
  <c r="AL130" i="9"/>
  <c r="AM130" i="9" s="1"/>
  <c r="AN130" i="9" s="1"/>
  <c r="AO130" i="9" s="1"/>
  <c r="AF80" i="11"/>
  <c r="AF77" i="11"/>
  <c r="BE67" i="15"/>
  <c r="BG108" i="15"/>
  <c r="G196" i="15" s="1"/>
  <c r="BE120" i="15"/>
  <c r="BA34" i="24"/>
  <c r="BT248" i="9"/>
  <c r="BR249" i="9"/>
  <c r="CA244" i="9" s="1"/>
  <c r="BB87" i="15" s="1"/>
  <c r="BQ248" i="9"/>
  <c r="AC75" i="11"/>
  <c r="Z80" i="11"/>
  <c r="H152" i="24"/>
  <c r="BB95" i="20"/>
  <c r="K112" i="11"/>
  <c r="K110" i="11"/>
  <c r="K111" i="11"/>
  <c r="K109" i="11"/>
  <c r="K107" i="11"/>
  <c r="K108" i="11"/>
  <c r="K113" i="11"/>
  <c r="F11" i="17"/>
  <c r="CL240" i="9"/>
  <c r="S109" i="11"/>
  <c r="AB143" i="20"/>
  <c r="CL242" i="9"/>
  <c r="S111" i="11"/>
  <c r="BH64" i="20"/>
  <c r="BJ109" i="20"/>
  <c r="J196" i="20" s="1"/>
  <c r="D51" i="25"/>
  <c r="E51" i="25"/>
  <c r="F51" i="25"/>
  <c r="G51" i="25"/>
  <c r="L64" i="9"/>
  <c r="U59" i="9" s="1"/>
  <c r="N63" i="9"/>
  <c r="BG84" i="22"/>
  <c r="G171" i="22" s="1"/>
  <c r="AS43" i="22"/>
  <c r="CL239" i="9"/>
  <c r="S108" i="11"/>
  <c r="Q74" i="24"/>
  <c r="N38" i="11"/>
  <c r="N35" i="11"/>
  <c r="N36" i="11"/>
  <c r="F35" i="11"/>
  <c r="S139" i="22"/>
  <c r="AM127" i="22"/>
  <c r="G86" i="24"/>
  <c r="G95" i="24" s="1"/>
  <c r="D163" i="15"/>
  <c r="BD131" i="9"/>
  <c r="BE131" i="9" s="1"/>
  <c r="BF131" i="9" s="1"/>
  <c r="BG131" i="9" s="1"/>
  <c r="BH131" i="9" s="1"/>
  <c r="BI131" i="9" s="1"/>
  <c r="AB140" i="15"/>
  <c r="BD91" i="20"/>
  <c r="E60" i="11"/>
  <c r="L59" i="11"/>
  <c r="V52" i="9"/>
  <c r="V42" i="9" s="1"/>
  <c r="L93" i="11"/>
  <c r="H93" i="11"/>
  <c r="CO210" i="9"/>
  <c r="K93" i="11"/>
  <c r="J93" i="11"/>
  <c r="I93" i="11"/>
  <c r="AT139" i="9"/>
  <c r="E112" i="11"/>
  <c r="C112" i="11" s="1"/>
  <c r="E107" i="11"/>
  <c r="C107" i="11" s="1"/>
  <c r="E111" i="11"/>
  <c r="C111" i="11" s="1"/>
  <c r="E108" i="11"/>
  <c r="C108" i="11" s="1"/>
  <c r="E113" i="11"/>
  <c r="C113" i="11" s="1"/>
  <c r="E110" i="11"/>
  <c r="C110" i="11" s="1"/>
  <c r="E109" i="11"/>
  <c r="C109" i="11" s="1"/>
  <c r="E117" i="11"/>
  <c r="C117" i="11" s="1"/>
  <c r="E115" i="11"/>
  <c r="C115" i="11" s="1"/>
  <c r="E114" i="11"/>
  <c r="C114" i="11" s="1"/>
  <c r="E116" i="11"/>
  <c r="C116" i="11" s="1"/>
  <c r="F101" i="11" s="1"/>
  <c r="AT47" i="9"/>
  <c r="AX55" i="24"/>
  <c r="BI29" i="24"/>
  <c r="J113" i="24" s="1"/>
  <c r="CL274" i="9"/>
  <c r="CO274" i="9" s="1"/>
  <c r="CV267" i="9"/>
  <c r="CL275" i="9"/>
  <c r="CO275" i="9" s="1"/>
  <c r="CL272" i="9"/>
  <c r="CO272" i="9" s="1"/>
  <c r="CL271" i="9"/>
  <c r="CL273" i="9"/>
  <c r="CO273" i="9" s="1"/>
  <c r="CL276" i="9"/>
  <c r="CO276" i="9" s="1"/>
  <c r="CL277" i="9"/>
  <c r="CO277" i="9" s="1"/>
  <c r="CL278" i="9"/>
  <c r="CO278" i="9" s="1"/>
  <c r="CL279" i="9"/>
  <c r="CO279" i="9" s="1"/>
  <c r="CL281" i="9"/>
  <c r="CO281" i="9" s="1"/>
  <c r="CL280" i="9"/>
  <c r="CO280" i="9" s="1"/>
  <c r="L60" i="11"/>
  <c r="CL142" i="9" s="1"/>
  <c r="BJ46" i="9"/>
  <c r="U130" i="20"/>
  <c r="AT46" i="9"/>
  <c r="BA102" i="20"/>
  <c r="BM47" i="9"/>
  <c r="BM46" i="9"/>
  <c r="AC91" i="11"/>
  <c r="AG79" i="11"/>
  <c r="AF79" i="11"/>
  <c r="AH79" i="11" s="1"/>
  <c r="K94" i="11"/>
  <c r="CF203" i="11" s="1"/>
  <c r="J203" i="11"/>
  <c r="K203" i="11" s="1"/>
  <c r="M192" i="11"/>
  <c r="F9" i="17"/>
  <c r="K145" i="9"/>
  <c r="L144" i="9"/>
  <c r="N5" i="25"/>
  <c r="CO239" i="9" l="1"/>
  <c r="F156" i="20"/>
  <c r="F166" i="20" s="1"/>
  <c r="AU87" i="20"/>
  <c r="CL223" i="9"/>
  <c r="I108" i="11"/>
  <c r="K200" i="11"/>
  <c r="BI34" i="24"/>
  <c r="J118" i="24" s="1"/>
  <c r="BA55" i="24"/>
  <c r="EL126" i="9"/>
  <c r="EC131" i="9"/>
  <c r="EC130" i="9"/>
  <c r="EC132" i="9"/>
  <c r="Z91" i="11"/>
  <c r="CL243" i="9"/>
  <c r="CV234" i="9" s="1"/>
  <c r="CO238" i="9"/>
  <c r="CM238" i="9"/>
  <c r="J200" i="11"/>
  <c r="G198" i="11"/>
  <c r="F198" i="11" s="1"/>
  <c r="J201" i="11"/>
  <c r="M190" i="11"/>
  <c r="C60" i="11"/>
  <c r="E61" i="11"/>
  <c r="E62" i="11"/>
  <c r="F59" i="11" s="1"/>
  <c r="AR88" i="15"/>
  <c r="CL226" i="9"/>
  <c r="I111" i="11"/>
  <c r="EC133" i="9"/>
  <c r="AG77" i="11"/>
  <c r="Z89" i="11"/>
  <c r="H10" i="17"/>
  <c r="G10" i="17"/>
  <c r="I10" i="17" s="1"/>
  <c r="F8" i="14"/>
  <c r="C54" i="14"/>
  <c r="F98" i="11"/>
  <c r="U143" i="20"/>
  <c r="AP130" i="20"/>
  <c r="H219" i="20" s="1"/>
  <c r="E53" i="25"/>
  <c r="CO240" i="9"/>
  <c r="AH77" i="11"/>
  <c r="BJ96" i="20"/>
  <c r="J183" i="20" s="1"/>
  <c r="AX51" i="20"/>
  <c r="AX124" i="20"/>
  <c r="F100" i="11"/>
  <c r="F14" i="17"/>
  <c r="BQ249" i="9"/>
  <c r="CL228" i="9"/>
  <c r="I113" i="11"/>
  <c r="C118" i="11"/>
  <c r="AY50" i="20"/>
  <c r="CL222" i="9"/>
  <c r="I107" i="11"/>
  <c r="I114" i="11" s="1"/>
  <c r="F103" i="11" s="1"/>
  <c r="V132" i="9"/>
  <c r="V126" i="9" s="1"/>
  <c r="Q117" i="9"/>
  <c r="D18" i="14" s="1"/>
  <c r="D54" i="14"/>
  <c r="F9" i="14"/>
  <c r="BH132" i="9"/>
  <c r="BI130" i="9"/>
  <c r="C57" i="14"/>
  <c r="G8" i="14"/>
  <c r="K100" i="11"/>
  <c r="C101" i="11"/>
  <c r="F39" i="11"/>
  <c r="G39" i="11" s="1"/>
  <c r="E35" i="11"/>
  <c r="F38" i="11"/>
  <c r="G38" i="11" s="1"/>
  <c r="CO242" i="9"/>
  <c r="S112" i="11"/>
  <c r="M7" i="25"/>
  <c r="I110" i="11"/>
  <c r="CL225" i="9"/>
  <c r="O143" i="20"/>
  <c r="C240" i="11"/>
  <c r="L156" i="9"/>
  <c r="U151" i="9" s="1"/>
  <c r="N155" i="9"/>
  <c r="BJ102" i="20"/>
  <c r="J189" i="20" s="1"/>
  <c r="BA57" i="20"/>
  <c r="BA124" i="20"/>
  <c r="G53" i="25"/>
  <c r="C58" i="25" s="1"/>
  <c r="CL227" i="9"/>
  <c r="I112" i="11"/>
  <c r="CB132" i="9"/>
  <c r="CB126" i="9" s="1"/>
  <c r="N144" i="9"/>
  <c r="L145" i="9"/>
  <c r="U140" i="9" s="1"/>
  <c r="CO271" i="9"/>
  <c r="BB50" i="20"/>
  <c r="CF228" i="9"/>
  <c r="EE133" i="9"/>
  <c r="CO211" i="9"/>
  <c r="CR210" i="9" s="1"/>
  <c r="CS210" i="9" s="1"/>
  <c r="CT210" i="9" s="1"/>
  <c r="CU210" i="9" s="1"/>
  <c r="CV210" i="9" s="1"/>
  <c r="G9" i="17"/>
  <c r="I9" i="17" s="1"/>
  <c r="H9" i="17"/>
  <c r="H51" i="25"/>
  <c r="D53" i="25"/>
  <c r="BI19" i="24"/>
  <c r="J103" i="24" s="1"/>
  <c r="AG80" i="11"/>
  <c r="AH80" i="11" s="1"/>
  <c r="Z90" i="11"/>
  <c r="CM241" i="9"/>
  <c r="CO241" i="9"/>
  <c r="CO235" i="11"/>
  <c r="CO234" i="11"/>
  <c r="BD22" i="24"/>
  <c r="BB46" i="15"/>
  <c r="BT249" i="9"/>
  <c r="CO256" i="9"/>
  <c r="BW248" i="9"/>
  <c r="BX248" i="9" s="1"/>
  <c r="BY248" i="9" s="1"/>
  <c r="BZ248" i="9" s="1"/>
  <c r="CA248" i="9" s="1"/>
  <c r="CA249" i="9" s="1"/>
  <c r="CO255" i="9"/>
  <c r="F52" i="25"/>
  <c r="F53" i="25" s="1"/>
  <c r="E52" i="25"/>
  <c r="G52" i="25"/>
  <c r="D52" i="25"/>
  <c r="Y62" i="9"/>
  <c r="N64" i="9"/>
  <c r="Q63" i="9" s="1"/>
  <c r="Y61" i="9"/>
  <c r="AG68" i="9"/>
  <c r="AG67" i="9"/>
  <c r="N76" i="9"/>
  <c r="CL224" i="9"/>
  <c r="I109" i="11"/>
  <c r="G9" i="14"/>
  <c r="D57" i="14"/>
  <c r="L94" i="11"/>
  <c r="CF210" i="11" s="1"/>
  <c r="H94" i="11"/>
  <c r="J94" i="11"/>
  <c r="AC88" i="11"/>
  <c r="N7" i="25"/>
  <c r="BD46" i="20"/>
  <c r="F14" i="13"/>
  <c r="CO142" i="9"/>
  <c r="BM110" i="15"/>
  <c r="AD134" i="15"/>
  <c r="F99" i="11"/>
  <c r="F102" i="11"/>
  <c r="C53" i="25"/>
  <c r="G11" i="17"/>
  <c r="I11" i="17" s="1"/>
  <c r="H11" i="17"/>
  <c r="AF78" i="11"/>
  <c r="AC80" i="11"/>
  <c r="AP130" i="9"/>
  <c r="AO132" i="9"/>
  <c r="CV211" i="9" l="1"/>
  <c r="CW210" i="9"/>
  <c r="R63" i="9"/>
  <c r="S63" i="9" s="1"/>
  <c r="N156" i="9"/>
  <c r="Q155" i="9"/>
  <c r="BQ213" i="9"/>
  <c r="CO224" i="9"/>
  <c r="CM224" i="9"/>
  <c r="AX213" i="9"/>
  <c r="I100" i="11"/>
  <c r="C98" i="11"/>
  <c r="AD133" i="22"/>
  <c r="AD139" i="22" s="1"/>
  <c r="BM110" i="22"/>
  <c r="BN110" i="22" s="1"/>
  <c r="AT23" i="24"/>
  <c r="AR47" i="15"/>
  <c r="EA239" i="9"/>
  <c r="DF239" i="9"/>
  <c r="E240" i="11"/>
  <c r="Z62" i="9"/>
  <c r="AA62" i="9" s="1"/>
  <c r="AD68" i="9"/>
  <c r="N145" i="9"/>
  <c r="Q144" i="9" s="1"/>
  <c r="Y142" i="9"/>
  <c r="AH146" i="9"/>
  <c r="AH147" i="9"/>
  <c r="N167" i="9"/>
  <c r="Y139" i="9"/>
  <c r="BQ212" i="9"/>
  <c r="CM223" i="9"/>
  <c r="AX212" i="9"/>
  <c r="CO223" i="9"/>
  <c r="Z134" i="20"/>
  <c r="BD107" i="20"/>
  <c r="F60" i="11"/>
  <c r="H100" i="11"/>
  <c r="C99" i="11"/>
  <c r="AX214" i="9"/>
  <c r="CO225" i="9"/>
  <c r="BQ214" i="9"/>
  <c r="CM225" i="9"/>
  <c r="BQ144" i="9"/>
  <c r="H53" i="25"/>
  <c r="D58" i="25" s="1"/>
  <c r="E58" i="25" s="1"/>
  <c r="AH78" i="11"/>
  <c r="I38" i="11"/>
  <c r="O36" i="11"/>
  <c r="G44" i="11"/>
  <c r="AV88" i="20"/>
  <c r="G157" i="20"/>
  <c r="G166" i="20" s="1"/>
  <c r="Q116" i="9"/>
  <c r="D17" i="14" s="1"/>
  <c r="CL255" i="9"/>
  <c r="BC109" i="22"/>
  <c r="AC133" i="22"/>
  <c r="AC139" i="22" s="1"/>
  <c r="Z61" i="9"/>
  <c r="AA61" i="9" s="1"/>
  <c r="AD67" i="9"/>
  <c r="Z63" i="9"/>
  <c r="AS88" i="15"/>
  <c r="I39" i="11"/>
  <c r="O35" i="11"/>
  <c r="O38" i="11"/>
  <c r="CF219" i="9"/>
  <c r="CO243" i="9"/>
  <c r="CR240" i="9" s="1"/>
  <c r="CR238" i="9"/>
  <c r="CZ247" i="9"/>
  <c r="CL256" i="9"/>
  <c r="CF218" i="9"/>
  <c r="AC134" i="15"/>
  <c r="BC109" i="15"/>
  <c r="DA229" i="9"/>
  <c r="DB229" i="9" s="1"/>
  <c r="EE134" i="9"/>
  <c r="EG133" i="9"/>
  <c r="AC92" i="11"/>
  <c r="AG78" i="11"/>
  <c r="AD88" i="11"/>
  <c r="Z88" i="11"/>
  <c r="AD140" i="15"/>
  <c r="DF238" i="9"/>
  <c r="EA238" i="9"/>
  <c r="BO45" i="24"/>
  <c r="BP45" i="24" s="1"/>
  <c r="BN110" i="15"/>
  <c r="CO227" i="9"/>
  <c r="AX216" i="9"/>
  <c r="BQ216" i="9"/>
  <c r="BI132" i="9"/>
  <c r="BI126" i="9" s="1"/>
  <c r="BN130" i="9" s="1"/>
  <c r="AU131" i="9"/>
  <c r="EC134" i="9"/>
  <c r="CM240" i="9"/>
  <c r="CR239" i="9"/>
  <c r="CM228" i="9"/>
  <c r="CO228" i="9"/>
  <c r="BQ217" i="9"/>
  <c r="F199" i="11"/>
  <c r="F200" i="11"/>
  <c r="C198" i="11"/>
  <c r="I201" i="11"/>
  <c r="BF115" i="15"/>
  <c r="AI137" i="15"/>
  <c r="DV131" i="9"/>
  <c r="Q64" i="14" s="1"/>
  <c r="AB64" i="14" s="1"/>
  <c r="DW107" i="9"/>
  <c r="ES117" i="9"/>
  <c r="DW120" i="9"/>
  <c r="CM239" i="9"/>
  <c r="CM243" i="9" s="1"/>
  <c r="AP132" i="9"/>
  <c r="AP126" i="9" s="1"/>
  <c r="CF144" i="9"/>
  <c r="CG144" i="9" s="1"/>
  <c r="CO282" i="9"/>
  <c r="CR271" i="9"/>
  <c r="N78" i="9"/>
  <c r="Q76" i="9" s="1"/>
  <c r="R76" i="9" s="1"/>
  <c r="S76" i="9" s="1"/>
  <c r="T76" i="9" s="1"/>
  <c r="U76" i="9" s="1"/>
  <c r="N77" i="9"/>
  <c r="K76" i="9"/>
  <c r="Y63" i="9"/>
  <c r="AA63" i="9" s="1"/>
  <c r="I159" i="15"/>
  <c r="AS89" i="15"/>
  <c r="E39" i="11"/>
  <c r="V14" i="11" s="1"/>
  <c r="E38" i="11"/>
  <c r="V18" i="11"/>
  <c r="C100" i="11"/>
  <c r="J100" i="11"/>
  <c r="AX211" i="9"/>
  <c r="CO222" i="9"/>
  <c r="BQ211" i="9"/>
  <c r="CL229" i="9"/>
  <c r="CV218" i="9" s="1"/>
  <c r="N61" i="11"/>
  <c r="F61" i="11"/>
  <c r="F62" i="11" s="1"/>
  <c r="C61" i="11"/>
  <c r="C102" i="11"/>
  <c r="L100" i="11"/>
  <c r="CB248" i="9"/>
  <c r="EA240" i="9"/>
  <c r="DF240" i="9"/>
  <c r="CB249" i="9"/>
  <c r="CB244" i="9" s="1"/>
  <c r="AU42" i="20"/>
  <c r="BJ87" i="20"/>
  <c r="J174" i="20" s="1"/>
  <c r="CK210" i="9"/>
  <c r="EA133" i="9"/>
  <c r="N92" i="11"/>
  <c r="CZ248" i="9"/>
  <c r="CZ246" i="9"/>
  <c r="H52" i="25"/>
  <c r="CF201" i="11"/>
  <c r="CL234" i="11"/>
  <c r="CP237" i="11" s="1" a="1"/>
  <c r="CP237" i="11" s="1"/>
  <c r="CL235" i="11"/>
  <c r="CF202" i="11"/>
  <c r="CM242" i="9"/>
  <c r="G14" i="17"/>
  <c r="I14" i="17" s="1"/>
  <c r="H14" i="17"/>
  <c r="CO226" i="9"/>
  <c r="AX215" i="9"/>
  <c r="BQ215" i="9"/>
  <c r="AG68" i="24" l="1"/>
  <c r="AG74" i="24" s="1"/>
  <c r="G17" i="14"/>
  <c r="C58" i="14"/>
  <c r="R144" i="9"/>
  <c r="S144" i="9" s="1"/>
  <c r="CS240" i="9"/>
  <c r="CT240" i="9" s="1"/>
  <c r="CU240" i="9" s="1"/>
  <c r="CV240" i="9" s="1"/>
  <c r="CW240" i="9" s="1"/>
  <c r="CR226" i="9"/>
  <c r="CS226" i="9" s="1"/>
  <c r="CT226" i="9" s="1"/>
  <c r="CU226" i="9" s="1"/>
  <c r="CV226" i="9" s="1"/>
  <c r="CW226" i="9" s="1"/>
  <c r="CF226" i="9"/>
  <c r="AE211" i="9"/>
  <c r="BA211" i="9"/>
  <c r="BQ210" i="9"/>
  <c r="C104" i="11"/>
  <c r="L98" i="11"/>
  <c r="BT214" i="9"/>
  <c r="AE212" i="9"/>
  <c r="BA212" i="9"/>
  <c r="F16" i="17"/>
  <c r="C227" i="22"/>
  <c r="EU117" i="9"/>
  <c r="ED238" i="9"/>
  <c r="CS238" i="9"/>
  <c r="CT238" i="9" s="1"/>
  <c r="CU238" i="9" s="1"/>
  <c r="CV238" i="9" s="1"/>
  <c r="CR225" i="9"/>
  <c r="CS225" i="9" s="1"/>
  <c r="CT225" i="9" s="1"/>
  <c r="CU225" i="9" s="1"/>
  <c r="CV225" i="9" s="1"/>
  <c r="CW225" i="9" s="1"/>
  <c r="CF225" i="9"/>
  <c r="K240" i="11"/>
  <c r="E241" i="11"/>
  <c r="K241" i="11"/>
  <c r="I241" i="11" s="1"/>
  <c r="BA213" i="9"/>
  <c r="AE213" i="9"/>
  <c r="D102" i="11"/>
  <c r="M98" i="11"/>
  <c r="CS271" i="9"/>
  <c r="CT271" i="9" s="1"/>
  <c r="CU271" i="9" s="1"/>
  <c r="CV271" i="9"/>
  <c r="CR241" i="9"/>
  <c r="CR243" i="9" s="1"/>
  <c r="BT212" i="9"/>
  <c r="CR275" i="9"/>
  <c r="CR278" i="9"/>
  <c r="CR280" i="9"/>
  <c r="CR272" i="9"/>
  <c r="CR281" i="9"/>
  <c r="CR276" i="9"/>
  <c r="CR277" i="9"/>
  <c r="CR274" i="9"/>
  <c r="CR273" i="9"/>
  <c r="CR279" i="9"/>
  <c r="I98" i="11"/>
  <c r="N98" i="11" s="1"/>
  <c r="O98" i="11" s="1"/>
  <c r="CF224" i="9"/>
  <c r="N62" i="11"/>
  <c r="CR242" i="9"/>
  <c r="BE44" i="24"/>
  <c r="BC120" i="15"/>
  <c r="BC68" i="15"/>
  <c r="BG109" i="15"/>
  <c r="G197" i="15" s="1"/>
  <c r="ED239" i="9"/>
  <c r="BG89" i="15"/>
  <c r="G177" i="15" s="1"/>
  <c r="AU24" i="24"/>
  <c r="BI24" i="24" s="1"/>
  <c r="J108" i="24" s="1"/>
  <c r="AS48" i="15"/>
  <c r="BT216" i="9"/>
  <c r="AF68" i="24"/>
  <c r="AF74" i="24" s="1"/>
  <c r="AC140" i="15"/>
  <c r="AE146" i="9"/>
  <c r="Z139" i="9"/>
  <c r="Z141" i="9"/>
  <c r="BE91" i="20"/>
  <c r="AA142" i="9"/>
  <c r="BT215" i="9"/>
  <c r="C199" i="11"/>
  <c r="I202" i="11"/>
  <c r="P193" i="11"/>
  <c r="AD89" i="11"/>
  <c r="AD91" i="11"/>
  <c r="AD90" i="11"/>
  <c r="AU23" i="24"/>
  <c r="AS47" i="15"/>
  <c r="BT144" i="9"/>
  <c r="BQ146" i="9"/>
  <c r="CW211" i="9"/>
  <c r="CW206" i="9" s="1"/>
  <c r="V76" i="9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CF223" i="9"/>
  <c r="AE133" i="22"/>
  <c r="AE139" i="22" s="1"/>
  <c r="BM111" i="22"/>
  <c r="BN111" i="22" s="1"/>
  <c r="DY120" i="9"/>
  <c r="EB118" i="9"/>
  <c r="EH133" i="9"/>
  <c r="EI133" i="9" s="1"/>
  <c r="EJ133" i="9" s="1"/>
  <c r="EK133" i="9" s="1"/>
  <c r="EL133" i="9" s="1"/>
  <c r="EM133" i="9" s="1"/>
  <c r="AE67" i="23"/>
  <c r="EF133" i="9"/>
  <c r="CN210" i="9"/>
  <c r="CN211" i="9" s="1"/>
  <c r="ED133" i="9"/>
  <c r="ED134" i="9" s="1"/>
  <c r="BH50" i="23" s="1"/>
  <c r="CP210" i="9"/>
  <c r="CP211" i="9" s="1"/>
  <c r="CS239" i="9"/>
  <c r="CT239" i="9" s="1"/>
  <c r="CU239" i="9" s="1"/>
  <c r="CV239" i="9" s="1"/>
  <c r="CW239" i="9" s="1"/>
  <c r="J38" i="11"/>
  <c r="J44" i="11" s="1"/>
  <c r="CL143" i="9"/>
  <c r="I44" i="11"/>
  <c r="J98" i="11"/>
  <c r="D100" i="11"/>
  <c r="EB105" i="9"/>
  <c r="DY107" i="9"/>
  <c r="DI238" i="9"/>
  <c r="AE214" i="9"/>
  <c r="BA214" i="9"/>
  <c r="CL144" i="9"/>
  <c r="L61" i="11"/>
  <c r="L62" i="11" s="1"/>
  <c r="BQ145" i="9"/>
  <c r="BT145" i="9" s="1"/>
  <c r="AA139" i="9"/>
  <c r="AM137" i="15"/>
  <c r="E226" i="15" s="1"/>
  <c r="AI140" i="15"/>
  <c r="F18" i="14"/>
  <c r="D55" i="14"/>
  <c r="C224" i="22"/>
  <c r="DD229" i="9"/>
  <c r="BG109" i="22"/>
  <c r="G196" i="22" s="1"/>
  <c r="BC120" i="22"/>
  <c r="BC68" i="22"/>
  <c r="M100" i="11"/>
  <c r="N168" i="9"/>
  <c r="N169" i="9" s="1"/>
  <c r="K167" i="9"/>
  <c r="Y141" i="9"/>
  <c r="DI239" i="9"/>
  <c r="BT213" i="9"/>
  <c r="BG115" i="15"/>
  <c r="G203" i="15" s="1"/>
  <c r="BF74" i="15"/>
  <c r="BB103" i="20"/>
  <c r="V131" i="20"/>
  <c r="AU130" i="9"/>
  <c r="BK130" i="9"/>
  <c r="BN131" i="9"/>
  <c r="Z142" i="9"/>
  <c r="AE147" i="9"/>
  <c r="R155" i="9"/>
  <c r="S155" i="9" s="1"/>
  <c r="T155" i="9" s="1"/>
  <c r="U155" i="9"/>
  <c r="K201" i="11"/>
  <c r="I204" i="11"/>
  <c r="EA237" i="9"/>
  <c r="DF237" i="9"/>
  <c r="Z92" i="11"/>
  <c r="AA88" i="11"/>
  <c r="E21" i="13"/>
  <c r="E23" i="13" s="1"/>
  <c r="AE134" i="15"/>
  <c r="BM111" i="15"/>
  <c r="L91" i="24"/>
  <c r="L95" i="24" s="1"/>
  <c r="I163" i="15"/>
  <c r="AE216" i="9"/>
  <c r="BA216" i="9"/>
  <c r="AD92" i="11"/>
  <c r="K98" i="11"/>
  <c r="J39" i="11"/>
  <c r="CL118" i="9"/>
  <c r="BT211" i="9"/>
  <c r="CR227" i="9"/>
  <c r="CS227" i="9" s="1"/>
  <c r="CT227" i="9" s="1"/>
  <c r="CU227" i="9" s="1"/>
  <c r="CV227" i="9" s="1"/>
  <c r="CW227" i="9" s="1"/>
  <c r="CF227" i="9"/>
  <c r="C62" i="11"/>
  <c r="BJ107" i="20"/>
  <c r="J194" i="20" s="1"/>
  <c r="BD62" i="20"/>
  <c r="CM226" i="9"/>
  <c r="DI240" i="9"/>
  <c r="CM222" i="9"/>
  <c r="Q128" i="20"/>
  <c r="AY98" i="20"/>
  <c r="AR130" i="9"/>
  <c r="CM227" i="9"/>
  <c r="AE215" i="9"/>
  <c r="BA215" i="9"/>
  <c r="ED240" i="9"/>
  <c r="CO229" i="9"/>
  <c r="CR228" i="9" s="1"/>
  <c r="CS228" i="9" s="1"/>
  <c r="CT228" i="9" s="1"/>
  <c r="CU228" i="9" s="1"/>
  <c r="CV228" i="9" s="1"/>
  <c r="CW228" i="9" s="1"/>
  <c r="CF220" i="9"/>
  <c r="CR222" i="9"/>
  <c r="CS222" i="9" s="1"/>
  <c r="CT222" i="9" s="1"/>
  <c r="CU222" i="9" s="1"/>
  <c r="CV222" i="9" s="1"/>
  <c r="CF222" i="9"/>
  <c r="Q77" i="9"/>
  <c r="R77" i="9" s="1"/>
  <c r="S77" i="9" s="1"/>
  <c r="T77" i="9" s="1"/>
  <c r="U77" i="9" s="1"/>
  <c r="U78" i="9" s="1"/>
  <c r="AG69" i="9"/>
  <c r="Y64" i="9"/>
  <c r="K77" i="9"/>
  <c r="BT217" i="9"/>
  <c r="AX217" i="9"/>
  <c r="BJ88" i="20"/>
  <c r="J175" i="20" s="1"/>
  <c r="AV43" i="20"/>
  <c r="AP134" i="20"/>
  <c r="H223" i="20" s="1"/>
  <c r="Z143" i="20"/>
  <c r="Q167" i="9" l="1"/>
  <c r="R167" i="9" s="1"/>
  <c r="S167" i="9" s="1"/>
  <c r="T167" i="9" s="1"/>
  <c r="U167" i="9" s="1"/>
  <c r="CW238" i="9"/>
  <c r="BV210" i="9"/>
  <c r="BC210" i="9" s="1"/>
  <c r="AJ210" i="9" s="1"/>
  <c r="P210" i="9" s="1"/>
  <c r="Z110" i="11"/>
  <c r="AH110" i="11"/>
  <c r="AA91" i="11"/>
  <c r="AA90" i="11"/>
  <c r="AA89" i="11"/>
  <c r="DA246" i="9"/>
  <c r="DB246" i="9" s="1"/>
  <c r="AE137" i="20"/>
  <c r="BH112" i="20"/>
  <c r="CW271" i="9"/>
  <c r="K216" i="9"/>
  <c r="AH216" i="9"/>
  <c r="EC105" i="9"/>
  <c r="F18" i="17"/>
  <c r="EB106" i="9"/>
  <c r="EH134" i="9"/>
  <c r="EI130" i="9"/>
  <c r="EJ130" i="9" s="1"/>
  <c r="EG134" i="9" a="1"/>
  <c r="EG134" i="9" s="1"/>
  <c r="CW222" i="9"/>
  <c r="K213" i="9"/>
  <c r="AH213" i="9"/>
  <c r="O60" i="11"/>
  <c r="O59" i="11"/>
  <c r="O62" i="11" s="1"/>
  <c r="CS272" i="9"/>
  <c r="CT272" i="9" s="1"/>
  <c r="CU272" i="9" s="1"/>
  <c r="CV272" i="9" s="1"/>
  <c r="BK224" i="9"/>
  <c r="AS224" i="9"/>
  <c r="AI106" i="11"/>
  <c r="AA106" i="11"/>
  <c r="K169" i="9"/>
  <c r="U163" i="9" s="1"/>
  <c r="AS223" i="9"/>
  <c r="BK223" i="9"/>
  <c r="C55" i="14"/>
  <c r="F17" i="14"/>
  <c r="CS279" i="9"/>
  <c r="CT279" i="9" s="1"/>
  <c r="CU279" i="9" s="1"/>
  <c r="CV279" i="9"/>
  <c r="CW279" i="9" s="1"/>
  <c r="K212" i="9"/>
  <c r="AH212" i="9"/>
  <c r="BJ103" i="20"/>
  <c r="J190" i="20" s="1"/>
  <c r="BB58" i="20"/>
  <c r="BB124" i="20"/>
  <c r="AP67" i="23"/>
  <c r="AE73" i="23"/>
  <c r="H102" i="23" s="1" a="1"/>
  <c r="BT146" i="9"/>
  <c r="BW144" i="9" s="1"/>
  <c r="CE142" i="9"/>
  <c r="BE55" i="24"/>
  <c r="BI44" i="24"/>
  <c r="J128" i="24" s="1"/>
  <c r="CS281" i="9"/>
  <c r="CT281" i="9" s="1"/>
  <c r="CU281" i="9" s="1"/>
  <c r="CV281" i="9"/>
  <c r="CW281" i="9" s="1"/>
  <c r="BL222" i="9"/>
  <c r="CE222" i="9"/>
  <c r="CG222" i="9" s="1"/>
  <c r="BE46" i="20"/>
  <c r="CE227" i="9"/>
  <c r="CG227" i="9" s="1"/>
  <c r="BL227" i="9"/>
  <c r="O61" i="11"/>
  <c r="CS280" i="9"/>
  <c r="CT280" i="9" s="1"/>
  <c r="CU280" i="9" s="1"/>
  <c r="CV280" i="9"/>
  <c r="CW280" i="9" s="1"/>
  <c r="H159" i="24"/>
  <c r="BI95" i="20"/>
  <c r="BI50" i="20" s="1"/>
  <c r="D103" i="11"/>
  <c r="D101" i="11"/>
  <c r="D199" i="11"/>
  <c r="CS241" i="9"/>
  <c r="CT241" i="9" s="1"/>
  <c r="CU241" i="9" s="1"/>
  <c r="CV241" i="9" s="1"/>
  <c r="DF241" i="9"/>
  <c r="DI237" i="9"/>
  <c r="DG237" i="9"/>
  <c r="CS273" i="9"/>
  <c r="CT273" i="9" s="1"/>
  <c r="CU273" i="9" s="1"/>
  <c r="CV273" i="9"/>
  <c r="CW273" i="9" s="1"/>
  <c r="BF115" i="22"/>
  <c r="AI136" i="22"/>
  <c r="CA140" i="9"/>
  <c r="BA86" i="15" s="1"/>
  <c r="BR144" i="9"/>
  <c r="CE226" i="9"/>
  <c r="CG226" i="9" s="1"/>
  <c r="BL226" i="9"/>
  <c r="CS274" i="9"/>
  <c r="CT274" i="9" s="1"/>
  <c r="CU274" i="9" s="1"/>
  <c r="CV274" i="9"/>
  <c r="CW274" i="9" s="1"/>
  <c r="BJ98" i="20"/>
  <c r="J185" i="20" s="1"/>
  <c r="AY53" i="20"/>
  <c r="AY124" i="20"/>
  <c r="AH210" i="9"/>
  <c r="BT210" i="9"/>
  <c r="N210" i="9"/>
  <c r="K101" i="11"/>
  <c r="I101" i="11"/>
  <c r="J101" i="11"/>
  <c r="BA210" i="9"/>
  <c r="L101" i="11"/>
  <c r="H101" i="11"/>
  <c r="BL225" i="9"/>
  <c r="CE225" i="9"/>
  <c r="CG225" i="9" s="1"/>
  <c r="C200" i="11"/>
  <c r="Q143" i="20"/>
  <c r="U156" i="9"/>
  <c r="V155" i="9"/>
  <c r="V156" i="9" s="1"/>
  <c r="V151" i="9" s="1"/>
  <c r="CS242" i="9"/>
  <c r="CT242" i="9" s="1"/>
  <c r="CU242" i="9" s="1"/>
  <c r="CV242" i="9"/>
  <c r="CW242" i="9" s="1"/>
  <c r="BL224" i="9"/>
  <c r="CE224" i="9"/>
  <c r="CG224" i="9" s="1"/>
  <c r="CO143" i="9"/>
  <c r="CL145" i="9"/>
  <c r="EP248" i="9"/>
  <c r="K78" i="9"/>
  <c r="CO144" i="9"/>
  <c r="CM144" i="9"/>
  <c r="BA217" i="9"/>
  <c r="AE217" i="9"/>
  <c r="BK192" i="9"/>
  <c r="BM192" i="9" s="1"/>
  <c r="BK193" i="9"/>
  <c r="BM193" i="9" s="1"/>
  <c r="BK191" i="9"/>
  <c r="BM191" i="9" s="1"/>
  <c r="BK194" i="9"/>
  <c r="BM194" i="9" s="1"/>
  <c r="BK190" i="9"/>
  <c r="CO118" i="9"/>
  <c r="CL119" i="9"/>
  <c r="CV114" i="9" s="1"/>
  <c r="DA248" i="9"/>
  <c r="DB248" i="9" s="1"/>
  <c r="CR224" i="9"/>
  <c r="CS224" i="9" s="1"/>
  <c r="CT224" i="9" s="1"/>
  <c r="CU224" i="9" s="1"/>
  <c r="CV224" i="9" s="1"/>
  <c r="CW224" i="9" s="1"/>
  <c r="CS278" i="9"/>
  <c r="CT278" i="9" s="1"/>
  <c r="CU278" i="9" s="1"/>
  <c r="CV278" i="9" s="1"/>
  <c r="CW278" i="9" s="1"/>
  <c r="D98" i="11"/>
  <c r="BH55" i="23"/>
  <c r="BI50" i="23"/>
  <c r="J134" i="23" s="1"/>
  <c r="K211" i="9"/>
  <c r="AH211" i="9"/>
  <c r="Z64" i="9"/>
  <c r="AA64" i="9" s="1"/>
  <c r="AD69" i="9"/>
  <c r="AG70" i="9"/>
  <c r="AS227" i="9"/>
  <c r="BK227" i="9"/>
  <c r="CS277" i="9"/>
  <c r="CT277" i="9" s="1"/>
  <c r="CU277" i="9" s="1"/>
  <c r="CV277" i="9"/>
  <c r="CW277" i="9" s="1"/>
  <c r="BW145" i="9"/>
  <c r="BX145" i="9" s="1"/>
  <c r="BY145" i="9" s="1"/>
  <c r="BZ145" i="9" s="1"/>
  <c r="CA145" i="9" s="1"/>
  <c r="CE143" i="9"/>
  <c r="EC118" i="9"/>
  <c r="F17" i="17"/>
  <c r="EB119" i="9"/>
  <c r="EP245" i="9"/>
  <c r="AS226" i="9"/>
  <c r="BK226" i="9"/>
  <c r="J202" i="11"/>
  <c r="J204" i="11" s="1"/>
  <c r="M193" i="11"/>
  <c r="P194" i="11"/>
  <c r="CS275" i="9"/>
  <c r="CT275" i="9" s="1"/>
  <c r="CU275" i="9" s="1"/>
  <c r="CV275" i="9"/>
  <c r="CW275" i="9" s="1"/>
  <c r="C241" i="11"/>
  <c r="E242" i="11"/>
  <c r="H16" i="17"/>
  <c r="G16" i="17"/>
  <c r="I16" i="17" s="1"/>
  <c r="AX210" i="9"/>
  <c r="BQ218" i="9"/>
  <c r="AB133" i="22"/>
  <c r="BE108" i="22"/>
  <c r="EP247" i="9"/>
  <c r="BK222" i="9"/>
  <c r="AS222" i="9"/>
  <c r="Q168" i="9"/>
  <c r="R168" i="9" s="1"/>
  <c r="S168" i="9" s="1"/>
  <c r="T168" i="9" s="1"/>
  <c r="U168" i="9" s="1"/>
  <c r="V168" i="9" s="1"/>
  <c r="AH148" i="9"/>
  <c r="Y143" i="9"/>
  <c r="K168" i="9"/>
  <c r="V143" i="20"/>
  <c r="AP131" i="20"/>
  <c r="H220" i="20" s="1"/>
  <c r="EA241" i="9"/>
  <c r="EK233" i="9" s="1"/>
  <c r="ED237" i="9"/>
  <c r="BR145" i="9"/>
  <c r="CS276" i="9"/>
  <c r="CT276" i="9" s="1"/>
  <c r="CU276" i="9" s="1"/>
  <c r="CV276" i="9"/>
  <c r="CW276" i="9" s="1"/>
  <c r="CM229" i="9"/>
  <c r="BO46" i="24"/>
  <c r="BP46" i="24" s="1"/>
  <c r="BN111" i="15"/>
  <c r="H156" i="24"/>
  <c r="BF95" i="20"/>
  <c r="AH68" i="24"/>
  <c r="AH74" i="24" s="1"/>
  <c r="AE140" i="15"/>
  <c r="BK225" i="9"/>
  <c r="BM225" i="9" s="1"/>
  <c r="AS225" i="9"/>
  <c r="CR223" i="9"/>
  <c r="CS223" i="9" s="1"/>
  <c r="CT223" i="9" s="1"/>
  <c r="CU223" i="9" s="1"/>
  <c r="CV223" i="9" s="1"/>
  <c r="CW223" i="9" s="1"/>
  <c r="V77" i="9"/>
  <c r="AH215" i="9"/>
  <c r="K215" i="9"/>
  <c r="G18" i="14"/>
  <c r="D58" i="14"/>
  <c r="AA141" i="9"/>
  <c r="K214" i="9"/>
  <c r="AH214" i="9"/>
  <c r="V78" i="9"/>
  <c r="V72" i="9" s="1"/>
  <c r="AU90" i="20" s="1"/>
  <c r="K202" i="11"/>
  <c r="D99" i="11"/>
  <c r="BL223" i="9"/>
  <c r="CE223" i="9"/>
  <c r="CG223" i="9" s="1"/>
  <c r="I240" i="11"/>
  <c r="BX144" i="9" l="1"/>
  <c r="BY144" i="9" s="1"/>
  <c r="BZ144" i="9" s="1"/>
  <c r="CA144" i="9" s="1"/>
  <c r="CA146" i="9" s="1"/>
  <c r="BW146" i="9"/>
  <c r="CW241" i="9"/>
  <c r="CV243" i="9"/>
  <c r="CW272" i="9"/>
  <c r="CV282" i="9"/>
  <c r="AS86" i="15"/>
  <c r="Z223" i="9"/>
  <c r="AR223" i="9"/>
  <c r="AT223" i="9" s="1"/>
  <c r="Z227" i="9"/>
  <c r="AR227" i="9"/>
  <c r="AT227" i="9" s="1"/>
  <c r="AA107" i="11"/>
  <c r="Z107" i="11" s="1"/>
  <c r="AI107" i="11"/>
  <c r="AH107" i="11" s="1"/>
  <c r="C242" i="11"/>
  <c r="C243" i="11" s="1"/>
  <c r="K242" i="11"/>
  <c r="E243" i="11"/>
  <c r="DP233" i="9"/>
  <c r="EB160" i="9"/>
  <c r="EL152" i="9" s="1"/>
  <c r="BF114" i="15" s="1"/>
  <c r="DG240" i="9"/>
  <c r="DG239" i="9"/>
  <c r="DG241" i="9" s="1"/>
  <c r="EB240" i="9"/>
  <c r="DG238" i="9"/>
  <c r="EB238" i="9"/>
  <c r="EB239" i="9"/>
  <c r="Z106" i="11"/>
  <c r="EB237" i="9"/>
  <c r="EB241" i="9" s="1"/>
  <c r="BM222" i="9"/>
  <c r="ED241" i="9"/>
  <c r="EG237" i="9"/>
  <c r="Z222" i="9"/>
  <c r="AR222" i="9"/>
  <c r="AT222" i="9" s="1"/>
  <c r="AV93" i="20"/>
  <c r="F27" i="17"/>
  <c r="G27" i="17" s="1"/>
  <c r="L162" i="20"/>
  <c r="L166" i="20" s="1"/>
  <c r="L215" i="9"/>
  <c r="N215" i="9"/>
  <c r="AH136" i="15"/>
  <c r="CG143" i="9"/>
  <c r="BK195" i="9"/>
  <c r="C221" i="22" s="1"/>
  <c r="BM190" i="9"/>
  <c r="BM195" i="9" s="1"/>
  <c r="CW229" i="9"/>
  <c r="CW218" i="9" s="1"/>
  <c r="BJ112" i="20"/>
  <c r="J199" i="20" s="1"/>
  <c r="BH67" i="20"/>
  <c r="BH124" i="20"/>
  <c r="CV138" i="9"/>
  <c r="CM142" i="9"/>
  <c r="BF74" i="22"/>
  <c r="BG115" i="22"/>
  <c r="G202" i="22" s="1"/>
  <c r="BH50" i="24"/>
  <c r="BI50" i="24" s="1"/>
  <c r="J134" i="24" s="1"/>
  <c r="H136" i="23"/>
  <c r="H134" i="23"/>
  <c r="H122" i="23"/>
  <c r="H110" i="23"/>
  <c r="H132" i="23"/>
  <c r="H120" i="23"/>
  <c r="H108" i="23"/>
  <c r="H131" i="23"/>
  <c r="H119" i="23"/>
  <c r="H107" i="23"/>
  <c r="H128" i="23"/>
  <c r="H116" i="23"/>
  <c r="H104" i="23"/>
  <c r="H126" i="23"/>
  <c r="H114" i="23"/>
  <c r="H130" i="23"/>
  <c r="H111" i="23"/>
  <c r="H135" i="23"/>
  <c r="H113" i="23"/>
  <c r="H133" i="23"/>
  <c r="H112" i="23"/>
  <c r="H127" i="23"/>
  <c r="H102" i="23"/>
  <c r="H125" i="23"/>
  <c r="H124" i="23"/>
  <c r="H103" i="23"/>
  <c r="H137" i="23"/>
  <c r="H129" i="23"/>
  <c r="H123" i="23"/>
  <c r="H105" i="23"/>
  <c r="H121" i="23"/>
  <c r="H109" i="23"/>
  <c r="H106" i="23"/>
  <c r="H118" i="23"/>
  <c r="H115" i="23"/>
  <c r="H117" i="23"/>
  <c r="BM223" i="9"/>
  <c r="BM224" i="9"/>
  <c r="EJ134" i="9" a="1"/>
  <c r="EJ134" i="9" s="1"/>
  <c r="EK130" i="9"/>
  <c r="EL130" i="9" s="1"/>
  <c r="AE143" i="20"/>
  <c r="CW243" i="9"/>
  <c r="CW234" i="9" s="1"/>
  <c r="AO69" i="9"/>
  <c r="AJ67" i="9"/>
  <c r="AJ68" i="9"/>
  <c r="AK68" i="9" s="1"/>
  <c r="AL68" i="9" s="1"/>
  <c r="AM68" i="9" s="1"/>
  <c r="AN68" i="9" s="1"/>
  <c r="AO68" i="9" s="1"/>
  <c r="AD70" i="9"/>
  <c r="CF143" i="9"/>
  <c r="L212" i="9"/>
  <c r="N212" i="9"/>
  <c r="AR224" i="9"/>
  <c r="AT224" i="9" s="1"/>
  <c r="Z224" i="9"/>
  <c r="L216" i="9"/>
  <c r="N216" i="9"/>
  <c r="U72" i="9"/>
  <c r="L76" i="9"/>
  <c r="N211" i="9"/>
  <c r="L211" i="9"/>
  <c r="BM107" i="22"/>
  <c r="BN107" i="22" s="1"/>
  <c r="AA132" i="22"/>
  <c r="CA206" i="9"/>
  <c r="BR217" i="9"/>
  <c r="BR214" i="9"/>
  <c r="BR215" i="9"/>
  <c r="BR212" i="9"/>
  <c r="BR213" i="9"/>
  <c r="BR216" i="9"/>
  <c r="BR211" i="9"/>
  <c r="I187" i="11"/>
  <c r="D198" i="11"/>
  <c r="D200" i="11" s="1"/>
  <c r="BM226" i="9"/>
  <c r="D104" i="11"/>
  <c r="CM143" i="9"/>
  <c r="U169" i="9"/>
  <c r="EC106" i="9"/>
  <c r="EL101" i="9" s="1"/>
  <c r="EE105" i="9"/>
  <c r="C257" i="11"/>
  <c r="EP246" i="9"/>
  <c r="DI241" i="9"/>
  <c r="L167" i="9"/>
  <c r="AA109" i="11"/>
  <c r="Z109" i="11" s="1"/>
  <c r="AI109" i="11"/>
  <c r="AH109" i="11" s="1"/>
  <c r="H17" i="17"/>
  <c r="G17" i="17"/>
  <c r="I17" i="17" s="1"/>
  <c r="AA92" i="11"/>
  <c r="K102" i="11"/>
  <c r="L102" i="11"/>
  <c r="CE210" i="11" s="1"/>
  <c r="J102" i="11"/>
  <c r="H102" i="11"/>
  <c r="AH106" i="11"/>
  <c r="CW282" i="9"/>
  <c r="CW267" i="9" s="1"/>
  <c r="L77" i="9"/>
  <c r="AH135" i="22"/>
  <c r="BC21" i="24"/>
  <c r="BC55" i="24" s="1"/>
  <c r="BA120" i="15"/>
  <c r="BA45" i="15"/>
  <c r="BF50" i="20"/>
  <c r="AB139" i="22"/>
  <c r="AE68" i="24"/>
  <c r="M194" i="11"/>
  <c r="CE219" i="9"/>
  <c r="CG219" i="9" s="1"/>
  <c r="BL218" i="9"/>
  <c r="CE228" i="9"/>
  <c r="CG228" i="9" s="1"/>
  <c r="BT218" i="9"/>
  <c r="BW210" i="9"/>
  <c r="BX210" i="9" s="1"/>
  <c r="BY210" i="9" s="1"/>
  <c r="BZ210" i="9" s="1"/>
  <c r="CA210" i="9" s="1"/>
  <c r="CE218" i="9"/>
  <c r="CG218" i="9" s="1"/>
  <c r="AI139" i="22"/>
  <c r="AM136" i="22"/>
  <c r="AL71" i="24"/>
  <c r="AU45" i="20"/>
  <c r="L168" i="9"/>
  <c r="AY210" i="9"/>
  <c r="AE210" i="9"/>
  <c r="AX218" i="9"/>
  <c r="AR225" i="9"/>
  <c r="AT225" i="9" s="1"/>
  <c r="Z225" i="9"/>
  <c r="BR210" i="9"/>
  <c r="BM227" i="9"/>
  <c r="AF217" i="9"/>
  <c r="K217" i="9"/>
  <c r="AS190" i="9"/>
  <c r="AH217" i="9"/>
  <c r="CF140" i="9"/>
  <c r="CG140" i="9" s="1"/>
  <c r="CO145" i="9"/>
  <c r="CR143" i="9" s="1"/>
  <c r="CS143" i="9" s="1"/>
  <c r="CT143" i="9" s="1"/>
  <c r="CU143" i="9" s="1"/>
  <c r="CV143" i="9" s="1"/>
  <c r="DA247" i="9"/>
  <c r="DB247" i="9" s="1"/>
  <c r="AI108" i="11"/>
  <c r="AH108" i="11" s="1"/>
  <c r="AA108" i="11"/>
  <c r="Z108" i="11" s="1"/>
  <c r="AJ69" i="9"/>
  <c r="AK69" i="9" s="1"/>
  <c r="AL69" i="9" s="1"/>
  <c r="AM69" i="9" s="1"/>
  <c r="AN69" i="9" s="1"/>
  <c r="AS218" i="9"/>
  <c r="BK218" i="9"/>
  <c r="BA218" i="9"/>
  <c r="AK211" i="9" s="1"/>
  <c r="AL211" i="9" s="1"/>
  <c r="AM211" i="9" s="1"/>
  <c r="AN211" i="9" s="1"/>
  <c r="AO211" i="9" s="1"/>
  <c r="AP211" i="9" s="1"/>
  <c r="BD210" i="9"/>
  <c r="BE210" i="9" s="1"/>
  <c r="BF210" i="9" s="1"/>
  <c r="BG210" i="9" s="1"/>
  <c r="BH210" i="9" s="1"/>
  <c r="F13" i="13"/>
  <c r="F15" i="13" s="1"/>
  <c r="BM106" i="15"/>
  <c r="Z133" i="15"/>
  <c r="L213" i="9"/>
  <c r="N213" i="9"/>
  <c r="EC119" i="9"/>
  <c r="EL114" i="9" s="1"/>
  <c r="C273" i="11"/>
  <c r="EE118" i="9"/>
  <c r="CF142" i="9"/>
  <c r="CG142" i="9" s="1"/>
  <c r="CO119" i="9"/>
  <c r="CR118" i="9" s="1"/>
  <c r="CS118" i="9" s="1"/>
  <c r="CT118" i="9" s="1"/>
  <c r="CU118" i="9" s="1"/>
  <c r="CV118" i="9" s="1"/>
  <c r="CF141" i="9"/>
  <c r="CG141" i="9" s="1"/>
  <c r="Z226" i="9"/>
  <c r="AR226" i="9"/>
  <c r="AT226" i="9" s="1"/>
  <c r="BE67" i="22"/>
  <c r="BG108" i="22"/>
  <c r="G195" i="22" s="1"/>
  <c r="BE120" i="22"/>
  <c r="BG43" i="24"/>
  <c r="CB145" i="9"/>
  <c r="CB144" i="9"/>
  <c r="CB146" i="9" s="1"/>
  <c r="CB140" i="9" s="1"/>
  <c r="CV229" i="9"/>
  <c r="EK134" i="9"/>
  <c r="AR218" i="9"/>
  <c r="AH218" i="9"/>
  <c r="L214" i="9"/>
  <c r="N214" i="9"/>
  <c r="Z143" i="9"/>
  <c r="AA143" i="9" s="1"/>
  <c r="AE148" i="9"/>
  <c r="AH149" i="9"/>
  <c r="AK148" i="9" s="1"/>
  <c r="AL148" i="9" s="1"/>
  <c r="AM148" i="9" s="1"/>
  <c r="AN148" i="9" s="1"/>
  <c r="AO148" i="9" s="1"/>
  <c r="O169" i="9" a="1"/>
  <c r="O169" i="9" s="1"/>
  <c r="AS86" i="22" s="1"/>
  <c r="H18" i="17"/>
  <c r="G18" i="17"/>
  <c r="I18" i="17" s="1"/>
  <c r="V167" i="9"/>
  <c r="V169" i="9" s="1"/>
  <c r="V163" i="9" s="1"/>
  <c r="AV90" i="20" s="1"/>
  <c r="CR144" i="9" l="1"/>
  <c r="CS144" i="9" s="1"/>
  <c r="CT144" i="9" s="1"/>
  <c r="CU144" i="9" s="1"/>
  <c r="CV144" i="9" s="1"/>
  <c r="BI210" i="9"/>
  <c r="AM135" i="22"/>
  <c r="AH139" i="22"/>
  <c r="BD90" i="20"/>
  <c r="CG131" i="9"/>
  <c r="N191" i="11"/>
  <c r="N192" i="11"/>
  <c r="N190" i="11"/>
  <c r="BR218" i="9"/>
  <c r="AK70" i="24"/>
  <c r="AH140" i="15"/>
  <c r="AM136" i="15"/>
  <c r="E225" i="15" s="1"/>
  <c r="C218" i="22"/>
  <c r="AU190" i="9"/>
  <c r="BF90" i="15"/>
  <c r="J160" i="15"/>
  <c r="BD211" i="9"/>
  <c r="BE211" i="9" s="1"/>
  <c r="BF211" i="9" s="1"/>
  <c r="BG211" i="9" s="1"/>
  <c r="BH211" i="9" s="1"/>
  <c r="BI211" i="9" s="1"/>
  <c r="BD212" i="9"/>
  <c r="BE212" i="9" s="1"/>
  <c r="BF212" i="9" s="1"/>
  <c r="BG212" i="9" s="1"/>
  <c r="BH212" i="9" s="1"/>
  <c r="BI212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3" i="9"/>
  <c r="BE213" i="9" s="1"/>
  <c r="BF213" i="9" s="1"/>
  <c r="BG213" i="9" s="1"/>
  <c r="BH213" i="9" s="1"/>
  <c r="BI213" i="9" s="1"/>
  <c r="BD214" i="9"/>
  <c r="BE214" i="9" s="1"/>
  <c r="BF214" i="9" s="1"/>
  <c r="BG214" i="9" s="1"/>
  <c r="BH214" i="9" s="1"/>
  <c r="BI214" i="9" s="1"/>
  <c r="AA139" i="22"/>
  <c r="AM132" i="22"/>
  <c r="AP71" i="24"/>
  <c r="J158" i="24" s="1"/>
  <c r="AL74" i="24"/>
  <c r="AU21" i="24"/>
  <c r="AU55" i="24" s="1"/>
  <c r="AS45" i="15"/>
  <c r="AS120" i="15"/>
  <c r="Q214" i="9"/>
  <c r="R214" i="9" s="1"/>
  <c r="S214" i="9" s="1"/>
  <c r="T214" i="9" s="1"/>
  <c r="U214" i="9" s="1"/>
  <c r="V214" i="9" s="1"/>
  <c r="Y225" i="9"/>
  <c r="AA225" i="9" s="1"/>
  <c r="AK214" i="9"/>
  <c r="AL214" i="9" s="1"/>
  <c r="AM214" i="9" s="1"/>
  <c r="AN214" i="9" s="1"/>
  <c r="AO214" i="9" s="1"/>
  <c r="AP214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DL238" i="9"/>
  <c r="DM238" i="9" s="1"/>
  <c r="DN238" i="9" s="1"/>
  <c r="DO238" i="9" s="1"/>
  <c r="DP238" i="9" s="1"/>
  <c r="DQ238" i="9" s="1"/>
  <c r="DC238" i="9" s="1"/>
  <c r="D62" i="14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EG239" i="9"/>
  <c r="EH239" i="9" s="1"/>
  <c r="EI239" i="9" s="1"/>
  <c r="EJ239" i="9" s="1"/>
  <c r="EK239" i="9" s="1"/>
  <c r="EL239" i="9" s="1"/>
  <c r="Y226" i="9"/>
  <c r="AA226" i="9" s="1"/>
  <c r="Q215" i="9"/>
  <c r="R215" i="9" s="1"/>
  <c r="S215" i="9" s="1"/>
  <c r="T215" i="9" s="1"/>
  <c r="U215" i="9" s="1"/>
  <c r="V215" i="9" s="1"/>
  <c r="AD210" i="9"/>
  <c r="BP210" i="9"/>
  <c r="AS219" i="9"/>
  <c r="AR219" i="9"/>
  <c r="AT219" i="9" s="1"/>
  <c r="CE201" i="11"/>
  <c r="J210" i="9"/>
  <c r="BK219" i="9"/>
  <c r="BL219" i="9"/>
  <c r="AW210" i="9"/>
  <c r="M102" i="11"/>
  <c r="EV238" i="9"/>
  <c r="AK107" i="11"/>
  <c r="BM93" i="22"/>
  <c r="BN93" i="22" s="1"/>
  <c r="M123" i="22"/>
  <c r="Q210" i="9"/>
  <c r="BD217" i="9"/>
  <c r="BE217" i="9" s="1"/>
  <c r="BF217" i="9" s="1"/>
  <c r="BG217" i="9" s="1"/>
  <c r="BH217" i="9" s="1"/>
  <c r="BI217" i="9" s="1"/>
  <c r="CV119" i="9"/>
  <c r="CW118" i="9"/>
  <c r="CW119" i="9" s="1"/>
  <c r="CW114" i="9" s="1"/>
  <c r="Q216" i="9"/>
  <c r="R216" i="9" s="1"/>
  <c r="S216" i="9" s="1"/>
  <c r="T216" i="9" s="1"/>
  <c r="U216" i="9" s="1"/>
  <c r="V216" i="9" s="1"/>
  <c r="Y227" i="9"/>
  <c r="AA227" i="9" s="1"/>
  <c r="BP115" i="20"/>
  <c r="BQ115" i="20" s="1"/>
  <c r="AH137" i="20"/>
  <c r="AH143" i="20" s="1"/>
  <c r="AK67" i="9"/>
  <c r="AL67" i="9" s="1"/>
  <c r="AM67" i="9" s="1"/>
  <c r="AN67" i="9" s="1"/>
  <c r="AJ70" i="9"/>
  <c r="AK212" i="9"/>
  <c r="AL212" i="9" s="1"/>
  <c r="AM212" i="9" s="1"/>
  <c r="AN212" i="9" s="1"/>
  <c r="AO212" i="9" s="1"/>
  <c r="AP212" i="9" s="1"/>
  <c r="BM218" i="9"/>
  <c r="EV240" i="9"/>
  <c r="AK109" i="11"/>
  <c r="BG114" i="15"/>
  <c r="G202" i="15" s="1"/>
  <c r="BF73" i="15"/>
  <c r="AE149" i="9"/>
  <c r="EB159" i="9"/>
  <c r="AC109" i="11"/>
  <c r="C166" i="11"/>
  <c r="X132" i="15"/>
  <c r="BB104" i="15"/>
  <c r="AG135" i="15"/>
  <c r="BD113" i="15"/>
  <c r="DA237" i="9"/>
  <c r="Q62" i="14" s="1"/>
  <c r="AB62" i="14" s="1"/>
  <c r="BI43" i="24"/>
  <c r="J127" i="24" s="1"/>
  <c r="BG55" i="24"/>
  <c r="C281" i="11"/>
  <c r="C280" i="11" s="1"/>
  <c r="C283" i="11" s="1"/>
  <c r="E273" i="11"/>
  <c r="N193" i="11"/>
  <c r="AK213" i="9"/>
  <c r="AL213" i="9" s="1"/>
  <c r="AM213" i="9" s="1"/>
  <c r="AN213" i="9" s="1"/>
  <c r="AO213" i="9" s="1"/>
  <c r="AP213" i="9" s="1"/>
  <c r="AA133" i="15"/>
  <c r="BM107" i="15"/>
  <c r="CE130" i="9"/>
  <c r="Q60" i="14" s="1"/>
  <c r="AB60" i="14" s="1"/>
  <c r="BF87" i="15"/>
  <c r="G157" i="15"/>
  <c r="AE74" i="24"/>
  <c r="L169" i="9"/>
  <c r="Q212" i="9"/>
  <c r="R212" i="9" s="1"/>
  <c r="S212" i="9" s="1"/>
  <c r="T212" i="9" s="1"/>
  <c r="U212" i="9" s="1"/>
  <c r="V212" i="9" s="1"/>
  <c r="Y223" i="9"/>
  <c r="AA223" i="9" s="1"/>
  <c r="BF113" i="20"/>
  <c r="AF137" i="20"/>
  <c r="DU237" i="9"/>
  <c r="Q63" i="14" s="1"/>
  <c r="AB63" i="14" s="1"/>
  <c r="EV239" i="9"/>
  <c r="AK108" i="11"/>
  <c r="AA110" i="11"/>
  <c r="DL237" i="9"/>
  <c r="Q211" i="9"/>
  <c r="R211" i="9" s="1"/>
  <c r="S211" i="9" s="1"/>
  <c r="T211" i="9" s="1"/>
  <c r="U211" i="9" s="1"/>
  <c r="V211" i="9" s="1"/>
  <c r="Y222" i="9"/>
  <c r="AA222" i="9" s="1"/>
  <c r="AC106" i="11"/>
  <c r="EB156" i="9"/>
  <c r="C163" i="11"/>
  <c r="AV45" i="20"/>
  <c r="AC67" i="24"/>
  <c r="Z140" i="15"/>
  <c r="AM133" i="15"/>
  <c r="E222" i="15" s="1"/>
  <c r="EL134" i="9"/>
  <c r="EM130" i="9"/>
  <c r="EB157" i="9"/>
  <c r="C164" i="11"/>
  <c r="AC107" i="11"/>
  <c r="AK210" i="9"/>
  <c r="AL210" i="9" s="1"/>
  <c r="AM210" i="9" s="1"/>
  <c r="AN210" i="9" s="1"/>
  <c r="AO210" i="9" s="1"/>
  <c r="AK215" i="9"/>
  <c r="AL215" i="9" s="1"/>
  <c r="AM215" i="9" s="1"/>
  <c r="AN215" i="9" s="1"/>
  <c r="AO215" i="9" s="1"/>
  <c r="AP215" i="9" s="1"/>
  <c r="CB210" i="9"/>
  <c r="BH206" i="9"/>
  <c r="AY212" i="9"/>
  <c r="AY216" i="9"/>
  <c r="AY215" i="9"/>
  <c r="AY214" i="9"/>
  <c r="AY213" i="9"/>
  <c r="AY211" i="9"/>
  <c r="AY218" i="9" s="1"/>
  <c r="AY217" i="9"/>
  <c r="AF214" i="9"/>
  <c r="AF211" i="9"/>
  <c r="AF213" i="9"/>
  <c r="AF212" i="9"/>
  <c r="AF215" i="9"/>
  <c r="AF216" i="9"/>
  <c r="BW213" i="9"/>
  <c r="BX213" i="9" s="1"/>
  <c r="BY213" i="9" s="1"/>
  <c r="BZ213" i="9" s="1"/>
  <c r="CA213" i="9" s="1"/>
  <c r="CB213" i="9" s="1"/>
  <c r="BW217" i="9"/>
  <c r="BX217" i="9" s="1"/>
  <c r="BY217" i="9" s="1"/>
  <c r="BZ217" i="9" s="1"/>
  <c r="CA217" i="9" s="1"/>
  <c r="CB217" i="9" s="1"/>
  <c r="BW214" i="9"/>
  <c r="BX214" i="9" s="1"/>
  <c r="BY214" i="9" s="1"/>
  <c r="BZ214" i="9" s="1"/>
  <c r="CA214" i="9" s="1"/>
  <c r="CB214" i="9" s="1"/>
  <c r="BW216" i="9"/>
  <c r="BX216" i="9" s="1"/>
  <c r="BY216" i="9" s="1"/>
  <c r="BZ216" i="9" s="1"/>
  <c r="CA216" i="9" s="1"/>
  <c r="CB216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BK221" i="9"/>
  <c r="BM221" i="9" s="1"/>
  <c r="AS221" i="9"/>
  <c r="AR221" i="9"/>
  <c r="AT221" i="9" s="1"/>
  <c r="BL221" i="9"/>
  <c r="CE203" i="11"/>
  <c r="E257" i="11"/>
  <c r="AN63" i="9"/>
  <c r="AE67" i="9"/>
  <c r="AE68" i="9"/>
  <c r="N218" i="9"/>
  <c r="BJ93" i="20"/>
  <c r="J180" i="20" s="1"/>
  <c r="AV48" i="20"/>
  <c r="BD113" i="22"/>
  <c r="AG134" i="22"/>
  <c r="L217" i="9"/>
  <c r="N217" i="9"/>
  <c r="Q217" i="9" s="1"/>
  <c r="R217" i="9" s="1"/>
  <c r="S217" i="9" s="1"/>
  <c r="T217" i="9" s="1"/>
  <c r="U217" i="9" s="1"/>
  <c r="V217" i="9" s="1"/>
  <c r="H153" i="24"/>
  <c r="BC95" i="20"/>
  <c r="AP148" i="9"/>
  <c r="AK147" i="9"/>
  <c r="AL147" i="9" s="1"/>
  <c r="AM147" i="9" s="1"/>
  <c r="AN147" i="9" s="1"/>
  <c r="AO147" i="9" s="1"/>
  <c r="AP147" i="9" s="1"/>
  <c r="AK146" i="9"/>
  <c r="EH237" i="9"/>
  <c r="EI237" i="9" s="1"/>
  <c r="EJ237" i="9" s="1"/>
  <c r="EK237" i="9" s="1"/>
  <c r="EE119" i="9"/>
  <c r="EH118" i="9" s="1"/>
  <c r="CM145" i="9"/>
  <c r="BP114" i="20"/>
  <c r="BQ114" i="20" s="1"/>
  <c r="AG137" i="20"/>
  <c r="AG143" i="20" s="1"/>
  <c r="EB158" i="9"/>
  <c r="C165" i="11"/>
  <c r="AC108" i="11"/>
  <c r="AI110" i="11"/>
  <c r="I242" i="11"/>
  <c r="I243" i="11" s="1"/>
  <c r="K243" i="11"/>
  <c r="Y224" i="9"/>
  <c r="AA224" i="9" s="1"/>
  <c r="Q213" i="9"/>
  <c r="R213" i="9" s="1"/>
  <c r="S213" i="9" s="1"/>
  <c r="T213" i="9" s="1"/>
  <c r="U213" i="9" s="1"/>
  <c r="V213" i="9" s="1"/>
  <c r="EV237" i="9"/>
  <c r="AK106" i="11"/>
  <c r="CW143" i="9"/>
  <c r="CW144" i="9"/>
  <c r="CR142" i="9"/>
  <c r="AS220" i="9"/>
  <c r="AR220" i="9"/>
  <c r="AT220" i="9" s="1"/>
  <c r="BK220" i="9"/>
  <c r="BL220" i="9"/>
  <c r="BO41" i="24"/>
  <c r="BP41" i="24" s="1"/>
  <c r="BN106" i="15"/>
  <c r="AS45" i="22"/>
  <c r="BG86" i="22"/>
  <c r="G173" i="22" s="1"/>
  <c r="AS120" i="22"/>
  <c r="AT218" i="9"/>
  <c r="AK217" i="9"/>
  <c r="AL217" i="9" s="1"/>
  <c r="AM217" i="9" s="1"/>
  <c r="AN217" i="9" s="1"/>
  <c r="AO217" i="9" s="1"/>
  <c r="AP217" i="9" s="1"/>
  <c r="AF210" i="9"/>
  <c r="K210" i="9"/>
  <c r="AE218" i="9"/>
  <c r="AO206" i="9" s="1"/>
  <c r="EE106" i="9"/>
  <c r="EH105" i="9"/>
  <c r="AR86" i="15"/>
  <c r="AE69" i="9"/>
  <c r="AK216" i="9"/>
  <c r="AL216" i="9" s="1"/>
  <c r="AM216" i="9" s="1"/>
  <c r="AN216" i="9" s="1"/>
  <c r="AO216" i="9" s="1"/>
  <c r="AP216" i="9" s="1"/>
  <c r="EI118" i="9" l="1"/>
  <c r="EJ118" i="9" s="1"/>
  <c r="EK118" i="9" s="1"/>
  <c r="EL118" i="9" s="1"/>
  <c r="AM132" i="15"/>
  <c r="E221" i="15" s="1"/>
  <c r="X140" i="15"/>
  <c r="AK74" i="24"/>
  <c r="AP70" i="24"/>
  <c r="J157" i="24" s="1"/>
  <c r="BJ113" i="20"/>
  <c r="J200" i="20" s="1"/>
  <c r="BF68" i="20"/>
  <c r="BF124" i="20"/>
  <c r="D166" i="11"/>
  <c r="F166" i="11"/>
  <c r="K273" i="11"/>
  <c r="K274" i="11"/>
  <c r="I274" i="11" s="1"/>
  <c r="N194" i="11"/>
  <c r="AK110" i="11"/>
  <c r="AL108" i="11" s="1"/>
  <c r="AL106" i="11"/>
  <c r="BM93" i="15"/>
  <c r="M124" i="15"/>
  <c r="C284" i="11"/>
  <c r="E280" i="11"/>
  <c r="G280" i="11" s="1"/>
  <c r="H280" i="11" s="1"/>
  <c r="EE159" i="9"/>
  <c r="EC159" i="9"/>
  <c r="AN70" i="9"/>
  <c r="AO67" i="9"/>
  <c r="AO70" i="9" s="1"/>
  <c r="AO63" i="9" s="1"/>
  <c r="AO142" i="9"/>
  <c r="AF146" i="9"/>
  <c r="AF147" i="9"/>
  <c r="AL107" i="11"/>
  <c r="EW238" i="9"/>
  <c r="EY238" i="9"/>
  <c r="L210" i="9"/>
  <c r="L218" i="9" s="1"/>
  <c r="K218" i="9"/>
  <c r="M210" i="9"/>
  <c r="M218" i="9" s="1"/>
  <c r="H86" i="23" s="1"/>
  <c r="H94" i="23" s="1"/>
  <c r="F102" i="23" s="1" a="1"/>
  <c r="AZ210" i="9"/>
  <c r="AZ218" i="9" s="1"/>
  <c r="AG210" i="9"/>
  <c r="AG218" i="9" s="1"/>
  <c r="AV20" i="23" s="1"/>
  <c r="BB210" i="9"/>
  <c r="BU210" i="9"/>
  <c r="BS210" i="9"/>
  <c r="BS218" i="9" s="1"/>
  <c r="BD39" i="23" s="1"/>
  <c r="AI210" i="9"/>
  <c r="O210" i="9"/>
  <c r="J89" i="24"/>
  <c r="J95" i="24" s="1"/>
  <c r="G163" i="15"/>
  <c r="BH25" i="24"/>
  <c r="BI25" i="24" s="1"/>
  <c r="J109" i="24" s="1"/>
  <c r="BG90" i="15"/>
  <c r="G178" i="15" s="1"/>
  <c r="BF49" i="15"/>
  <c r="BF48" i="24"/>
  <c r="BD73" i="15"/>
  <c r="BD120" i="15"/>
  <c r="BG113" i="15"/>
  <c r="G201" i="15" s="1"/>
  <c r="AZ100" i="15"/>
  <c r="AS210" i="9"/>
  <c r="Q56" i="14" s="1"/>
  <c r="AB56" i="14" s="1"/>
  <c r="T129" i="15"/>
  <c r="EW239" i="9"/>
  <c r="EY239" i="9"/>
  <c r="AJ69" i="24"/>
  <c r="AG140" i="15"/>
  <c r="AM135" i="15"/>
  <c r="E224" i="15" s="1"/>
  <c r="BM219" i="9"/>
  <c r="AE70" i="9"/>
  <c r="F164" i="11"/>
  <c r="D164" i="11"/>
  <c r="AC110" i="11"/>
  <c r="AD107" i="11" s="1"/>
  <c r="AD106" i="11"/>
  <c r="P126" i="15"/>
  <c r="AW96" i="15"/>
  <c r="K257" i="11"/>
  <c r="E258" i="11"/>
  <c r="K258" i="11"/>
  <c r="I258" i="11" s="1"/>
  <c r="BM220" i="9"/>
  <c r="EL237" i="9"/>
  <c r="EL241" i="9" s="1"/>
  <c r="EL233" i="9" s="1"/>
  <c r="EK241" i="9"/>
  <c r="BD124" i="20"/>
  <c r="BD45" i="20"/>
  <c r="AG139" i="22"/>
  <c r="AM134" i="22"/>
  <c r="BH22" i="24"/>
  <c r="BI22" i="24" s="1"/>
  <c r="J106" i="24" s="1"/>
  <c r="BF46" i="15"/>
  <c r="BG87" i="15"/>
  <c r="G175" i="15" s="1"/>
  <c r="H150" i="24"/>
  <c r="AZ95" i="20"/>
  <c r="CB218" i="9"/>
  <c r="CB206" i="9" s="1"/>
  <c r="BL210" i="9"/>
  <c r="Q59" i="14" s="1"/>
  <c r="AB59" i="14" s="1"/>
  <c r="AL109" i="11"/>
  <c r="BP110" i="20"/>
  <c r="BQ110" i="20" s="1"/>
  <c r="AC136" i="20"/>
  <c r="BH218" i="9"/>
  <c r="AT21" i="24"/>
  <c r="AR45" i="15"/>
  <c r="AR120" i="15"/>
  <c r="EE158" i="9"/>
  <c r="EC158" i="9"/>
  <c r="EI105" i="9"/>
  <c r="EJ105" i="9" s="1"/>
  <c r="EK105" i="9" s="1"/>
  <c r="EL105" i="9"/>
  <c r="AO218" i="9"/>
  <c r="AP210" i="9"/>
  <c r="F163" i="11"/>
  <c r="C167" i="11"/>
  <c r="D163" i="11" s="1"/>
  <c r="D167" i="11" s="1"/>
  <c r="Q218" i="9"/>
  <c r="R210" i="9"/>
  <c r="S210" i="9" s="1"/>
  <c r="T210" i="9" s="1"/>
  <c r="U210" i="9" s="1"/>
  <c r="BF114" i="22"/>
  <c r="EE156" i="9"/>
  <c r="EC156" i="9"/>
  <c r="AD109" i="11"/>
  <c r="M139" i="22"/>
  <c r="AM123" i="22"/>
  <c r="BL114" i="22"/>
  <c r="BN114" i="22" s="1"/>
  <c r="EW237" i="9"/>
  <c r="EW241" i="9" s="1"/>
  <c r="EV241" i="9"/>
  <c r="FF233" i="9" s="1"/>
  <c r="BL114" i="15" s="1"/>
  <c r="EY237" i="9"/>
  <c r="BC50" i="20"/>
  <c r="EC157" i="9"/>
  <c r="EE157" i="9"/>
  <c r="EM134" i="9"/>
  <c r="EM126" i="9" s="1"/>
  <c r="H18" i="14"/>
  <c r="D60" i="14"/>
  <c r="DM237" i="9"/>
  <c r="DN237" i="9" s="1"/>
  <c r="DO237" i="9" s="1"/>
  <c r="DP237" i="9" s="1"/>
  <c r="DL241" i="9"/>
  <c r="AF148" i="9"/>
  <c r="M92" i="24"/>
  <c r="M95" i="24" s="1"/>
  <c r="J163" i="15"/>
  <c r="AF218" i="9"/>
  <c r="EG241" i="9"/>
  <c r="AL146" i="9"/>
  <c r="AM146" i="9" s="1"/>
  <c r="AN146" i="9" s="1"/>
  <c r="AO146" i="9" s="1"/>
  <c r="AK149" i="9"/>
  <c r="BG113" i="22"/>
  <c r="G200" i="22" s="1"/>
  <c r="BD120" i="22"/>
  <c r="BD72" i="22"/>
  <c r="AD108" i="11"/>
  <c r="AC74" i="24"/>
  <c r="BO42" i="24"/>
  <c r="BP42" i="24" s="1"/>
  <c r="BN107" i="15"/>
  <c r="Y46" i="9"/>
  <c r="Q51" i="14" s="1"/>
  <c r="AB51" i="14" s="1"/>
  <c r="CR145" i="9"/>
  <c r="CS142" i="9"/>
  <c r="CT142" i="9" s="1"/>
  <c r="CU142" i="9" s="1"/>
  <c r="CV142" i="9" s="1"/>
  <c r="F165" i="11"/>
  <c r="D165" i="11"/>
  <c r="CA218" i="9"/>
  <c r="AF143" i="20"/>
  <c r="AD67" i="24"/>
  <c r="AD74" i="24" s="1"/>
  <c r="AA140" i="15"/>
  <c r="BB63" i="15"/>
  <c r="BG104" i="15"/>
  <c r="G192" i="15" s="1"/>
  <c r="EW240" i="9"/>
  <c r="EY240" i="9"/>
  <c r="BI218" i="9"/>
  <c r="BI206" i="9" s="1"/>
  <c r="EL119" i="9" l="1"/>
  <c r="EM118" i="9"/>
  <c r="EM119" i="9" s="1"/>
  <c r="EM114" i="9" s="1"/>
  <c r="EQ247" i="9"/>
  <c r="ER247" i="9" s="1"/>
  <c r="FB239" i="9"/>
  <c r="FC239" i="9" s="1"/>
  <c r="FD239" i="9" s="1"/>
  <c r="FE239" i="9" s="1"/>
  <c r="FF239" i="9" s="1"/>
  <c r="FG239" i="9" s="1"/>
  <c r="EQ147" i="9"/>
  <c r="F167" i="11"/>
  <c r="I172" i="11"/>
  <c r="AW120" i="15"/>
  <c r="AW55" i="15"/>
  <c r="BG96" i="15"/>
  <c r="G184" i="15" s="1"/>
  <c r="AP218" i="9"/>
  <c r="AP206" i="9" s="1"/>
  <c r="U206" i="9"/>
  <c r="AA188" i="9"/>
  <c r="AC188" i="9" s="1"/>
  <c r="AA194" i="9"/>
  <c r="AC194" i="9" s="1"/>
  <c r="AA187" i="9"/>
  <c r="AC187" i="9" s="1"/>
  <c r="AA192" i="9"/>
  <c r="AC192" i="9" s="1"/>
  <c r="AA191" i="9"/>
  <c r="AC191" i="9" s="1"/>
  <c r="AA189" i="9"/>
  <c r="AC189" i="9" s="1"/>
  <c r="AA185" i="9"/>
  <c r="AA193" i="9"/>
  <c r="AC193" i="9" s="1"/>
  <c r="AA186" i="9"/>
  <c r="AC186" i="9" s="1"/>
  <c r="AA190" i="9"/>
  <c r="AC190" i="9" s="1"/>
  <c r="P140" i="15"/>
  <c r="AU210" i="9"/>
  <c r="W132" i="20"/>
  <c r="BC104" i="20"/>
  <c r="BJ210" i="9"/>
  <c r="BK210" i="9"/>
  <c r="D64" i="14"/>
  <c r="D35" i="14"/>
  <c r="AK139" i="20"/>
  <c r="FB240" i="9"/>
  <c r="FC240" i="9" s="1"/>
  <c r="FD240" i="9" s="1"/>
  <c r="FE240" i="9" s="1"/>
  <c r="FF240" i="9" s="1"/>
  <c r="FG240" i="9" s="1"/>
  <c r="EQ248" i="9"/>
  <c r="ER248" i="9" s="1"/>
  <c r="BF73" i="22"/>
  <c r="BG114" i="22"/>
  <c r="G201" i="22" s="1"/>
  <c r="BF120" i="22"/>
  <c r="BH49" i="24"/>
  <c r="BI49" i="24" s="1"/>
  <c r="J133" i="24" s="1"/>
  <c r="BI39" i="23"/>
  <c r="J123" i="23" s="1"/>
  <c r="BD55" i="23"/>
  <c r="X131" i="22"/>
  <c r="BB104" i="22"/>
  <c r="DP241" i="9"/>
  <c r="DQ237" i="9"/>
  <c r="DQ241" i="9" s="1"/>
  <c r="DQ233" i="9" s="1"/>
  <c r="AJ74" i="24"/>
  <c r="AP69" i="24"/>
  <c r="J156" i="24" s="1"/>
  <c r="EL106" i="9"/>
  <c r="EM105" i="9"/>
  <c r="EM106" i="9" s="1"/>
  <c r="EM101" i="9" s="1"/>
  <c r="T140" i="15"/>
  <c r="AM129" i="15"/>
  <c r="E218" i="15" s="1"/>
  <c r="EQ245" i="9"/>
  <c r="ER245" i="9" s="1"/>
  <c r="AZ100" i="22"/>
  <c r="T128" i="22"/>
  <c r="W63" i="24" s="1"/>
  <c r="BM95" i="15"/>
  <c r="O125" i="15"/>
  <c r="Y130" i="9"/>
  <c r="Q52" i="14" s="1"/>
  <c r="AB52" i="14" s="1"/>
  <c r="F135" i="23"/>
  <c r="N135" i="23" s="1"/>
  <c r="F123" i="23"/>
  <c r="F111" i="23"/>
  <c r="N111" i="23" s="1"/>
  <c r="F133" i="23"/>
  <c r="F121" i="23"/>
  <c r="N121" i="23" s="1"/>
  <c r="F109" i="23"/>
  <c r="N109" i="23" s="1"/>
  <c r="F129" i="23"/>
  <c r="N129" i="23" s="1"/>
  <c r="F117" i="23"/>
  <c r="N117" i="23" s="1"/>
  <c r="F105" i="23"/>
  <c r="F127" i="23"/>
  <c r="N127" i="23" s="1"/>
  <c r="F115" i="23"/>
  <c r="N115" i="23" s="1"/>
  <c r="F103" i="23"/>
  <c r="N103" i="23" s="1"/>
  <c r="F128" i="23"/>
  <c r="N128" i="23" s="1"/>
  <c r="F110" i="23"/>
  <c r="N110" i="23" s="1"/>
  <c r="F131" i="23"/>
  <c r="N131" i="23" s="1"/>
  <c r="F113" i="23"/>
  <c r="N113" i="23" s="1"/>
  <c r="F130" i="23"/>
  <c r="N130" i="23" s="1"/>
  <c r="F112" i="23"/>
  <c r="N112" i="23" s="1"/>
  <c r="F116" i="23"/>
  <c r="N116" i="23" s="1"/>
  <c r="F137" i="23"/>
  <c r="N137" i="23" s="1"/>
  <c r="F114" i="23"/>
  <c r="N114" i="23" s="1"/>
  <c r="F136" i="23"/>
  <c r="N136" i="23" s="1"/>
  <c r="F108" i="23"/>
  <c r="N108" i="23" s="1"/>
  <c r="F104" i="23"/>
  <c r="F134" i="23"/>
  <c r="N134" i="23" s="1"/>
  <c r="F132" i="23"/>
  <c r="N132" i="23" s="1"/>
  <c r="F102" i="23"/>
  <c r="N102" i="23" s="1"/>
  <c r="F126" i="23"/>
  <c r="N126" i="23" s="1"/>
  <c r="F125" i="23"/>
  <c r="N125" i="23" s="1"/>
  <c r="F124" i="23"/>
  <c r="N124" i="23" s="1"/>
  <c r="F118" i="23"/>
  <c r="N118" i="23" s="1"/>
  <c r="F107" i="23"/>
  <c r="F106" i="23"/>
  <c r="F122" i="23"/>
  <c r="N122" i="23" s="1"/>
  <c r="F120" i="23"/>
  <c r="N120" i="23" s="1"/>
  <c r="F119" i="23"/>
  <c r="N119" i="23" s="1"/>
  <c r="I175" i="11"/>
  <c r="N165" i="11"/>
  <c r="AC143" i="20"/>
  <c r="BO28" i="24"/>
  <c r="BP28" i="24" s="1"/>
  <c r="BN93" i="15"/>
  <c r="AO149" i="9"/>
  <c r="AP146" i="9"/>
  <c r="AP149" i="9" s="1"/>
  <c r="AP142" i="9" s="1"/>
  <c r="EQ143" i="9"/>
  <c r="BE108" i="20"/>
  <c r="AA135" i="20"/>
  <c r="BN210" i="9"/>
  <c r="C59" i="14" s="1"/>
  <c r="BG100" i="15"/>
  <c r="G188" i="15" s="1"/>
  <c r="AZ59" i="15"/>
  <c r="AZ120" i="15"/>
  <c r="AL110" i="11"/>
  <c r="AZ50" i="20"/>
  <c r="I171" i="11"/>
  <c r="N163" i="11"/>
  <c r="N164" i="11"/>
  <c r="FB237" i="9"/>
  <c r="EQ246" i="9"/>
  <c r="ER246" i="9" s="1"/>
  <c r="EY241" i="9"/>
  <c r="FB238" i="9" s="1"/>
  <c r="FC238" i="9" s="1"/>
  <c r="FD238" i="9" s="1"/>
  <c r="FE238" i="9" s="1"/>
  <c r="FF238" i="9" s="1"/>
  <c r="FG238" i="9" s="1"/>
  <c r="AT55" i="24"/>
  <c r="C258" i="11"/>
  <c r="E259" i="11"/>
  <c r="BF55" i="24"/>
  <c r="BI48" i="24"/>
  <c r="J132" i="24" s="1"/>
  <c r="AV55" i="23"/>
  <c r="BI20" i="23"/>
  <c r="J104" i="23" s="1"/>
  <c r="P127" i="20"/>
  <c r="W46" i="9"/>
  <c r="L6" i="13" s="1"/>
  <c r="BP97" i="20"/>
  <c r="BQ97" i="20" s="1"/>
  <c r="E274" i="11"/>
  <c r="I273" i="11"/>
  <c r="AD110" i="11"/>
  <c r="P58" i="24"/>
  <c r="M140" i="15"/>
  <c r="AM124" i="15"/>
  <c r="E213" i="15" s="1"/>
  <c r="BI119" i="20"/>
  <c r="AL140" i="20"/>
  <c r="DX131" i="9"/>
  <c r="DU131" i="9"/>
  <c r="BN211" i="9"/>
  <c r="D59" i="14" s="1"/>
  <c r="CV145" i="9"/>
  <c r="CW142" i="9"/>
  <c r="CW145" i="9" s="1"/>
  <c r="CW138" i="9" s="1"/>
  <c r="EE160" i="9"/>
  <c r="EH157" i="9" s="1"/>
  <c r="EI157" i="9" s="1"/>
  <c r="EJ157" i="9" s="1"/>
  <c r="EK157" i="9" s="1"/>
  <c r="EL157" i="9" s="1"/>
  <c r="EM157" i="9" s="1"/>
  <c r="EH156" i="9"/>
  <c r="EQ145" i="9"/>
  <c r="AW96" i="22"/>
  <c r="P125" i="22"/>
  <c r="O124" i="22"/>
  <c r="BM95" i="22"/>
  <c r="BN95" i="22" s="1"/>
  <c r="U218" i="9"/>
  <c r="V210" i="9"/>
  <c r="AF149" i="9"/>
  <c r="AP67" i="24"/>
  <c r="J154" i="24" s="1"/>
  <c r="BN49" i="24"/>
  <c r="BP49" i="24" s="1"/>
  <c r="BN114" i="15"/>
  <c r="I257" i="11"/>
  <c r="O139" i="22" l="1"/>
  <c r="AM124" i="22"/>
  <c r="P139" i="22"/>
  <c r="BJ119" i="20"/>
  <c r="J206" i="20" s="1"/>
  <c r="BI74" i="20"/>
  <c r="P143" i="20"/>
  <c r="AP127" i="20"/>
  <c r="H216" i="20" s="1"/>
  <c r="L163" i="11"/>
  <c r="F170" i="11"/>
  <c r="J172" i="11"/>
  <c r="J173" i="11"/>
  <c r="N138" i="23"/>
  <c r="W74" i="24"/>
  <c r="AP63" i="24"/>
  <c r="J150" i="24" s="1"/>
  <c r="AC185" i="9"/>
  <c r="AA195" i="9"/>
  <c r="AW120" i="22"/>
  <c r="BG96" i="22"/>
  <c r="G183" i="22" s="1"/>
  <c r="AW55" i="22"/>
  <c r="J175" i="11"/>
  <c r="L165" i="11"/>
  <c r="FB147" i="9" s="1"/>
  <c r="K175" i="11"/>
  <c r="M163" i="20"/>
  <c r="M166" i="20" s="1"/>
  <c r="BI94" i="20"/>
  <c r="F28" i="17"/>
  <c r="G28" i="17" s="1"/>
  <c r="K172" i="11"/>
  <c r="EI156" i="9"/>
  <c r="EJ156" i="9" s="1"/>
  <c r="EK156" i="9" s="1"/>
  <c r="EL156" i="9" s="1"/>
  <c r="BE63" i="20"/>
  <c r="BJ108" i="20"/>
  <c r="J195" i="20" s="1"/>
  <c r="N104" i="23"/>
  <c r="BP99" i="20"/>
  <c r="BQ99" i="20" s="1"/>
  <c r="R128" i="20"/>
  <c r="W130" i="9"/>
  <c r="L12" i="13" s="1"/>
  <c r="AJ138" i="20"/>
  <c r="DT237" i="9"/>
  <c r="DC237" i="9"/>
  <c r="C62" i="14" s="1"/>
  <c r="BG117" i="20"/>
  <c r="CZ237" i="9"/>
  <c r="BG100" i="22"/>
  <c r="G187" i="22" s="1"/>
  <c r="AZ59" i="22"/>
  <c r="AZ120" i="22"/>
  <c r="DW238" i="9"/>
  <c r="D63" i="14" s="1"/>
  <c r="AT85" i="15"/>
  <c r="E155" i="15"/>
  <c r="F227" i="9"/>
  <c r="H227" i="9" s="1"/>
  <c r="F228" i="9"/>
  <c r="H228" i="9" s="1"/>
  <c r="F226" i="9"/>
  <c r="Z210" i="9"/>
  <c r="Q53" i="14" s="1"/>
  <c r="AB53" i="14" s="1"/>
  <c r="AT85" i="22"/>
  <c r="E154" i="22"/>
  <c r="E162" i="22" s="1"/>
  <c r="C170" i="22" s="1" a="1"/>
  <c r="AY31" i="24"/>
  <c r="BC59" i="20"/>
  <c r="BJ104" i="20"/>
  <c r="J191" i="20" s="1"/>
  <c r="BC124" i="20"/>
  <c r="EH158" i="9"/>
  <c r="EI158" i="9" s="1"/>
  <c r="EJ158" i="9" s="1"/>
  <c r="EK158" i="9" s="1"/>
  <c r="EL158" i="9" s="1"/>
  <c r="EM158" i="9" s="1"/>
  <c r="C56" i="14"/>
  <c r="F25" i="14"/>
  <c r="EH159" i="9"/>
  <c r="EI159" i="9" s="1"/>
  <c r="EJ159" i="9" s="1"/>
  <c r="EK159" i="9" s="1"/>
  <c r="EL159" i="9" s="1"/>
  <c r="EM159" i="9" s="1"/>
  <c r="BP111" i="20"/>
  <c r="BQ111" i="20" s="1"/>
  <c r="AD136" i="20"/>
  <c r="CG130" i="9"/>
  <c r="CD130" i="9"/>
  <c r="CC130" i="9"/>
  <c r="O12" i="13" s="1"/>
  <c r="AM128" i="22"/>
  <c r="T139" i="22"/>
  <c r="BB63" i="22"/>
  <c r="BG104" i="22"/>
  <c r="G191" i="22" s="1"/>
  <c r="BB120" i="22"/>
  <c r="BD39" i="24"/>
  <c r="BI39" i="24" s="1"/>
  <c r="J123" i="24" s="1"/>
  <c r="AK143" i="20"/>
  <c r="AP139" i="20"/>
  <c r="H228" i="20" s="1"/>
  <c r="S60" i="24"/>
  <c r="BI91" i="20"/>
  <c r="J160" i="20"/>
  <c r="J166" i="20" s="1"/>
  <c r="F26" i="17"/>
  <c r="G26" i="17" s="1"/>
  <c r="AP140" i="20"/>
  <c r="H229" i="20" s="1"/>
  <c r="AL143" i="20"/>
  <c r="FC237" i="9"/>
  <c r="FD237" i="9" s="1"/>
  <c r="FE237" i="9" s="1"/>
  <c r="FF237" i="9" s="1"/>
  <c r="FB241" i="9"/>
  <c r="J171" i="11"/>
  <c r="L164" i="11"/>
  <c r="FB145" i="9" s="1"/>
  <c r="N123" i="23"/>
  <c r="P74" i="24"/>
  <c r="AP58" i="24"/>
  <c r="J145" i="24" s="1"/>
  <c r="AP135" i="20"/>
  <c r="H224" i="20" s="1"/>
  <c r="AA143" i="20"/>
  <c r="W143" i="20"/>
  <c r="AP132" i="20"/>
  <c r="H221" i="20" s="1"/>
  <c r="C259" i="11"/>
  <c r="C260" i="11" s="1"/>
  <c r="K259" i="11"/>
  <c r="E260" i="11"/>
  <c r="R59" i="24"/>
  <c r="O140" i="15"/>
  <c r="AM125" i="15"/>
  <c r="E214" i="15" s="1"/>
  <c r="C274" i="11"/>
  <c r="E275" i="11"/>
  <c r="E276" i="11" s="1"/>
  <c r="G274" i="11"/>
  <c r="BN95" i="15"/>
  <c r="BO30" i="24"/>
  <c r="BP30" i="24" s="1"/>
  <c r="V218" i="9"/>
  <c r="V206" i="9" s="1"/>
  <c r="D34" i="14"/>
  <c r="C64" i="14"/>
  <c r="BB35" i="24"/>
  <c r="X139" i="22"/>
  <c r="AM131" i="22"/>
  <c r="AA66" i="24"/>
  <c r="DW237" i="9"/>
  <c r="C63" i="14" s="1"/>
  <c r="S129" i="20"/>
  <c r="AR210" i="9"/>
  <c r="AQ210" i="9"/>
  <c r="M17" i="13" s="1"/>
  <c r="AZ100" i="20"/>
  <c r="AU211" i="9"/>
  <c r="F229" i="9" l="1"/>
  <c r="H226" i="9"/>
  <c r="I259" i="11"/>
  <c r="I260" i="11" s="1"/>
  <c r="K260" i="11"/>
  <c r="EM156" i="9"/>
  <c r="EM160" i="9" s="1"/>
  <c r="EM152" i="9" s="1"/>
  <c r="EL160" i="9"/>
  <c r="S143" i="20"/>
  <c r="AJ143" i="20"/>
  <c r="AP138" i="20"/>
  <c r="H227" i="20" s="1"/>
  <c r="AW89" i="20"/>
  <c r="H158" i="20"/>
  <c r="H166" i="20" s="1"/>
  <c r="H87" i="24"/>
  <c r="H95" i="24" s="1"/>
  <c r="E163" i="15"/>
  <c r="AP66" i="24"/>
  <c r="J153" i="24" s="1"/>
  <c r="AA74" i="24"/>
  <c r="R143" i="20"/>
  <c r="AP128" i="20"/>
  <c r="H217" i="20" s="1"/>
  <c r="K275" i="11"/>
  <c r="C275" i="11"/>
  <c r="C276" i="11" s="1"/>
  <c r="S74" i="24"/>
  <c r="C60" i="14"/>
  <c r="H17" i="14"/>
  <c r="AT120" i="22"/>
  <c r="AT44" i="22"/>
  <c r="BG85" i="22"/>
  <c r="G172" i="22" s="1"/>
  <c r="FE147" i="9"/>
  <c r="R74" i="24"/>
  <c r="AP59" i="24"/>
  <c r="J146" i="24" s="1"/>
  <c r="FG237" i="9"/>
  <c r="FG241" i="9" s="1"/>
  <c r="FG233" i="9" s="1"/>
  <c r="BO118" i="20" s="1"/>
  <c r="BQ118" i="20" s="1"/>
  <c r="FF241" i="9"/>
  <c r="F26" i="14"/>
  <c r="D56" i="14"/>
  <c r="AD143" i="20"/>
  <c r="AP136" i="20"/>
  <c r="H225" i="20" s="1"/>
  <c r="BJ117" i="20"/>
  <c r="J204" i="20" s="1"/>
  <c r="BG124" i="20"/>
  <c r="BG72" i="20"/>
  <c r="C170" i="11"/>
  <c r="F171" i="11"/>
  <c r="I173" i="11"/>
  <c r="EH160" i="9"/>
  <c r="F15" i="17"/>
  <c r="C215" i="22"/>
  <c r="AC195" i="9"/>
  <c r="Q194" i="9" s="1"/>
  <c r="D25" i="14" s="1"/>
  <c r="AV20" i="24"/>
  <c r="BG85" i="15"/>
  <c r="G173" i="15" s="1"/>
  <c r="AT44" i="15"/>
  <c r="BJ94" i="20"/>
  <c r="J181" i="20" s="1"/>
  <c r="BI49" i="20"/>
  <c r="K171" i="11"/>
  <c r="BT236" i="9"/>
  <c r="BT218" i="11"/>
  <c r="M275" i="11"/>
  <c r="J268" i="11" s="1"/>
  <c r="BI46" i="20"/>
  <c r="BJ91" i="20"/>
  <c r="J178" i="20" s="1"/>
  <c r="BI31" i="24"/>
  <c r="J115" i="24" s="1"/>
  <c r="AY55" i="24"/>
  <c r="C202" i="22"/>
  <c r="C190" i="22"/>
  <c r="C178" i="22"/>
  <c r="C196" i="22"/>
  <c r="C184" i="22"/>
  <c r="C172" i="22"/>
  <c r="C201" i="22"/>
  <c r="C187" i="22"/>
  <c r="C173" i="22"/>
  <c r="C204" i="22"/>
  <c r="C189" i="22"/>
  <c r="C175" i="22"/>
  <c r="C203" i="22"/>
  <c r="C188" i="22"/>
  <c r="C174" i="22"/>
  <c r="C193" i="22"/>
  <c r="C171" i="22"/>
  <c r="C192" i="22"/>
  <c r="C194" i="22"/>
  <c r="C191" i="22"/>
  <c r="C186" i="22"/>
  <c r="C185" i="22"/>
  <c r="C183" i="22"/>
  <c r="C200" i="22"/>
  <c r="C199" i="22"/>
  <c r="C205" i="22"/>
  <c r="C198" i="22"/>
  <c r="C197" i="22"/>
  <c r="C195" i="22"/>
  <c r="C181" i="22"/>
  <c r="C182" i="22"/>
  <c r="C180" i="22"/>
  <c r="C179" i="22"/>
  <c r="C170" i="22"/>
  <c r="C177" i="22"/>
  <c r="C176" i="22"/>
  <c r="BI35" i="24"/>
  <c r="J119" i="24" s="1"/>
  <c r="BB55" i="24"/>
  <c r="BJ100" i="20"/>
  <c r="J187" i="20" s="1"/>
  <c r="AZ55" i="20"/>
  <c r="AZ124" i="20"/>
  <c r="G7" i="13"/>
  <c r="G8" i="13" s="1"/>
  <c r="FE145" i="9"/>
  <c r="FB146" i="9"/>
  <c r="BI118" i="20" l="1"/>
  <c r="I174" i="11"/>
  <c r="C171" i="11"/>
  <c r="N166" i="11"/>
  <c r="ER147" i="9"/>
  <c r="ES147" i="9" s="1"/>
  <c r="BQ218" i="11"/>
  <c r="CE202" i="11"/>
  <c r="G15" i="17"/>
  <c r="I15" i="17" s="1"/>
  <c r="H15" i="17"/>
  <c r="ER143" i="9"/>
  <c r="ES143" i="9" s="1"/>
  <c r="BI20" i="24"/>
  <c r="J104" i="24" s="1"/>
  <c r="H229" i="9"/>
  <c r="K226" i="9"/>
  <c r="FE146" i="9"/>
  <c r="BT237" i="9"/>
  <c r="BQ236" i="9"/>
  <c r="CE220" i="9"/>
  <c r="CG220" i="9" s="1"/>
  <c r="K173" i="11"/>
  <c r="I176" i="11"/>
  <c r="BJ89" i="20"/>
  <c r="J176" i="20" s="1"/>
  <c r="AW44" i="20"/>
  <c r="I275" i="11"/>
  <c r="I276" i="11" s="1"/>
  <c r="K276" i="11"/>
  <c r="EB144" i="9"/>
  <c r="H147" i="24"/>
  <c r="AW95" i="20"/>
  <c r="N164" i="20"/>
  <c r="N166" i="20" s="1"/>
  <c r="F25" i="17"/>
  <c r="G25" i="17" s="1"/>
  <c r="Q193" i="9"/>
  <c r="D24" i="14" s="1"/>
  <c r="Q195" i="9"/>
  <c r="D26" i="14" s="1"/>
  <c r="F172" i="11"/>
  <c r="ER144" i="9" l="1"/>
  <c r="ER145" i="9"/>
  <c r="ES145" i="9" s="1"/>
  <c r="C172" i="11"/>
  <c r="D170" i="11" s="1"/>
  <c r="J174" i="11"/>
  <c r="J176" i="11" s="1"/>
  <c r="L166" i="11"/>
  <c r="L167" i="11" s="1"/>
  <c r="I162" i="11" s="1"/>
  <c r="N167" i="11"/>
  <c r="BJ118" i="20"/>
  <c r="J205" i="20" s="1"/>
  <c r="BI73" i="20"/>
  <c r="BW237" i="9"/>
  <c r="BX237" i="9" s="1"/>
  <c r="BY237" i="9" s="1"/>
  <c r="BZ237" i="9" s="1"/>
  <c r="CA237" i="9" s="1"/>
  <c r="CO257" i="9"/>
  <c r="BQ237" i="9"/>
  <c r="BQ238" i="9" s="1"/>
  <c r="CA232" i="9" s="1"/>
  <c r="BB86" i="15" s="1"/>
  <c r="CE221" i="9"/>
  <c r="BT238" i="9"/>
  <c r="AW50" i="20"/>
  <c r="BJ95" i="20"/>
  <c r="J182" i="20" s="1"/>
  <c r="K174" i="11"/>
  <c r="EE144" i="9"/>
  <c r="F13" i="17"/>
  <c r="L226" i="9"/>
  <c r="K227" i="9"/>
  <c r="BD21" i="24" l="1"/>
  <c r="BD55" i="24" s="1"/>
  <c r="BB120" i="15"/>
  <c r="BB45" i="15"/>
  <c r="BR236" i="9"/>
  <c r="D171" i="11"/>
  <c r="CB237" i="9"/>
  <c r="BW236" i="9"/>
  <c r="BX236" i="9" s="1"/>
  <c r="BY236" i="9" s="1"/>
  <c r="BZ236" i="9" s="1"/>
  <c r="CA236" i="9" s="1"/>
  <c r="CA238" i="9" s="1"/>
  <c r="CG221" i="9"/>
  <c r="H13" i="17"/>
  <c r="G13" i="17"/>
  <c r="I13" i="17" s="1"/>
  <c r="F19" i="17"/>
  <c r="C42" i="14" s="1"/>
  <c r="CL257" i="9"/>
  <c r="CF221" i="9"/>
  <c r="CO258" i="9"/>
  <c r="EE145" i="9"/>
  <c r="EE146" i="9" s="1"/>
  <c r="EQ144" i="9"/>
  <c r="ES144" i="9" s="1"/>
  <c r="D172" i="11"/>
  <c r="L227" i="9"/>
  <c r="U222" i="9" s="1"/>
  <c r="N226" i="9"/>
  <c r="C215" i="11"/>
  <c r="BR237" i="9"/>
  <c r="BR238" i="9" l="1"/>
  <c r="EH144" i="9"/>
  <c r="EI144" i="9" s="1"/>
  <c r="EJ144" i="9" s="1"/>
  <c r="EK144" i="9" s="1"/>
  <c r="EL144" i="9" s="1"/>
  <c r="EM144" i="9" s="1"/>
  <c r="E215" i="11"/>
  <c r="AH232" i="9"/>
  <c r="AH231" i="9"/>
  <c r="N227" i="9"/>
  <c r="Q226" i="9" s="1"/>
  <c r="N240" i="9"/>
  <c r="AH233" i="9"/>
  <c r="Y218" i="9"/>
  <c r="Y219" i="9"/>
  <c r="H158" i="15"/>
  <c r="AT88" i="15"/>
  <c r="EH145" i="9"/>
  <c r="EI145" i="9" s="1"/>
  <c r="EJ145" i="9" s="1"/>
  <c r="EK145" i="9" s="1"/>
  <c r="EL145" i="9" s="1"/>
  <c r="EM145" i="9" s="1"/>
  <c r="EQ146" i="9"/>
  <c r="EB145" i="9"/>
  <c r="FE148" i="9"/>
  <c r="CB236" i="9"/>
  <c r="CB238" i="9" s="1"/>
  <c r="CB232" i="9" s="1"/>
  <c r="CR255" i="9"/>
  <c r="CR256" i="9"/>
  <c r="CL258" i="9"/>
  <c r="CM257" i="9" s="1"/>
  <c r="CR257" i="9"/>
  <c r="BM112" i="22" l="1"/>
  <c r="BN112" i="22" s="1"/>
  <c r="R226" i="9"/>
  <c r="S226" i="9" s="1"/>
  <c r="EM146" i="9"/>
  <c r="EM140" i="9" s="1"/>
  <c r="CS256" i="9"/>
  <c r="CT256" i="9" s="1"/>
  <c r="CU256" i="9" s="1"/>
  <c r="CV256" i="9" s="1"/>
  <c r="CW256" i="9" s="1"/>
  <c r="Z219" i="9"/>
  <c r="AA219" i="9" s="1"/>
  <c r="AV23" i="24"/>
  <c r="BI23" i="24" s="1"/>
  <c r="J107" i="24" s="1"/>
  <c r="AT47" i="15"/>
  <c r="BG88" i="15"/>
  <c r="G176" i="15" s="1"/>
  <c r="CS257" i="9"/>
  <c r="CT257" i="9" s="1"/>
  <c r="CU257" i="9" s="1"/>
  <c r="CV257" i="9" s="1"/>
  <c r="CW257" i="9" s="1"/>
  <c r="N241" i="9"/>
  <c r="Z221" i="9"/>
  <c r="N242" i="9"/>
  <c r="Q240" i="9"/>
  <c r="R240" i="9" s="1"/>
  <c r="S240" i="9" s="1"/>
  <c r="T240" i="9" s="1"/>
  <c r="U240" i="9" s="1"/>
  <c r="Y220" i="9"/>
  <c r="CS255" i="9"/>
  <c r="CT255" i="9" s="1"/>
  <c r="CU255" i="9" s="1"/>
  <c r="CV255" i="9"/>
  <c r="BE90" i="20"/>
  <c r="CH211" i="9"/>
  <c r="ER146" i="9"/>
  <c r="ES146" i="9" s="1"/>
  <c r="FB148" i="9"/>
  <c r="FE149" i="9"/>
  <c r="FH148" i="9" s="1"/>
  <c r="FI148" i="9" s="1"/>
  <c r="FJ148" i="9" s="1"/>
  <c r="FK148" i="9" s="1"/>
  <c r="FL148" i="9" s="1"/>
  <c r="AH234" i="9"/>
  <c r="AK233" i="9" s="1"/>
  <c r="AL233" i="9" s="1"/>
  <c r="AM233" i="9" s="1"/>
  <c r="AN233" i="9" s="1"/>
  <c r="AO233" i="9" s="1"/>
  <c r="Z218" i="9"/>
  <c r="AA218" i="9" s="1"/>
  <c r="Z220" i="9"/>
  <c r="EB146" i="9"/>
  <c r="EC145" i="9" s="1"/>
  <c r="E216" i="11"/>
  <c r="C225" i="11"/>
  <c r="K215" i="11"/>
  <c r="K216" i="11"/>
  <c r="I216" i="11" s="1"/>
  <c r="AE232" i="9" s="1"/>
  <c r="EL146" i="9"/>
  <c r="K90" i="24"/>
  <c r="K95" i="24" s="1"/>
  <c r="H163" i="15"/>
  <c r="CV251" i="9"/>
  <c r="CM256" i="9"/>
  <c r="CM255" i="9"/>
  <c r="AF133" i="22" l="1"/>
  <c r="AM133" i="22" s="1"/>
  <c r="AF134" i="15"/>
  <c r="BM112" i="15"/>
  <c r="CF210" i="9"/>
  <c r="Q61" i="14" s="1"/>
  <c r="AB61" i="14" s="1"/>
  <c r="CV258" i="9"/>
  <c r="CW255" i="9"/>
  <c r="CW258" i="9" s="1"/>
  <c r="CW251" i="9" s="1"/>
  <c r="AK231" i="9"/>
  <c r="V240" i="9"/>
  <c r="FB149" i="9"/>
  <c r="I215" i="11"/>
  <c r="C223" i="11"/>
  <c r="C224" i="11"/>
  <c r="AF139" i="22"/>
  <c r="BI90" i="20"/>
  <c r="ES132" i="9"/>
  <c r="AA220" i="9"/>
  <c r="Q241" i="9"/>
  <c r="R241" i="9" s="1"/>
  <c r="S241" i="9" s="1"/>
  <c r="T241" i="9" s="1"/>
  <c r="U241" i="9" s="1"/>
  <c r="V241" i="9" s="1"/>
  <c r="Y221" i="9"/>
  <c r="AA221" i="9" s="1"/>
  <c r="G26" i="14"/>
  <c r="D61" i="14"/>
  <c r="BE124" i="20"/>
  <c r="BE45" i="20"/>
  <c r="AP232" i="9"/>
  <c r="AP233" i="9"/>
  <c r="FM148" i="9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C216" i="11"/>
  <c r="E217" i="11"/>
  <c r="CM258" i="9"/>
  <c r="EL140" i="9"/>
  <c r="EC144" i="9"/>
  <c r="BM117" i="22" l="1"/>
  <c r="BN117" i="22" s="1"/>
  <c r="AK137" i="22"/>
  <c r="U242" i="9"/>
  <c r="K240" i="9"/>
  <c r="BI45" i="20"/>
  <c r="BI124" i="20"/>
  <c r="FL141" i="9"/>
  <c r="FC145" i="9"/>
  <c r="FC147" i="9"/>
  <c r="FC146" i="9"/>
  <c r="E35" i="14"/>
  <c r="D65" i="14"/>
  <c r="AI137" i="20"/>
  <c r="BP116" i="20"/>
  <c r="BQ116" i="20" s="1"/>
  <c r="CH210" i="9"/>
  <c r="CD210" i="9"/>
  <c r="N17" i="13" s="1"/>
  <c r="CE210" i="9"/>
  <c r="BO47" i="24"/>
  <c r="BP47" i="24" s="1"/>
  <c r="BN112" i="15"/>
  <c r="BF86" i="15"/>
  <c r="FC148" i="9"/>
  <c r="K217" i="11"/>
  <c r="C217" i="11"/>
  <c r="C218" i="11" s="1"/>
  <c r="E218" i="11"/>
  <c r="V242" i="9"/>
  <c r="V236" i="9" s="1"/>
  <c r="AL231" i="9"/>
  <c r="AM231" i="9" s="1"/>
  <c r="AN231" i="9" s="1"/>
  <c r="AO231" i="9" s="1"/>
  <c r="AK234" i="9"/>
  <c r="FI145" i="9"/>
  <c r="FJ145" i="9" s="1"/>
  <c r="FK145" i="9" s="1"/>
  <c r="FL145" i="9" s="1"/>
  <c r="FH149" i="9"/>
  <c r="E225" i="11"/>
  <c r="C230" i="11"/>
  <c r="C229" i="11"/>
  <c r="G225" i="11"/>
  <c r="G224" i="11" s="1"/>
  <c r="G223" i="11" s="1"/>
  <c r="AE231" i="9"/>
  <c r="AI68" i="24"/>
  <c r="AF140" i="15"/>
  <c r="AM134" i="15"/>
  <c r="E223" i="15" s="1"/>
  <c r="I217" i="11" l="1"/>
  <c r="I218" i="11" s="1"/>
  <c r="K218" i="11"/>
  <c r="C231" i="11"/>
  <c r="M223" i="11" s="1"/>
  <c r="N223" i="11"/>
  <c r="FC149" i="9"/>
  <c r="BH21" i="24"/>
  <c r="BH55" i="24" s="1"/>
  <c r="BF45" i="15"/>
  <c r="BF120" i="15"/>
  <c r="E223" i="11"/>
  <c r="E224" i="11"/>
  <c r="AK138" i="15"/>
  <c r="BM117" i="15"/>
  <c r="EQ131" i="9"/>
  <c r="Q65" i="14" s="1"/>
  <c r="AB65" i="14" s="1"/>
  <c r="FL149" i="9"/>
  <c r="FM145" i="9"/>
  <c r="FM149" i="9" s="1"/>
  <c r="FM141" i="9" s="1"/>
  <c r="AO234" i="9"/>
  <c r="AP231" i="9"/>
  <c r="AP234" i="9" s="1"/>
  <c r="AP227" i="9" s="1"/>
  <c r="C61" i="14"/>
  <c r="G25" i="14"/>
  <c r="L240" i="9"/>
  <c r="L242" i="9" s="1"/>
  <c r="I159" i="20"/>
  <c r="I166" i="20" s="1"/>
  <c r="AW90" i="20"/>
  <c r="AI74" i="24"/>
  <c r="AP68" i="24"/>
  <c r="J155" i="24" s="1"/>
  <c r="AI143" i="20"/>
  <c r="AP137" i="20"/>
  <c r="H226" i="20" s="1"/>
  <c r="AK139" i="22"/>
  <c r="AM137" i="22"/>
  <c r="K241" i="9"/>
  <c r="L241" i="9" s="1"/>
  <c r="AE233" i="9"/>
  <c r="O223" i="11" l="1"/>
  <c r="P223" i="11" s="1"/>
  <c r="P226" i="9"/>
  <c r="T226" i="9" s="1"/>
  <c r="U226" i="9" s="1"/>
  <c r="P63" i="9"/>
  <c r="T63" i="9" s="1"/>
  <c r="U63" i="9" s="1"/>
  <c r="P144" i="9"/>
  <c r="T144" i="9" s="1"/>
  <c r="U144" i="9" s="1"/>
  <c r="T129" i="20"/>
  <c r="BP101" i="20"/>
  <c r="BQ101" i="20" s="1"/>
  <c r="X210" i="9"/>
  <c r="L17" i="13" s="1"/>
  <c r="AN141" i="20"/>
  <c r="BP121" i="20"/>
  <c r="BQ121" i="20" s="1"/>
  <c r="EO131" i="9"/>
  <c r="M22" i="13" s="1"/>
  <c r="EP131" i="9"/>
  <c r="ES131" i="9"/>
  <c r="BO52" i="24"/>
  <c r="BP52" i="24" s="1"/>
  <c r="BN117" i="15"/>
  <c r="AW45" i="20"/>
  <c r="BJ90" i="20"/>
  <c r="J177" i="20" s="1"/>
  <c r="AN72" i="24"/>
  <c r="AK140" i="15"/>
  <c r="AM138" i="15"/>
  <c r="E227" i="15" s="1"/>
  <c r="AE234" i="9"/>
  <c r="AF233" i="9" s="1"/>
  <c r="K242" i="9"/>
  <c r="U236" i="9" s="1"/>
  <c r="BM97" i="22" l="1"/>
  <c r="BN97" i="22" s="1"/>
  <c r="I170" i="22" s="1" a="1"/>
  <c r="AN74" i="24"/>
  <c r="AP72" i="24"/>
  <c r="J159" i="24" s="1"/>
  <c r="C65" i="14"/>
  <c r="E34" i="14"/>
  <c r="U64" i="9"/>
  <c r="V63" i="9"/>
  <c r="V64" i="9" s="1"/>
  <c r="V59" i="9" s="1"/>
  <c r="AN143" i="20"/>
  <c r="AP141" i="20"/>
  <c r="H230" i="20" s="1"/>
  <c r="L174" i="20" a="1"/>
  <c r="T143" i="20"/>
  <c r="AP129" i="20"/>
  <c r="H218" i="20" s="1"/>
  <c r="U145" i="9"/>
  <c r="V144" i="9"/>
  <c r="V145" i="9" s="1"/>
  <c r="V140" i="9" s="1"/>
  <c r="AT86" i="15"/>
  <c r="F156" i="15"/>
  <c r="AO227" i="9"/>
  <c r="AF232" i="9"/>
  <c r="AF231" i="9"/>
  <c r="AF234" i="9" s="1"/>
  <c r="U227" i="9"/>
  <c r="V226" i="9"/>
  <c r="V227" i="9" s="1"/>
  <c r="V222" i="9" s="1"/>
  <c r="H174" i="20" l="1" a="1"/>
  <c r="H175" i="20" s="1"/>
  <c r="Q125" i="22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Q139" i="22"/>
  <c r="E170" i="22" s="1" a="1"/>
  <c r="AM125" i="22"/>
  <c r="H199" i="20"/>
  <c r="H187" i="20"/>
  <c r="H176" i="20"/>
  <c r="H209" i="20"/>
  <c r="H195" i="20"/>
  <c r="H181" i="20"/>
  <c r="H208" i="20"/>
  <c r="H194" i="20"/>
  <c r="H180" i="20"/>
  <c r="H192" i="20"/>
  <c r="H207" i="20"/>
  <c r="H191" i="20"/>
  <c r="H190" i="20"/>
  <c r="H205" i="20"/>
  <c r="H189" i="20"/>
  <c r="H204" i="20"/>
  <c r="H182" i="20"/>
  <c r="H203" i="20"/>
  <c r="H179" i="20"/>
  <c r="H178" i="20"/>
  <c r="H177" i="20"/>
  <c r="H202" i="20"/>
  <c r="H183" i="20"/>
  <c r="H198" i="20"/>
  <c r="H186" i="20"/>
  <c r="H185" i="20"/>
  <c r="H197" i="20"/>
  <c r="H193" i="20"/>
  <c r="H196" i="20"/>
  <c r="Q126" i="15"/>
  <c r="BM97" i="15"/>
  <c r="I88" i="24"/>
  <c r="I95" i="24" s="1"/>
  <c r="F102" i="24" s="1" a="1"/>
  <c r="F163" i="15"/>
  <c r="C171" i="15" s="1" a="1"/>
  <c r="AV21" i="24"/>
  <c r="AT45" i="15"/>
  <c r="BG86" i="15"/>
  <c r="G174" i="15" s="1"/>
  <c r="AT120" i="15"/>
  <c r="C213" i="15" s="1" a="1"/>
  <c r="AV92" i="20"/>
  <c r="AA131" i="9"/>
  <c r="X130" i="9"/>
  <c r="AA130" i="9"/>
  <c r="F24" i="17"/>
  <c r="G24" i="17" s="1"/>
  <c r="AW92" i="20"/>
  <c r="Y210" i="9"/>
  <c r="AB211" i="9"/>
  <c r="AB210" i="9"/>
  <c r="L209" i="20"/>
  <c r="L197" i="20"/>
  <c r="L185" i="20"/>
  <c r="L174" i="20"/>
  <c r="L198" i="20"/>
  <c r="L186" i="20"/>
  <c r="L201" i="20"/>
  <c r="L187" i="20"/>
  <c r="L200" i="20"/>
  <c r="L184" i="20"/>
  <c r="L206" i="20"/>
  <c r="L190" i="20"/>
  <c r="L205" i="20"/>
  <c r="L189" i="20"/>
  <c r="L204" i="20"/>
  <c r="L188" i="20"/>
  <c r="L203" i="20"/>
  <c r="L183" i="20"/>
  <c r="L194" i="20"/>
  <c r="L193" i="20"/>
  <c r="L202" i="20"/>
  <c r="L176" i="20"/>
  <c r="L199" i="20"/>
  <c r="L175" i="20"/>
  <c r="L196" i="20"/>
  <c r="L195" i="20"/>
  <c r="L179" i="20"/>
  <c r="L177" i="20"/>
  <c r="L178" i="20"/>
  <c r="L207" i="20"/>
  <c r="L181" i="20"/>
  <c r="L192" i="20"/>
  <c r="L191" i="20"/>
  <c r="L182" i="20"/>
  <c r="L208" i="20"/>
  <c r="L180" i="20"/>
  <c r="I199" i="22"/>
  <c r="I187" i="22"/>
  <c r="I175" i="22"/>
  <c r="I205" i="22"/>
  <c r="I193" i="22"/>
  <c r="I181" i="22"/>
  <c r="I170" i="22"/>
  <c r="I203" i="22"/>
  <c r="I191" i="22"/>
  <c r="I179" i="22"/>
  <c r="I204" i="22"/>
  <c r="I188" i="22"/>
  <c r="I172" i="22"/>
  <c r="I190" i="22"/>
  <c r="I174" i="22"/>
  <c r="I189" i="22"/>
  <c r="I173" i="22"/>
  <c r="I198" i="22"/>
  <c r="I178" i="22"/>
  <c r="I197" i="22"/>
  <c r="I177" i="22"/>
  <c r="I192" i="22"/>
  <c r="I186" i="22"/>
  <c r="I185" i="22"/>
  <c r="I184" i="22"/>
  <c r="I183" i="22"/>
  <c r="I180" i="22"/>
  <c r="I176" i="22"/>
  <c r="I171" i="22"/>
  <c r="I200" i="22"/>
  <c r="I195" i="22"/>
  <c r="I196" i="22"/>
  <c r="I194" i="22"/>
  <c r="I202" i="22"/>
  <c r="I201" i="22"/>
  <c r="I182" i="22"/>
  <c r="H184" i="20" l="1"/>
  <c r="H206" i="20"/>
  <c r="H188" i="20"/>
  <c r="H201" i="20"/>
  <c r="H174" i="20"/>
  <c r="H200" i="20"/>
  <c r="T5" i="13"/>
  <c r="C224" i="15"/>
  <c r="G224" i="15" s="1"/>
  <c r="C213" i="15"/>
  <c r="G213" i="15" s="1"/>
  <c r="C226" i="15"/>
  <c r="G226" i="15" s="1"/>
  <c r="C214" i="15"/>
  <c r="G214" i="15" s="1"/>
  <c r="C225" i="15"/>
  <c r="G225" i="15" s="1"/>
  <c r="C221" i="15"/>
  <c r="G221" i="15" s="1"/>
  <c r="C220" i="15"/>
  <c r="G220" i="15" s="1"/>
  <c r="C223" i="15"/>
  <c r="G223" i="15" s="1"/>
  <c r="C222" i="15"/>
  <c r="G222" i="15" s="1"/>
  <c r="C219" i="15"/>
  <c r="G219" i="15" s="1"/>
  <c r="C218" i="15"/>
  <c r="G218" i="15" s="1"/>
  <c r="C227" i="15"/>
  <c r="G227" i="15" s="1"/>
  <c r="C217" i="15"/>
  <c r="G217" i="15" s="1"/>
  <c r="C215" i="15"/>
  <c r="C216" i="15"/>
  <c r="G216" i="15" s="1"/>
  <c r="E201" i="22"/>
  <c r="E189" i="22"/>
  <c r="K189" i="22" s="1"/>
  <c r="E177" i="22"/>
  <c r="K177" i="22" s="1"/>
  <c r="E195" i="22"/>
  <c r="K195" i="22" s="1"/>
  <c r="E183" i="22"/>
  <c r="K183" i="22" s="1"/>
  <c r="E171" i="22"/>
  <c r="K171" i="22" s="1"/>
  <c r="E205" i="22"/>
  <c r="K205" i="22" s="1"/>
  <c r="E193" i="22"/>
  <c r="K193" i="22" s="1"/>
  <c r="E194" i="22"/>
  <c r="K194" i="22" s="1"/>
  <c r="E179" i="22"/>
  <c r="K179" i="22" s="1"/>
  <c r="E197" i="22"/>
  <c r="K197" i="22" s="1"/>
  <c r="E181" i="22"/>
  <c r="K181" i="22" s="1"/>
  <c r="E196" i="22"/>
  <c r="K196" i="22" s="1"/>
  <c r="E180" i="22"/>
  <c r="K180" i="22" s="1"/>
  <c r="E192" i="22"/>
  <c r="K192" i="22" s="1"/>
  <c r="E174" i="22"/>
  <c r="E191" i="22"/>
  <c r="K191" i="22" s="1"/>
  <c r="E173" i="22"/>
  <c r="K173" i="22" s="1"/>
  <c r="E203" i="22"/>
  <c r="K203" i="22" s="1"/>
  <c r="E178" i="22"/>
  <c r="K178" i="22" s="1"/>
  <c r="E202" i="22"/>
  <c r="K202" i="22" s="1"/>
  <c r="E176" i="22"/>
  <c r="K176" i="22" s="1"/>
  <c r="E200" i="22"/>
  <c r="K200" i="22" s="1"/>
  <c r="E175" i="22"/>
  <c r="E199" i="22"/>
  <c r="K199" i="22" s="1"/>
  <c r="E172" i="22"/>
  <c r="K172" i="22" s="1"/>
  <c r="E198" i="22"/>
  <c r="K198" i="22" s="1"/>
  <c r="E204" i="22"/>
  <c r="K204" i="22" s="1"/>
  <c r="E170" i="22"/>
  <c r="K170" i="22" s="1"/>
  <c r="E190" i="22"/>
  <c r="K190" i="22" s="1"/>
  <c r="E185" i="22"/>
  <c r="K185" i="22" s="1"/>
  <c r="E188" i="22"/>
  <c r="K188" i="22" s="1"/>
  <c r="E187" i="22"/>
  <c r="K187" i="22" s="1"/>
  <c r="E186" i="22"/>
  <c r="K186" i="22" s="1"/>
  <c r="E182" i="22"/>
  <c r="K182" i="22" s="1"/>
  <c r="E184" i="22"/>
  <c r="K184" i="22" s="1"/>
  <c r="C53" i="14"/>
  <c r="E25" i="14"/>
  <c r="E9" i="14"/>
  <c r="D51" i="14"/>
  <c r="AW47" i="20"/>
  <c r="AW124" i="20"/>
  <c r="E17" i="14"/>
  <c r="C52" i="14"/>
  <c r="D52" i="14"/>
  <c r="E18" i="14"/>
  <c r="C51" i="14"/>
  <c r="E8" i="14"/>
  <c r="AV47" i="20"/>
  <c r="AV124" i="20"/>
  <c r="E26" i="14"/>
  <c r="D53" i="14"/>
  <c r="BI21" i="24"/>
  <c r="J105" i="24" s="1"/>
  <c r="AV55" i="24"/>
  <c r="F145" i="24" s="1" a="1"/>
  <c r="F200" i="20"/>
  <c r="F188" i="20"/>
  <c r="N188" i="20" s="1"/>
  <c r="F176" i="20"/>
  <c r="N176" i="20" s="1"/>
  <c r="F201" i="20"/>
  <c r="N201" i="20" s="1"/>
  <c r="F189" i="20"/>
  <c r="N189" i="20" s="1"/>
  <c r="F177" i="20"/>
  <c r="N177" i="20" s="1"/>
  <c r="F204" i="20"/>
  <c r="N204" i="20" s="1"/>
  <c r="F190" i="20"/>
  <c r="N190" i="20" s="1"/>
  <c r="F203" i="20"/>
  <c r="N203" i="20" s="1"/>
  <c r="F187" i="20"/>
  <c r="N187" i="20" s="1"/>
  <c r="F174" i="20"/>
  <c r="F195" i="20"/>
  <c r="N195" i="20" s="1"/>
  <c r="F179" i="20"/>
  <c r="F194" i="20"/>
  <c r="N194" i="20" s="1"/>
  <c r="F178" i="20"/>
  <c r="N178" i="20" s="1"/>
  <c r="F209" i="20"/>
  <c r="N209" i="20" s="1"/>
  <c r="F193" i="20"/>
  <c r="N193" i="20" s="1"/>
  <c r="F175" i="20"/>
  <c r="N175" i="20" s="1"/>
  <c r="F208" i="20"/>
  <c r="N208" i="20" s="1"/>
  <c r="F192" i="20"/>
  <c r="N192" i="20" s="1"/>
  <c r="F191" i="20"/>
  <c r="N191" i="20" s="1"/>
  <c r="F186" i="20"/>
  <c r="N186" i="20" s="1"/>
  <c r="F183" i="20"/>
  <c r="N183" i="20" s="1"/>
  <c r="F182" i="20"/>
  <c r="N182" i="20" s="1"/>
  <c r="F207" i="20"/>
  <c r="N207" i="20" s="1"/>
  <c r="F181" i="20"/>
  <c r="N181" i="20" s="1"/>
  <c r="F206" i="20"/>
  <c r="N206" i="20" s="1"/>
  <c r="F180" i="20"/>
  <c r="N180" i="20" s="1"/>
  <c r="F202" i="20"/>
  <c r="N202" i="20" s="1"/>
  <c r="F198" i="20"/>
  <c r="N198" i="20" s="1"/>
  <c r="F199" i="20"/>
  <c r="N199" i="20" s="1"/>
  <c r="F205" i="20"/>
  <c r="N205" i="20" s="1"/>
  <c r="F197" i="20"/>
  <c r="N197" i="20" s="1"/>
  <c r="F196" i="20"/>
  <c r="N196" i="20" s="1"/>
  <c r="F184" i="20"/>
  <c r="F185" i="20"/>
  <c r="N185" i="20" s="1"/>
  <c r="F127" i="24"/>
  <c r="F115" i="24"/>
  <c r="F103" i="24"/>
  <c r="F126" i="24"/>
  <c r="F114" i="24"/>
  <c r="F137" i="24"/>
  <c r="F125" i="24"/>
  <c r="F113" i="24"/>
  <c r="F102" i="24"/>
  <c r="F136" i="24"/>
  <c r="F124" i="24"/>
  <c r="F112" i="24"/>
  <c r="F135" i="24"/>
  <c r="F123" i="24"/>
  <c r="F111" i="24"/>
  <c r="F134" i="24"/>
  <c r="F122" i="24"/>
  <c r="F110" i="24"/>
  <c r="F133" i="24"/>
  <c r="F121" i="24"/>
  <c r="F109" i="24"/>
  <c r="F132" i="24"/>
  <c r="F120" i="24"/>
  <c r="F108" i="24"/>
  <c r="F131" i="24"/>
  <c r="F119" i="24"/>
  <c r="F107" i="24"/>
  <c r="F130" i="24"/>
  <c r="F118" i="24"/>
  <c r="F106" i="24"/>
  <c r="F129" i="24"/>
  <c r="F117" i="24"/>
  <c r="F105" i="24"/>
  <c r="F128" i="24"/>
  <c r="F116" i="24"/>
  <c r="F104" i="24"/>
  <c r="BN97" i="15"/>
  <c r="I171" i="15" s="1" a="1"/>
  <c r="BO32" i="24"/>
  <c r="BP32" i="24" s="1"/>
  <c r="L102" i="24" s="1" a="1"/>
  <c r="T60" i="24"/>
  <c r="Q140" i="15"/>
  <c r="E171" i="15" s="1" a="1"/>
  <c r="AM126" i="15"/>
  <c r="E215" i="15" s="1"/>
  <c r="C198" i="15"/>
  <c r="C186" i="15"/>
  <c r="C174" i="15"/>
  <c r="C200" i="15"/>
  <c r="C188" i="15"/>
  <c r="C176" i="15"/>
  <c r="C199" i="15"/>
  <c r="C187" i="15"/>
  <c r="C175" i="15"/>
  <c r="C204" i="15"/>
  <c r="C189" i="15"/>
  <c r="C203" i="15"/>
  <c r="C185" i="15"/>
  <c r="C171" i="15"/>
  <c r="C193" i="15"/>
  <c r="C173" i="15"/>
  <c r="C192" i="15"/>
  <c r="C172" i="15"/>
  <c r="C191" i="15"/>
  <c r="C190" i="15"/>
  <c r="C196" i="15"/>
  <c r="C195" i="15"/>
  <c r="C202" i="15"/>
  <c r="C201" i="15"/>
  <c r="C197" i="15"/>
  <c r="C194" i="15"/>
  <c r="C206" i="15"/>
  <c r="C184" i="15"/>
  <c r="C205" i="15"/>
  <c r="C183" i="15"/>
  <c r="C182" i="15"/>
  <c r="C181" i="15"/>
  <c r="C180" i="15"/>
  <c r="C179" i="15"/>
  <c r="C177" i="15"/>
  <c r="C178" i="15"/>
  <c r="BJ92" i="20"/>
  <c r="J179" i="20" s="1"/>
  <c r="AU47" i="20"/>
  <c r="AU124" i="20"/>
  <c r="N184" i="20" l="1"/>
  <c r="N179" i="20"/>
  <c r="N200" i="20"/>
  <c r="N174" i="20"/>
  <c r="I195" i="15"/>
  <c r="I183" i="15"/>
  <c r="I197" i="15"/>
  <c r="I185" i="15"/>
  <c r="I173" i="15"/>
  <c r="I196" i="15"/>
  <c r="I184" i="15"/>
  <c r="I172" i="15"/>
  <c r="I192" i="15"/>
  <c r="I177" i="15"/>
  <c r="I206" i="15"/>
  <c r="I191" i="15"/>
  <c r="I176" i="15"/>
  <c r="I194" i="15"/>
  <c r="I175" i="15"/>
  <c r="I193" i="15"/>
  <c r="I174" i="15"/>
  <c r="I190" i="15"/>
  <c r="I171" i="15"/>
  <c r="I189" i="15"/>
  <c r="I204" i="15"/>
  <c r="I180" i="15"/>
  <c r="I203" i="15"/>
  <c r="I179" i="15"/>
  <c r="I199" i="15"/>
  <c r="I198" i="15"/>
  <c r="I188" i="15"/>
  <c r="I187" i="15"/>
  <c r="I181" i="15"/>
  <c r="I178" i="15"/>
  <c r="I202" i="15"/>
  <c r="I186" i="15"/>
  <c r="I182" i="15"/>
  <c r="I201" i="15"/>
  <c r="I200" i="15"/>
  <c r="I205" i="15"/>
  <c r="F216" i="20" a="1"/>
  <c r="T74" i="24"/>
  <c r="H102" i="24" s="1" a="1"/>
  <c r="AP60" i="24"/>
  <c r="J147" i="24" s="1"/>
  <c r="L136" i="24"/>
  <c r="L124" i="24"/>
  <c r="L112" i="24"/>
  <c r="L135" i="24"/>
  <c r="L123" i="24"/>
  <c r="L111" i="24"/>
  <c r="L134" i="24"/>
  <c r="L122" i="24"/>
  <c r="L110" i="24"/>
  <c r="L133" i="24"/>
  <c r="L121" i="24"/>
  <c r="L109" i="24"/>
  <c r="L132" i="24"/>
  <c r="L120" i="24"/>
  <c r="L108" i="24"/>
  <c r="L131" i="24"/>
  <c r="L119" i="24"/>
  <c r="L107" i="24"/>
  <c r="L130" i="24"/>
  <c r="L118" i="24"/>
  <c r="L106" i="24"/>
  <c r="L129" i="24"/>
  <c r="L117" i="24"/>
  <c r="L105" i="24"/>
  <c r="L128" i="24"/>
  <c r="L116" i="24"/>
  <c r="L104" i="24"/>
  <c r="L127" i="24"/>
  <c r="L115" i="24"/>
  <c r="L103" i="24"/>
  <c r="L126" i="24"/>
  <c r="L114" i="24"/>
  <c r="L137" i="24"/>
  <c r="L125" i="24"/>
  <c r="L113" i="24"/>
  <c r="L102" i="24"/>
  <c r="K206" i="22"/>
  <c r="G215" i="15"/>
  <c r="F154" i="24"/>
  <c r="L154" i="24" s="1"/>
  <c r="F153" i="24"/>
  <c r="L153" i="24" s="1"/>
  <c r="P59" i="14" s="1"/>
  <c r="Y59" i="14" s="1"/>
  <c r="F152" i="24"/>
  <c r="L152" i="24" s="1"/>
  <c r="P58" i="14" s="1"/>
  <c r="Y58" i="14" s="1"/>
  <c r="F151" i="24"/>
  <c r="L151" i="24" s="1"/>
  <c r="F150" i="24"/>
  <c r="L150" i="24" s="1"/>
  <c r="P56" i="14" s="1"/>
  <c r="Y56" i="14" s="1"/>
  <c r="F149" i="24"/>
  <c r="L149" i="24" s="1"/>
  <c r="P55" i="14" s="1"/>
  <c r="Y55" i="14" s="1"/>
  <c r="F148" i="24"/>
  <c r="L148" i="24" s="1"/>
  <c r="P54" i="14" s="1"/>
  <c r="Y54" i="14" s="1"/>
  <c r="F159" i="24"/>
  <c r="L159" i="24" s="1"/>
  <c r="F147" i="24"/>
  <c r="F158" i="24"/>
  <c r="L158" i="24" s="1"/>
  <c r="P64" i="14" s="1"/>
  <c r="Y64" i="14" s="1"/>
  <c r="F146" i="24"/>
  <c r="L146" i="24" s="1"/>
  <c r="F157" i="24"/>
  <c r="L157" i="24" s="1"/>
  <c r="P63" i="14" s="1"/>
  <c r="Y63" i="14" s="1"/>
  <c r="F156" i="24"/>
  <c r="L156" i="24" s="1"/>
  <c r="P62" i="14" s="1"/>
  <c r="Y62" i="14" s="1"/>
  <c r="F145" i="24"/>
  <c r="L145" i="24" s="1"/>
  <c r="F155" i="24"/>
  <c r="L155" i="24" s="1"/>
  <c r="E197" i="15"/>
  <c r="E185" i="15"/>
  <c r="E173" i="15"/>
  <c r="E199" i="15"/>
  <c r="K199" i="15" s="1"/>
  <c r="E187" i="15"/>
  <c r="E175" i="15"/>
  <c r="K175" i="15" s="1"/>
  <c r="E198" i="15"/>
  <c r="K198" i="15" s="1"/>
  <c r="E186" i="15"/>
  <c r="E174" i="15"/>
  <c r="E200" i="15"/>
  <c r="E182" i="15"/>
  <c r="E196" i="15"/>
  <c r="E181" i="15"/>
  <c r="E193" i="15"/>
  <c r="E176" i="15"/>
  <c r="E192" i="15"/>
  <c r="E172" i="15"/>
  <c r="E191" i="15"/>
  <c r="E190" i="15"/>
  <c r="E171" i="15"/>
  <c r="E188" i="15"/>
  <c r="K188" i="15" s="1"/>
  <c r="E184" i="15"/>
  <c r="K184" i="15" s="1"/>
  <c r="E202" i="15"/>
  <c r="E201" i="15"/>
  <c r="E195" i="15"/>
  <c r="E194" i="15"/>
  <c r="E206" i="15"/>
  <c r="E205" i="15"/>
  <c r="E177" i="15"/>
  <c r="E204" i="15"/>
  <c r="E183" i="15"/>
  <c r="K183" i="15" s="1"/>
  <c r="E180" i="15"/>
  <c r="E203" i="15"/>
  <c r="E179" i="15"/>
  <c r="E189" i="15"/>
  <c r="E178" i="15"/>
  <c r="K200" i="15" l="1"/>
  <c r="K195" i="15"/>
  <c r="K194" i="15"/>
  <c r="K178" i="15"/>
  <c r="K196" i="15"/>
  <c r="P51" i="14"/>
  <c r="Y51" i="14" s="1"/>
  <c r="AC78" i="9"/>
  <c r="AF78" i="9" s="1"/>
  <c r="P52" i="14"/>
  <c r="Y52" i="14" s="1"/>
  <c r="AC159" i="9"/>
  <c r="AF159" i="9" s="1"/>
  <c r="K201" i="15"/>
  <c r="K206" i="15"/>
  <c r="P57" i="14"/>
  <c r="Y57" i="14" s="1"/>
  <c r="BP74" i="9"/>
  <c r="BS74" i="9" s="1"/>
  <c r="P61" i="14"/>
  <c r="Y61" i="14" s="1"/>
  <c r="CL293" i="9"/>
  <c r="CO293" i="9" s="1"/>
  <c r="K203" i="15"/>
  <c r="P60" i="14"/>
  <c r="Y60" i="14" s="1"/>
  <c r="CJ155" i="9"/>
  <c r="CM155" i="9" s="1"/>
  <c r="K190" i="15"/>
  <c r="K187" i="15"/>
  <c r="K179" i="15"/>
  <c r="K186" i="15"/>
  <c r="K189" i="15"/>
  <c r="K204" i="15"/>
  <c r="K205" i="15"/>
  <c r="K191" i="15"/>
  <c r="K172" i="15"/>
  <c r="K173" i="15"/>
  <c r="K193" i="15"/>
  <c r="K185" i="15"/>
  <c r="K181" i="15"/>
  <c r="K197" i="15"/>
  <c r="K177" i="15"/>
  <c r="K192" i="15"/>
  <c r="P65" i="14"/>
  <c r="Y65" i="14" s="1"/>
  <c r="FA161" i="9"/>
  <c r="FD161" i="9" s="1"/>
  <c r="K202" i="15"/>
  <c r="K182" i="15"/>
  <c r="K174" i="15"/>
  <c r="K176" i="15"/>
  <c r="K180" i="15"/>
  <c r="K171" i="15"/>
  <c r="H126" i="24"/>
  <c r="N126" i="24" s="1"/>
  <c r="H114" i="24"/>
  <c r="N114" i="24" s="1"/>
  <c r="H137" i="24"/>
  <c r="N137" i="24" s="1"/>
  <c r="H125" i="24"/>
  <c r="N125" i="24" s="1"/>
  <c r="H113" i="24"/>
  <c r="N113" i="24" s="1"/>
  <c r="H102" i="24"/>
  <c r="N102" i="24" s="1"/>
  <c r="H136" i="24"/>
  <c r="N136" i="24" s="1"/>
  <c r="H124" i="24"/>
  <c r="N124" i="24" s="1"/>
  <c r="H112" i="24"/>
  <c r="N112" i="24" s="1"/>
  <c r="H135" i="24"/>
  <c r="N135" i="24" s="1"/>
  <c r="H123" i="24"/>
  <c r="N123" i="24" s="1"/>
  <c r="H111" i="24"/>
  <c r="N111" i="24" s="1"/>
  <c r="H134" i="24"/>
  <c r="N134" i="24" s="1"/>
  <c r="H122" i="24"/>
  <c r="N122" i="24" s="1"/>
  <c r="H110" i="24"/>
  <c r="N110" i="24" s="1"/>
  <c r="H133" i="24"/>
  <c r="N133" i="24" s="1"/>
  <c r="H121" i="24"/>
  <c r="N121" i="24" s="1"/>
  <c r="H109" i="24"/>
  <c r="N109" i="24" s="1"/>
  <c r="H132" i="24"/>
  <c r="N132" i="24" s="1"/>
  <c r="H120" i="24"/>
  <c r="N120" i="24" s="1"/>
  <c r="H108" i="24"/>
  <c r="N108" i="24" s="1"/>
  <c r="H131" i="24"/>
  <c r="N131" i="24" s="1"/>
  <c r="H119" i="24"/>
  <c r="N119" i="24" s="1"/>
  <c r="H107" i="24"/>
  <c r="N107" i="24" s="1"/>
  <c r="H130" i="24"/>
  <c r="N130" i="24" s="1"/>
  <c r="H118" i="24"/>
  <c r="N118" i="24" s="1"/>
  <c r="H106" i="24"/>
  <c r="N106" i="24" s="1"/>
  <c r="H129" i="24"/>
  <c r="N129" i="24" s="1"/>
  <c r="H117" i="24"/>
  <c r="N117" i="24" s="1"/>
  <c r="H105" i="24"/>
  <c r="N105" i="24" s="1"/>
  <c r="H128" i="24"/>
  <c r="N128" i="24" s="1"/>
  <c r="H116" i="24"/>
  <c r="N116" i="24" s="1"/>
  <c r="H104" i="24"/>
  <c r="N104" i="24" s="1"/>
  <c r="H127" i="24"/>
  <c r="N127" i="24" s="1"/>
  <c r="H115" i="24"/>
  <c r="N115" i="24" s="1"/>
  <c r="H103" i="24"/>
  <c r="N103" i="24" s="1"/>
  <c r="F227" i="20"/>
  <c r="J227" i="20" s="1"/>
  <c r="F216" i="20"/>
  <c r="J216" i="20" s="1"/>
  <c r="F228" i="20"/>
  <c r="J228" i="20" s="1"/>
  <c r="F221" i="20"/>
  <c r="J221" i="20" s="1"/>
  <c r="F220" i="20"/>
  <c r="J220" i="20" s="1"/>
  <c r="F226" i="20"/>
  <c r="J226" i="20" s="1"/>
  <c r="F225" i="20"/>
  <c r="J225" i="20" s="1"/>
  <c r="F224" i="20"/>
  <c r="J224" i="20" s="1"/>
  <c r="F223" i="20"/>
  <c r="J223" i="20" s="1"/>
  <c r="F230" i="20"/>
  <c r="J230" i="20" s="1"/>
  <c r="F229" i="20"/>
  <c r="J229" i="20" s="1"/>
  <c r="F219" i="20"/>
  <c r="J219" i="20" s="1"/>
  <c r="F218" i="20"/>
  <c r="J218" i="20" s="1"/>
  <c r="F217" i="20"/>
  <c r="J217" i="20" s="1"/>
  <c r="F222" i="20"/>
  <c r="J222" i="20" s="1"/>
  <c r="L147" i="24"/>
  <c r="P53" i="14" l="1"/>
  <c r="Y53" i="14" s="1"/>
  <c r="AD242" i="9"/>
  <c r="AG242" i="9" s="1"/>
  <c r="K207" i="15"/>
  <c r="O64" i="14"/>
  <c r="V64" i="14" s="1"/>
  <c r="M64" i="14"/>
  <c r="T64" i="14" s="1"/>
  <c r="O58" i="14"/>
  <c r="V58" i="14" s="1"/>
  <c r="M58" i="14"/>
  <c r="T58" i="14" s="1"/>
  <c r="O59" i="14"/>
  <c r="V59" i="14" s="1"/>
  <c r="M59" i="14"/>
  <c r="T59" i="14" s="1"/>
  <c r="O55" i="14"/>
  <c r="V55" i="14" s="1"/>
  <c r="M55" i="14"/>
  <c r="T55" i="14" s="1"/>
  <c r="O63" i="14"/>
  <c r="V63" i="14" s="1"/>
  <c r="M63" i="14"/>
  <c r="T63" i="14" s="1"/>
  <c r="O52" i="14"/>
  <c r="V52" i="14" s="1"/>
  <c r="M52" i="14"/>
  <c r="T52" i="14" s="1"/>
  <c r="O65" i="14"/>
  <c r="V65" i="14" s="1"/>
  <c r="M65" i="14"/>
  <c r="T65" i="14" s="1"/>
  <c r="O60" i="14"/>
  <c r="V60" i="14" s="1"/>
  <c r="M60" i="14"/>
  <c r="T60" i="14" s="1"/>
  <c r="O61" i="14"/>
  <c r="V61" i="14" s="1"/>
  <c r="M61" i="14"/>
  <c r="T61" i="14" s="1"/>
  <c r="N138" i="24"/>
  <c r="O56" i="14"/>
  <c r="V56" i="14" s="1"/>
  <c r="M56" i="14"/>
  <c r="T56" i="14" s="1"/>
  <c r="O57" i="14"/>
  <c r="V57" i="14" s="1"/>
  <c r="M57" i="14"/>
  <c r="T57" i="14" s="1"/>
  <c r="O51" i="14"/>
  <c r="V51" i="14" s="1"/>
  <c r="M51" i="14"/>
  <c r="T51" i="14" s="1"/>
  <c r="O53" i="14"/>
  <c r="V53" i="14" s="1"/>
  <c r="M53" i="14"/>
  <c r="T53" i="14" s="1"/>
  <c r="O62" i="14"/>
  <c r="V62" i="14" s="1"/>
  <c r="M62" i="14"/>
  <c r="T62" i="14" s="1"/>
  <c r="O54" i="14"/>
  <c r="V54" i="14" s="1"/>
  <c r="M54" i="14"/>
  <c r="T54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<sst xmlns="http://schemas.openxmlformats.org/spreadsheetml/2006/main" count="7661" uniqueCount="800">
  <si>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</si>
  <si>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</si>
  <si>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</si>
  <si>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</si>
  <si>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</si>
  <si>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</si>
  <si>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</si>
  <si>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</si>
  <si>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</si>
  <si>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</si>
  <si>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</si>
  <si>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</si>
  <si>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</si>
  <si>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</si>
  <si>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</si>
  <si>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</si>
  <si>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</si>
  <si>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</si>
  <si>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</si>
  <si>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</si>
  <si>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</si>
  <si>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</si>
  <si>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</si>
  <si>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</si>
  <si>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</si>
  <si>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</si>
  <si>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</si>
  <si>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</si>
  <si>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</si>
  <si>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</si>
  <si>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</si>
  <si>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</si>
  <si>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</si>
  <si>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</si>
  <si>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</si>
  <si>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</si>
  <si>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</si>
  <si>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</si>
  <si>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</si>
  <si>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</si>
  <si>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</si>
  <si>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</si>
  <si>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</si>
  <si>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</si>
  <si>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</si>
  <si>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</si>
  <si>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</si>
  <si>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</si>
  <si>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</si>
  <si>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</si>
  <si>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</si>
  <si>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</si>
  <si>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</si>
  <si>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</si>
  <si>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</si>
  <si>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</si>
  <si>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</si>
  <si>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</si>
  <si>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</si>
  <si>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</si>
  <si>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</si>
  <si>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</si>
  <si>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</si>
  <si>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</si>
  <si>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</si>
  <si>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</si>
  <si>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</si>
  <si>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</si>
  <si>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</si>
  <si>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</si>
  <si>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</si>
  <si>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</si>
  <si>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</si>
  <si>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</si>
  <si>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</si>
  <si>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</si>
  <si>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</si>
  <si>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</si>
  <si>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</si>
  <si>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</si>
  <si>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</si>
  <si>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</si>
  <si>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</si>
  <si>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</si>
  <si>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</si>
  <si>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</si>
  <si>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</si>
  <si>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</si>
  <si>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</si>
  <si>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</si>
  <si>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</si>
  <si>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</si>
  <si>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</si>
  <si>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</si>
  <si>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</si>
  <si>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</si>
  <si>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</si>
  <si>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</si>
  <si>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</si>
  <si>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</si>
  <si>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</si>
  <si>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</si>
  <si>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</si>
  <si>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</si>
  <si>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</si>
  <si>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</si>
  <si>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</si>
  <si>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</si>
  <si>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</si>
  <si>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</si>
  <si>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</si>
  <si>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</si>
  <si>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</si>
  <si>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</si>
  <si>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</si>
  <si>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</si>
  <si>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</si>
  <si>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</si>
  <si>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</si>
  <si>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</si>
  <si>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</si>
  <si>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</si>
  <si>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</si>
  <si>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</si>
  <si>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</si>
  <si>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</si>
  <si>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</si>
  <si>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</si>
  <si>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</si>
  <si>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</si>
  <si>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</si>
  <si>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</si>
  <si>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</si>
  <si>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</si>
  <si>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</si>
  <si>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</si>
  <si>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</si>
  <si>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</si>
  <si>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</si>
  <si>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</si>
  <si>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</si>
  <si>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</si>
  <si>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</si>
  <si>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</si>
  <si>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</si>
  <si>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</si>
  <si>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</si>
  <si>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</si>
  <si>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</si>
  <si>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</si>
  <si>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</si>
  <si>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</si>
  <si>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</si>
  <si>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</si>
  <si>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</si>
  <si>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</si>
  <si>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</si>
  <si>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</si>
  <si>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</si>
  <si>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</si>
  <si>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</si>
  <si>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</si>
  <si>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</si>
  <si>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</si>
  <si>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</si>
  <si>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</si>
  <si>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</si>
  <si>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</si>
  <si>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</si>
  <si>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</si>
  <si>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</si>
  <si>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</si>
  <si>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</si>
  <si>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</si>
  <si>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</si>
  <si>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</si>
  <si>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</si>
  <si>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</si>
  <si>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</si>
  <si>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</si>
  <si>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</si>
  <si>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</si>
  <si>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</si>
  <si>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</si>
  <si>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</si>
  <si>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</si>
  <si>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</si>
  <si>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</si>
  <si>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</si>
  <si>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</si>
  <si>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</si>
  <si>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</si>
  <si>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</si>
  <si>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</si>
  <si>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</si>
  <si>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</si>
  <si>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</si>
  <si>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</si>
  <si>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</si>
  <si>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</si>
  <si>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</si>
  <si>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</si>
  <si>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</si>
  <si>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</si>
  <si>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</si>
  <si>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</si>
  <si>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</si>
  <si>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</si>
  <si>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</si>
  <si>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</si>
  <si>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</si>
  <si>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</si>
  <si>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</si>
  <si>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</si>
  <si>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</si>
  <si>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</si>
  <si>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</si>
  <si>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</si>
  <si>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</si>
  <si>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</si>
  <si>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</si>
  <si>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</si>
  <si>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</si>
  <si>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</si>
  <si>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</si>
  <si>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</si>
  <si>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</si>
  <si>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</si>
  <si>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</si>
  <si>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</si>
  <si>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</si>
  <si>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</si>
  <si>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</si>
  <si>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</si>
  <si>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</si>
  <si>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</si>
  <si>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</si>
  <si>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</si>
  <si>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</si>
  <si>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</si>
  <si>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</si>
  <si>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</si>
  <si>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</si>
  <si>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</si>
  <si>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</si>
  <si>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</si>
  <si>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</si>
  <si>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</si>
  <si>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</si>
  <si>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</si>
  <si>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</si>
  <si>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</si>
  <si>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</si>
  <si>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</si>
  <si>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</si>
  <si>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</si>
  <si>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</si>
  <si>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</si>
  <si>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</si>
  <si>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</si>
  <si>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</si>
  <si>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</si>
  <si>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</si>
  <si>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</si>
  <si>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</si>
  <si>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</si>
  <si>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</si>
  <si>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</si>
  <si>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</si>
  <si>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</si>
  <si>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</si>
  <si>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</si>
  <si>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</si>
  <si>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</si>
  <si>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</si>
  <si>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</si>
  <si>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</si>
  <si>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</si>
  <si>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</si>
  <si>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</si>
  <si>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</si>
  <si>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</si>
  <si>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</si>
  <si>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</si>
  <si>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</si>
  <si>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</si>
  <si>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</si>
  <si>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</si>
  <si>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</si>
  <si>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</si>
  <si>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</si>
  <si>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</si>
  <si>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</si>
  <si>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</si>
  <si>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</si>
  <si>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</si>
  <si>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</si>
  <si>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</si>
  <si>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</si>
  <si>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</si>
  <si>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</si>
  <si>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</si>
  <si>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</si>
  <si>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</si>
  <si>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</si>
  <si>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</si>
  <si>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</si>
  <si>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</si>
  <si>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</si>
  <si>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</si>
  <si>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</si>
  <si>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</si>
  <si>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</si>
  <si>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</si>
  <si>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</si>
  <si>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</si>
  <si>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</si>
  <si>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</si>
  <si>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</si>
  <si>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</si>
  <si>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</si>
  <si>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</si>
  <si>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</si>
  <si>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</si>
  <si>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</si>
  <si>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</si>
  <si>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</si>
  <si>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</si>
  <si>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</si>
  <si>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</si>
  <si>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</si>
  <si>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</si>
  <si>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</si>
  <si>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</si>
  <si>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</si>
  <si>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</si>
  <si>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</si>
  <si>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</si>
  <si>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</si>
  <si>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</si>
  <si>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</si>
  <si>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</si>
  <si>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</si>
  <si>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</si>
  <si>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</si>
  <si>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</si>
  <si>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</si>
  <si>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</si>
  <si>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</si>
  <si>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</si>
  <si>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</si>
  <si>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</si>
  <si>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</si>
  <si>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</si>
  <si>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</si>
  <si>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</si>
  <si>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</si>
  <si>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</si>
  <si>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</si>
  <si>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</si>
  <si>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</si>
  <si>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</si>
  <si>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</si>
  <si>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</si>
  <si>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</si>
  <si>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</si>
  <si>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</si>
  <si>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</si>
  <si>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</si>
  <si>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</si>
  <si>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</si>
  <si>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</si>
  <si>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</si>
  <si>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</si>
  <si>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</si>
  <si>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</si>
  <si>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</si>
  <si>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</si>
  <si>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</si>
  <si>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</si>
  <si>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</si>
  <si>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</si>
  <si>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</si>
  <si>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</si>
  <si>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</si>
  <si>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</si>
  <si>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</si>
  <si>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</si>
  <si>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</si>
  <si>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</si>
  <si>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</si>
  <si>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</si>
  <si>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</si>
  <si>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</si>
  <si>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</si>
  <si>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</si>
  <si>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</si>
  <si>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</si>
  <si>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</si>
  <si>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</si>
  <si>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</si>
  <si>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</si>
  <si>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</si>
  <si>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</si>
  <si>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</si>
  <si>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</si>
  <si>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</si>
  <si>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</si>
  <si>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</si>
  <si>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</si>
  <si>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</si>
  <si>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</si>
  <si>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</si>
  <si>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</si>
  <si>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</si>
  <si>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</si>
  <si>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</si>
  <si>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</si>
  <si>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</si>
  <si>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</si>
  <si>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</si>
  <si>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</si>
  <si>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</si>
  <si>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</si>
  <si>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</si>
  <si>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</si>
  <si>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</si>
  <si>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</si>
  <si>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</si>
  <si>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</si>
  <si>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</si>
  <si>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</si>
  <si>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</si>
  <si>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</si>
  <si>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</si>
  <si>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</si>
  <si>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</si>
  <si>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</si>
  <si>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</si>
  <si>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</si>
  <si>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</si>
  <si>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</si>
  <si>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</si>
  <si>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</si>
  <si>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</si>
  <si>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</si>
  <si>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</si>
  <si>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</si>
  <si>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</si>
  <si>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</si>
  <si>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</si>
  <si>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</si>
  <si>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</si>
  <si>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</si>
  <si>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</si>
  <si>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</si>
  <si>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</si>
  <si>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</si>
  <si>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</si>
  <si>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</si>
  <si>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</si>
  <si>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</si>
  <si>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</si>
  <si>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</si>
  <si>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</si>
  <si>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</si>
  <si>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</si>
  <si>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</si>
  <si>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</si>
  <si>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</si>
  <si>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</si>
  <si>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</si>
  <si>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</si>
  <si>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</si>
  <si>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</si>
  <si>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</si>
  <si>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</si>
  <si>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</si>
  <si>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</si>
  <si>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</si>
  <si>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</si>
  <si>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</si>
  <si>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</si>
  <si>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</si>
  <si>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</si>
  <si>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</si>
  <si>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</si>
  <si>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</si>
  <si>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</si>
  <si>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</si>
  <si>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</si>
  <si>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</si>
  <si>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</si>
  <si>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</si>
  <si>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</si>
  <si>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</si>
  <si>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</si>
  <si>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</si>
  <si>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</si>
  <si>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</si>
  <si>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</si>
  <si>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</si>
  <si>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</si>
  <si>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</si>
  <si>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</si>
  <si>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</si>
  <si>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</si>
  <si>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</si>
  <si>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</si>
  <si>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</si>
  <si>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</si>
  <si>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</si>
  <si>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</si>
  <si>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</si>
  <si>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</si>
  <si>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</si>
  <si>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</si>
  <si>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</si>
  <si>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</si>
  <si>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</si>
  <si>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</si>
  <si>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</si>
  <si>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</si>
  <si>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</si>
  <si>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</si>
  <si>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</si>
  <si>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</si>
  <si>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</si>
  <si>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</si>
  <si>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</si>
  <si>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</si>
  <si>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</si>
  <si>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</si>
  <si>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</si>
  <si>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</si>
  <si>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</si>
  <si>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</si>
  <si>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</si>
  <si>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</si>
  <si>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</si>
  <si>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</si>
  <si>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</si>
  <si>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</si>
  <si>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</si>
  <si>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</si>
  <si>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</si>
  <si>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</si>
  <si>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</si>
  <si>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</si>
  <si>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</si>
  <si>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</si>
  <si>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</si>
  <si>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</si>
  <si>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</si>
  <si>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</si>
  <si>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</si>
  <si>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</si>
  <si>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</si>
  <si>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</si>
  <si>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</si>
  <si>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</si>
  <si>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</si>
  <si>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</si>
  <si>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</si>
  <si>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</si>
  <si>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</si>
  <si>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</si>
  <si>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</si>
  <si>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</si>
  <si>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</si>
  <si>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</si>
  <si>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</si>
  <si>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</si>
  <si>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</si>
  <si>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</si>
  <si>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</si>
  <si>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</si>
  <si>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</si>
  <si>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</si>
  <si>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</si>
  <si>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</si>
  <si>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</si>
  <si>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</si>
  <si>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</si>
  <si>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</si>
  <si>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</si>
  <si>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</si>
  <si>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</si>
  <si>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</si>
  <si>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</si>
  <si>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</si>
  <si>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</si>
  <si>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</si>
  <si>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</si>
  <si>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</si>
  <si>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</si>
  <si>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</si>
  <si>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</si>
  <si>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</si>
  <si>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</si>
  <si>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</si>
  <si>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</si>
  <si>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</si>
  <si>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</si>
  <si>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</si>
  <si>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</si>
  <si>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</si>
  <si>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</si>
  <si>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</si>
  <si>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</si>
  <si>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</si>
  <si>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</si>
  <si>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</si>
  <si>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</si>
  <si>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</si>
  <si>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</si>
  <si>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</si>
  <si>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</si>
  <si>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</si>
  <si>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</si>
  <si>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</si>
  <si>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</si>
  <si>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</si>
  <si>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</si>
  <si>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</si>
  <si>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</si>
  <si>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</si>
  <si>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</si>
  <si>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</si>
  <si>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</si>
  <si>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</si>
  <si>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</si>
  <si>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</si>
  <si>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</si>
  <si>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</si>
  <si>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</si>
  <si>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</si>
  <si>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</si>
  <si>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</si>
  <si>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</si>
  <si>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</si>
  <si>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/>
  </si>
  <si>
    <t>Anthracite [from Coke oven]</t>
  </si>
  <si>
    <t>Ash [from Coke oven]</t>
  </si>
  <si>
    <t>Blast furnace gas [from Blast furnace]</t>
  </si>
  <si>
    <t>Blast furnace mixture [from Mixer]</t>
  </si>
  <si>
    <t>Coal [from Coal beneficiation]</t>
  </si>
  <si>
    <t>Coal [from Coal extraction]</t>
  </si>
  <si>
    <t>Coal [from Coal hauling]</t>
  </si>
  <si>
    <t>Coal [from Resources]</t>
  </si>
  <si>
    <t>Coke oven gas [from Coke oven]</t>
  </si>
  <si>
    <t>Combustion Air [from Resources]</t>
  </si>
  <si>
    <t>Combustion emissions [from Coal extraction]</t>
  </si>
  <si>
    <t>Combustion emissions [from Coke oven]</t>
  </si>
  <si>
    <t>Combustion emissions [from Iron ore extraction]</t>
  </si>
  <si>
    <t>Combustion emissions [from Limestone extraction]</t>
  </si>
  <si>
    <t>Electricity</t>
  </si>
  <si>
    <t>Fuel oil</t>
  </si>
  <si>
    <t>Gas/diesel oil excl. biofuels</t>
  </si>
  <si>
    <t>Iron ore [from Iron ore beneficiation]</t>
  </si>
  <si>
    <t>Iron ore [from Iron ore extraction]</t>
  </si>
  <si>
    <t>Iron ore [from Iron ore hauling]</t>
  </si>
  <si>
    <t>Iron ore [from Resources]</t>
  </si>
  <si>
    <t>Iron ore impurities [from Iron ore beneficiation]</t>
  </si>
  <si>
    <t>Kiln emissions [from Rotary kiln]</t>
  </si>
  <si>
    <t>Limestone [from Limestone beneficiation]</t>
  </si>
  <si>
    <t>Limestone [from Limestone extraction]</t>
  </si>
  <si>
    <t>Limestone [from Limestone hauling]</t>
  </si>
  <si>
    <t>Limestone [from Resources]</t>
  </si>
  <si>
    <t>Magnesium oxide [from Rotary kiln]</t>
  </si>
  <si>
    <t>Motor gasoline excl. biofuels</t>
  </si>
  <si>
    <t>Natural gas</t>
  </si>
  <si>
    <t>Pig iron [from Blast furnace]</t>
  </si>
  <si>
    <t>Pig iron slag [from Blast furnace]</t>
  </si>
  <si>
    <t>Quicklime [from Rotary kiln]</t>
  </si>
  <si>
    <t>Tar [from Coke oven]</t>
  </si>
  <si>
    <t>Treated coke oven gas [from COG distribution]</t>
  </si>
  <si>
    <t>Treated coke oven gas [from COG treatment]</t>
  </si>
  <si>
    <t>Resources [of Iron ore]</t>
  </si>
  <si>
    <t>Resources [of Limestone]</t>
  </si>
  <si>
    <t>Resources [of Coal]</t>
  </si>
  <si>
    <t>Resources [of Combustion air]</t>
  </si>
  <si>
    <t>R</t>
  </si>
  <si>
    <t>Blast furnace</t>
  </si>
  <si>
    <t>Coal beneficiation</t>
  </si>
  <si>
    <t>Coal extraction</t>
  </si>
  <si>
    <t>Coal hauling</t>
  </si>
  <si>
    <t>COG distribution</t>
  </si>
  <si>
    <t>COG treatment</t>
  </si>
  <si>
    <t>Coke oven</t>
  </si>
  <si>
    <t>Iron ore beneficiation</t>
  </si>
  <si>
    <t>Iron ore extraction</t>
  </si>
  <si>
    <t>Iron ore hauling</t>
  </si>
  <si>
    <t>Limestone beneficiation</t>
  </si>
  <si>
    <t>Limestone extraction</t>
  </si>
  <si>
    <t>Limestone hauling</t>
  </si>
  <si>
    <t>Mixer</t>
  </si>
  <si>
    <t>Rotary kiln</t>
  </si>
  <si>
    <t>U</t>
  </si>
  <si>
    <t>V</t>
  </si>
  <si>
    <t>Iron and steel</t>
  </si>
  <si>
    <t>Waste</t>
  </si>
  <si>
    <t>Y</t>
  </si>
  <si>
    <t>r_EIOU</t>
  </si>
  <si>
    <t>U_EIOU</t>
  </si>
  <si>
    <t>U_feed</t>
  </si>
  <si>
    <t>kJ</t>
  </si>
  <si>
    <t>S_units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</si>
  <si>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</si>
  <si>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</si>
  <si>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</si>
  <si>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</si>
  <si>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</si>
  <si>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</si>
  <si>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</si>
  <si>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</si>
  <si>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</si>
  <si>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</si>
  <si>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</si>
  <si>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</si>
  <si>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</si>
  <si>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</si>
  <si>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</si>
  <si>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</si>
  <si>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</si>
  <si>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</si>
  <si>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</si>
  <si>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</si>
  <si>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</si>
  <si>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</si>
  <si>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</si>
  <si>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</si>
  <si>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</si>
  <si>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</si>
  <si>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</si>
  <si>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</si>
  <si>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</si>
  <si>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</si>
  <si>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</si>
  <si>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</si>
  <si>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</si>
  <si>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</si>
  <si>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</si>
  <si>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</si>
  <si>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</si>
  <si>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</si>
  <si>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</si>
  <si>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</si>
  <si>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</si>
  <si>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</si>
  <si>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</si>
  <si>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</si>
  <si>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</si>
  <si>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</si>
  <si>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</si>
  <si>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</si>
  <si>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</si>
  <si>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</si>
  <si>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</si>
  <si>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</si>
  <si>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</si>
  <si>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</si>
  <si>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</si>
  <si>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</si>
  <si>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</si>
  <si>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</si>
  <si>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</si>
  <si>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</si>
  <si>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</si>
  <si>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</si>
  <si>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</si>
  <si>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</si>
  <si>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</si>
  <si>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</si>
  <si>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</si>
  <si>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</si>
  <si>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</si>
  <si>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</si>
  <si>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</si>
  <si>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</si>
  <si>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</si>
  <si>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</si>
  <si>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</si>
  <si>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</si>
  <si>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</si>
  <si>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</si>
  <si>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</si>
  <si>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</si>
  <si>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</si>
  <si>
    <t>Q loss from [from Coal extraction]</t>
  </si>
  <si>
    <t>Q loss from [from COG treatment]</t>
  </si>
  <si>
    <t>https://ifrf.net/research/handbook/what-are-the-combustion-and-flue-gas-properties-of-coke-oven-gas/#:~:text=The%20high%20hydrogen%20concentration%20in,gas%20flame%20at%20stoichiometric%20conditions.</t>
  </si>
  <si>
    <t>Q loss from [from Coal hauling]</t>
  </si>
  <si>
    <t>Q loss from [from Coal beneficiation]</t>
  </si>
  <si>
    <t>Q loss from [from Limestone extraction]</t>
  </si>
  <si>
    <t>Q loss from [from Iron ore extraction]</t>
  </si>
  <si>
    <t>Q loss from [from Limestone hauling]</t>
  </si>
  <si>
    <t>Q loss from [from Iron ore hauling]</t>
  </si>
  <si>
    <t>Q_loss_actual</t>
  </si>
  <si>
    <t>????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</si>
</sst>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6">
    <font>
      <sz val="11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2"/>
      <color theme="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  <font>
      <b/>
      <sz val="11"/>
      <color rgb="FF000000"/>
      <name val="Aptos Narrow"/>
      <family val="2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10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5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0" borderId="5" xfId="0" applyFont="1" applyBorder="1" applyAlignment="1">
      <alignment vertical="center"/>
    </xf>
    <xf numFmtId="0" fontId="1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 vertical="center"/>
    </xf>
    <xf numFmtId="0" fontId="6" fillId="3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164" fontId="6" fillId="0" borderId="0" xfId="0" applyNumberFormat="1" applyFont="1" applyAlignment="1">
      <alignment horizontal="center"/>
    </xf>
    <xf numFmtId="165" fontId="6" fillId="0" borderId="5" xfId="0" applyNumberFormat="1" applyFont="1" applyBorder="1" applyAlignment="1">
      <alignment horizontal="center"/>
    </xf>
    <xf numFmtId="166" fontId="6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/>
    </xf>
    <xf numFmtId="167" fontId="6" fillId="0" borderId="5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168" fontId="6" fillId="0" borderId="0" xfId="0" applyNumberFormat="1" applyFont="1" applyAlignment="1">
      <alignment horizontal="center"/>
    </xf>
    <xf numFmtId="0" fontId="6" fillId="0" borderId="15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11" fillId="3" borderId="0" xfId="0" applyFont="1" applyFill="1" applyAlignment="1">
      <alignment horizontal="center"/>
    </xf>
    <xf numFmtId="0" fontId="6" fillId="0" borderId="4" xfId="0" applyFont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6" fillId="0" borderId="19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 vertical="top" wrapText="1"/>
    </xf>
    <xf numFmtId="0" fontId="6" fillId="0" borderId="7" xfId="0" applyFont="1" applyBorder="1" applyAlignment="1">
      <alignment vertical="center" wrapText="1"/>
    </xf>
    <xf numFmtId="0" fontId="6" fillId="0" borderId="7" xfId="0" applyFont="1" applyBorder="1" applyAlignment="1">
      <alignment wrapText="1"/>
    </xf>
    <xf numFmtId="0" fontId="16" fillId="0" borderId="1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6" fillId="0" borderId="21" xfId="0" applyFont="1" applyBorder="1" applyAlignment="1">
      <alignment horizontal="center"/>
    </xf>
    <xf numFmtId="0" fontId="11" fillId="0" borderId="21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11" fillId="0" borderId="25" xfId="0" applyFont="1" applyBorder="1" applyAlignment="1">
      <alignment horizontal="center"/>
    </xf>
    <xf numFmtId="169" fontId="6" fillId="0" borderId="5" xfId="0" applyNumberFormat="1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6" fillId="0" borderId="0" xfId="0" applyFont="1" applyAlignment="1">
      <alignment wrapText="1"/>
    </xf>
    <xf numFmtId="0" fontId="15" fillId="0" borderId="17" xfId="0" applyFont="1" applyBorder="1" applyAlignment="1">
      <alignment horizontal="center"/>
    </xf>
    <xf numFmtId="0" fontId="18" fillId="0" borderId="0" xfId="0" applyFont="1"/>
    <xf numFmtId="0" fontId="4" fillId="0" borderId="0" xfId="0" applyFont="1" applyAlignment="1">
      <alignment wrapText="1"/>
    </xf>
    <xf numFmtId="0" fontId="11" fillId="0" borderId="27" xfId="0" applyFont="1" applyBorder="1" applyAlignment="1">
      <alignment horizontal="center"/>
    </xf>
    <xf numFmtId="0" fontId="4" fillId="0" borderId="0" xfId="0" applyFont="1"/>
    <xf numFmtId="0" fontId="6" fillId="0" borderId="0" xfId="0" applyFont="1" applyAlignment="1">
      <alignment vertical="center" wrapText="1"/>
    </xf>
    <xf numFmtId="164" fontId="6" fillId="0" borderId="5" xfId="0" applyNumberFormat="1" applyFont="1" applyBorder="1" applyAlignment="1">
      <alignment horizontal="center"/>
    </xf>
    <xf numFmtId="0" fontId="1" fillId="0" borderId="28" xfId="0" applyFont="1" applyBorder="1" applyAlignment="1">
      <alignment horizontal="center" wrapText="1"/>
    </xf>
    <xf numFmtId="0" fontId="11" fillId="0" borderId="29" xfId="0" applyFont="1" applyBorder="1" applyAlignment="1">
      <alignment horizontal="center"/>
    </xf>
    <xf numFmtId="0" fontId="11" fillId="0" borderId="30" xfId="0" applyFont="1" applyBorder="1" applyAlignment="1">
      <alignment horizontal="center"/>
    </xf>
    <xf numFmtId="0" fontId="1" fillId="0" borderId="31" xfId="0" applyFont="1" applyBorder="1" applyAlignment="1">
      <alignment horizontal="center"/>
    </xf>
    <xf numFmtId="0" fontId="11" fillId="0" borderId="32" xfId="0" applyFont="1" applyBorder="1" applyAlignment="1">
      <alignment horizontal="center"/>
    </xf>
    <xf numFmtId="0" fontId="11" fillId="0" borderId="33" xfId="0" applyFont="1" applyBorder="1" applyAlignment="1">
      <alignment horizontal="center"/>
    </xf>
    <xf numFmtId="0" fontId="12" fillId="0" borderId="16" xfId="0" applyFont="1" applyBorder="1" applyAlignment="1">
      <alignment horizontal="center" vertical="center" textRotation="90"/>
    </xf>
    <xf numFmtId="0" fontId="1" fillId="0" borderId="16" xfId="0" applyFont="1" applyBorder="1" applyAlignment="1">
      <alignment horizontal="center"/>
    </xf>
    <xf numFmtId="0" fontId="6" fillId="0" borderId="34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19" fillId="0" borderId="36" xfId="0" applyFont="1" applyBorder="1" applyAlignment="1">
      <alignment horizontal="center"/>
    </xf>
    <xf numFmtId="2" fontId="6" fillId="0" borderId="0" xfId="0" applyNumberFormat="1" applyFont="1" applyAlignment="1">
      <alignment horizontal="center"/>
    </xf>
    <xf numFmtId="170" fontId="6" fillId="0" borderId="6" xfId="0" applyNumberFormat="1" applyFont="1" applyBorder="1" applyAlignment="1">
      <alignment horizontal="center"/>
    </xf>
    <xf numFmtId="2" fontId="6" fillId="0" borderId="37" xfId="0" applyNumberFormat="1" applyFont="1" applyBorder="1" applyAlignment="1">
      <alignment horizontal="center"/>
    </xf>
    <xf numFmtId="2" fontId="6" fillId="0" borderId="30" xfId="0" applyNumberFormat="1" applyFont="1" applyBorder="1" applyAlignment="1">
      <alignment horizontal="center"/>
    </xf>
    <xf numFmtId="170" fontId="6" fillId="0" borderId="5" xfId="0" applyNumberFormat="1" applyFont="1" applyBorder="1" applyAlignment="1">
      <alignment horizontal="center"/>
    </xf>
    <xf numFmtId="2" fontId="6" fillId="0" borderId="5" xfId="0" applyNumberFormat="1" applyFont="1" applyBorder="1" applyAlignment="1">
      <alignment horizontal="center"/>
    </xf>
    <xf numFmtId="2" fontId="1" fillId="0" borderId="5" xfId="0" applyNumberFormat="1" applyFont="1" applyBorder="1" applyAlignment="1">
      <alignment horizontal="center"/>
    </xf>
    <xf numFmtId="170" fontId="6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2" fontId="6" fillId="0" borderId="35" xfId="0" applyNumberFormat="1" applyFont="1" applyBorder="1" applyAlignment="1">
      <alignment horizontal="center"/>
    </xf>
    <xf numFmtId="2" fontId="15" fillId="0" borderId="31" xfId="0" applyNumberFormat="1" applyFont="1" applyBorder="1" applyAlignment="1">
      <alignment horizontal="center"/>
    </xf>
    <xf numFmtId="2" fontId="1" fillId="0" borderId="36" xfId="0" applyNumberFormat="1" applyFont="1" applyBorder="1" applyAlignment="1">
      <alignment horizontal="center"/>
    </xf>
    <xf numFmtId="2" fontId="1" fillId="0" borderId="29" xfId="0" applyNumberFormat="1" applyFont="1" applyBorder="1" applyAlignment="1">
      <alignment horizontal="center"/>
    </xf>
    <xf numFmtId="170" fontId="1" fillId="0" borderId="15" xfId="0" applyNumberFormat="1" applyFont="1" applyBorder="1" applyAlignment="1">
      <alignment horizontal="center"/>
    </xf>
    <xf numFmtId="2" fontId="1" fillId="0" borderId="15" xfId="0" applyNumberFormat="1" applyFont="1" applyBorder="1" applyAlignment="1">
      <alignment horizontal="center"/>
    </xf>
    <xf numFmtId="170" fontId="6" fillId="0" borderId="15" xfId="0" applyNumberFormat="1" applyFont="1" applyBorder="1" applyAlignment="1">
      <alignment horizontal="center"/>
    </xf>
    <xf numFmtId="2" fontId="6" fillId="0" borderId="15" xfId="0" applyNumberFormat="1" applyFont="1" applyBorder="1" applyAlignment="1">
      <alignment horizontal="center"/>
    </xf>
    <xf numFmtId="0" fontId="20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6" fillId="0" borderId="33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1" fontId="11" fillId="0" borderId="5" xfId="0" applyNumberFormat="1" applyFont="1" applyBorder="1" applyAlignment="1">
      <alignment horizontal="center"/>
    </xf>
    <xf numFmtId="0" fontId="22" fillId="0" borderId="28" xfId="0" applyFont="1" applyBorder="1" applyAlignment="1">
      <alignment horizontal="center"/>
    </xf>
    <xf numFmtId="0" fontId="6" fillId="0" borderId="0" xfId="0" applyFont="1" applyAlignment="1">
      <alignment horizontal="right"/>
    </xf>
    <xf numFmtId="0" fontId="23" fillId="0" borderId="0" xfId="0" applyFont="1" applyAlignment="1">
      <alignment horizontal="center" vertical="center"/>
    </xf>
    <xf numFmtId="0" fontId="1" fillId="0" borderId="7" xfId="0" applyFont="1" applyBorder="1" applyAlignment="1">
      <alignment horizontal="center"/>
    </xf>
    <xf numFmtId="0" fontId="6" fillId="0" borderId="39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" fillId="0" borderId="15" xfId="0" applyFont="1" applyBorder="1" applyAlignment="1">
      <alignment horizontal="center"/>
    </xf>
    <xf numFmtId="0" fontId="12" fillId="0" borderId="0" xfId="0" applyFont="1" applyAlignment="1">
      <alignment vertical="center" textRotation="90"/>
    </xf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6" fillId="0" borderId="40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72" fontId="6" fillId="0" borderId="0" xfId="0" applyNumberFormat="1" applyFont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41" xfId="0" applyFont="1" applyBorder="1" applyAlignment="1">
      <alignment horizontal="center"/>
    </xf>
    <xf numFmtId="0" fontId="23" fillId="0" borderId="0" xfId="0" applyFont="1" applyAlignment="1">
      <alignment vertical="center" textRotation="90"/>
    </xf>
    <xf numFmtId="172" fontId="6" fillId="0" borderId="15" xfId="0" applyNumberFormat="1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41" xfId="0" applyFont="1" applyBorder="1" applyAlignment="1">
      <alignment horizontal="center"/>
    </xf>
    <xf numFmtId="0" fontId="11" fillId="0" borderId="0" xfId="0" applyFont="1"/>
    <xf numFmtId="0" fontId="5" fillId="0" borderId="6" xfId="0" applyFont="1" applyBorder="1" applyAlignment="1">
      <alignment horizontal="center"/>
    </xf>
    <xf numFmtId="2" fontId="6" fillId="0" borderId="33" xfId="0" applyNumberFormat="1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0" fontId="23" fillId="0" borderId="0" xfId="0" applyFont="1" applyAlignment="1">
      <alignment horizontal="right"/>
    </xf>
    <xf numFmtId="0" fontId="5" fillId="0" borderId="15" xfId="0" applyFont="1" applyBorder="1" applyAlignment="1">
      <alignment horizontal="center"/>
    </xf>
    <xf numFmtId="2" fontId="6" fillId="3" borderId="0" xfId="0" applyNumberFormat="1" applyFon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6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textRotation="90" wrapText="1"/>
    </xf>
    <xf numFmtId="0" fontId="23" fillId="0" borderId="0" xfId="0" applyFont="1" applyAlignment="1">
      <alignment horizontal="center" vertical="center" textRotation="90"/>
    </xf>
    <xf numFmtId="170" fontId="6" fillId="0" borderId="37" xfId="0" applyNumberFormat="1" applyFont="1" applyBorder="1" applyAlignment="1">
      <alignment horizontal="center"/>
    </xf>
    <xf numFmtId="170" fontId="6" fillId="0" borderId="33" xfId="0" applyNumberFormat="1" applyFont="1" applyBorder="1" applyAlignment="1">
      <alignment horizontal="center"/>
    </xf>
    <xf numFmtId="0" fontId="27" fillId="0" borderId="0" xfId="0" applyFont="1" applyAlignment="1">
      <alignment vertical="center"/>
    </xf>
    <xf numFmtId="171" fontId="11" fillId="0" borderId="15" xfId="0" applyNumberFormat="1" applyFont="1" applyBorder="1" applyAlignment="1">
      <alignment horizontal="center"/>
    </xf>
    <xf numFmtId="2" fontId="11" fillId="0" borderId="5" xfId="0" applyNumberFormat="1" applyFont="1" applyBorder="1" applyAlignment="1">
      <alignment horizontal="center"/>
    </xf>
    <xf numFmtId="2" fontId="6" fillId="0" borderId="6" xfId="0" applyNumberFormat="1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  <xf numFmtId="0" fontId="6" fillId="0" borderId="29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36" xfId="0" applyFont="1" applyBorder="1" applyAlignment="1">
      <alignment horizontal="center"/>
    </xf>
    <xf numFmtId="0" fontId="6" fillId="0" borderId="37" xfId="0" applyFont="1" applyBorder="1" applyAlignment="1">
      <alignment horizontal="center"/>
    </xf>
    <xf numFmtId="0" fontId="15" fillId="0" borderId="31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36" xfId="0" applyFont="1" applyBorder="1" applyAlignment="1">
      <alignment horizontal="center"/>
    </xf>
    <xf numFmtId="0" fontId="6" fillId="0" borderId="43" xfId="0" applyFont="1" applyBorder="1" applyAlignment="1">
      <alignment horizontal="center"/>
    </xf>
    <xf numFmtId="11" fontId="11" fillId="0" borderId="0" xfId="0" applyNumberFormat="1" applyFont="1" applyAlignment="1">
      <alignment horizontal="center"/>
    </xf>
    <xf numFmtId="0" fontId="1" fillId="0" borderId="44" xfId="0" applyFont="1" applyBorder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11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28" fillId="0" borderId="0" xfId="0" applyFont="1" applyAlignment="1">
      <alignment horizontal="center"/>
    </xf>
    <xf numFmtId="0" fontId="11" fillId="0" borderId="42" xfId="0" applyFont="1" applyBorder="1" applyAlignment="1">
      <alignment horizontal="center"/>
    </xf>
    <xf numFmtId="0" fontId="22" fillId="0" borderId="45" xfId="0" applyFont="1" applyBorder="1" applyAlignment="1">
      <alignment horizontal="center"/>
    </xf>
    <xf numFmtId="0" fontId="11" fillId="0" borderId="46" xfId="0" applyFont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11" fillId="0" borderId="39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3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19" fillId="0" borderId="35" xfId="0" applyFont="1" applyBorder="1" applyAlignment="1">
      <alignment horizontal="center"/>
    </xf>
    <xf numFmtId="0" fontId="21" fillId="0" borderId="31" xfId="0" applyFont="1" applyBorder="1" applyAlignment="1">
      <alignment horizontal="center"/>
    </xf>
    <xf numFmtId="0" fontId="29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 wrapText="1"/>
    </xf>
    <xf numFmtId="0" fontId="19" fillId="0" borderId="37" xfId="0" applyFont="1" applyBorder="1" applyAlignment="1">
      <alignment horizontal="center"/>
    </xf>
    <xf numFmtId="0" fontId="19" fillId="0" borderId="30" xfId="0" applyFont="1" applyBorder="1" applyAlignment="1">
      <alignment horizontal="center"/>
    </xf>
    <xf numFmtId="0" fontId="2" fillId="0" borderId="42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19" fillId="0" borderId="5" xfId="0" applyFont="1" applyBorder="1" applyAlignment="1">
      <alignment horizontal="center"/>
    </xf>
    <xf numFmtId="0" fontId="19" fillId="0" borderId="39" xfId="0" applyFont="1" applyBorder="1" applyAlignment="1">
      <alignment horizontal="center"/>
    </xf>
    <xf numFmtId="0" fontId="19" fillId="0" borderId="42" xfId="0" applyFont="1" applyBorder="1" applyAlignment="1">
      <alignment horizontal="center"/>
    </xf>
    <xf numFmtId="0" fontId="35" fillId="0" borderId="0" xfId="0" applyFont="1"/>
    <xf numFmtId="0" fontId="35" fillId="16" borderId="45" xfId="0" applyFont="1" applyFill="1" applyBorder="1" applyAlignment="1">
      <alignment horizontal="center"/>
    </xf>
    <xf numFmtId="0" fontId="35" fillId="16" borderId="48" xfId="0" applyFont="1" applyFill="1" applyBorder="1" applyAlignment="1">
      <alignment horizontal="center"/>
    </xf>
    <xf numFmtId="0" fontId="35" fillId="16" borderId="49" xfId="0" applyFont="1" applyFill="1" applyBorder="1" applyAlignment="1">
      <alignment horizontal="center"/>
    </xf>
    <xf numFmtId="0" fontId="35" fillId="17" borderId="10" xfId="0" applyFont="1" applyFill="1" applyBorder="1" applyAlignment="1">
      <alignment horizontal="center"/>
    </xf>
    <xf numFmtId="0" fontId="35" fillId="17" borderId="27" xfId="0" applyFont="1" applyFill="1" applyBorder="1" applyAlignment="1">
      <alignment horizontal="center"/>
    </xf>
    <xf numFmtId="0" fontId="35" fillId="17" borderId="1" xfId="0" applyFont="1" applyFill="1" applyBorder="1" applyAlignment="1">
      <alignment horizontal="center"/>
    </xf>
    <xf numFmtId="0" fontId="35" fillId="11" borderId="31" xfId="0" applyFont="1" applyFill="1" applyBorder="1" applyAlignment="1">
      <alignment horizontal="center"/>
    </xf>
    <xf numFmtId="0" fontId="35" fillId="16" borderId="44" xfId="0" applyFont="1" applyFill="1" applyBorder="1" applyAlignment="1">
      <alignment horizontal="center"/>
    </xf>
    <xf numFmtId="0" fontId="35" fillId="17" borderId="0" xfId="0" applyFont="1" applyFill="1" applyAlignment="1">
      <alignment horizontal="center"/>
    </xf>
    <xf numFmtId="0" fontId="35" fillId="11" borderId="29" xfId="0" applyFont="1" applyFill="1" applyBorder="1" applyAlignment="1">
      <alignment horizontal="center"/>
    </xf>
    <xf numFmtId="0" fontId="35" fillId="11" borderId="1" xfId="0" applyFont="1" applyFill="1" applyBorder="1" applyAlignment="1">
      <alignment horizontal="center"/>
    </xf>
    <xf numFmtId="0" fontId="35" fillId="11" borderId="50" xfId="0" applyFont="1" applyFill="1" applyBorder="1" applyAlignment="1">
      <alignment horizontal="center"/>
    </xf>
    <xf numFmtId="0" fontId="35" fillId="11" borderId="27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0" fontId="6" fillId="0" borderId="0" xfId="0" applyFont="1" applyAlignment="1">
      <alignment horizontal="center" textRotation="90"/>
    </xf>
    <xf numFmtId="0" fontId="1" fillId="0" borderId="0" xfId="0" applyFont="1" applyAlignment="1">
      <alignment horizontal="center" textRotation="90"/>
    </xf>
    <xf numFmtId="0" fontId="11" fillId="0" borderId="0" xfId="0" applyFont="1" applyAlignment="1">
      <alignment horizontal="center" textRotation="90"/>
    </xf>
    <xf numFmtId="0" fontId="6" fillId="20" borderId="0" xfId="0" applyFont="1" applyFill="1" applyAlignment="1">
      <alignment horizontal="center"/>
    </xf>
    <xf numFmtId="0" fontId="2" fillId="0" borderId="0" xfId="0" applyFont="1" applyAlignment="1">
      <alignment horizontal="center" textRotation="90"/>
    </xf>
    <xf numFmtId="2" fontId="6" fillId="20" borderId="0" xfId="0" applyNumberFormat="1" applyFont="1" applyFill="1" applyAlignment="1">
      <alignment horizontal="center"/>
    </xf>
    <xf numFmtId="0" fontId="6" fillId="8" borderId="0" xfId="0" applyFont="1" applyFill="1" applyAlignment="1">
      <alignment horizontal="center"/>
    </xf>
    <xf numFmtId="0" fontId="15" fillId="0" borderId="0" xfId="0" applyFont="1"/>
    <xf numFmtId="0" fontId="16" fillId="0" borderId="0" xfId="0" applyFont="1" applyAlignment="1">
      <alignment horizontal="right"/>
    </xf>
    <xf numFmtId="0" fontId="15" fillId="20" borderId="0" xfId="0" applyFont="1" applyFill="1" applyAlignment="1">
      <alignment horizontal="center"/>
    </xf>
    <xf numFmtId="0" fontId="15" fillId="8" borderId="0" xfId="0" applyFont="1" applyFill="1" applyAlignment="1">
      <alignment horizontal="center"/>
    </xf>
    <xf numFmtId="2" fontId="6" fillId="8" borderId="0" xfId="0" applyNumberFormat="1" applyFont="1" applyFill="1" applyAlignment="1">
      <alignment horizontal="center"/>
    </xf>
    <xf numFmtId="0" fontId="6" fillId="21" borderId="0" xfId="0" applyFont="1" applyFill="1" applyAlignment="1">
      <alignment horizontal="center"/>
    </xf>
    <xf numFmtId="0" fontId="2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6" fillId="12" borderId="0" xfId="0" applyFont="1" applyFill="1" applyAlignment="1">
      <alignment horizontal="center"/>
    </xf>
    <xf numFmtId="0" fontId="6" fillId="16" borderId="0" xfId="0" applyFont="1" applyFill="1" applyAlignment="1">
      <alignment horizontal="center"/>
    </xf>
    <xf numFmtId="0" fontId="6" fillId="22" borderId="0" xfId="0" applyFont="1" applyFill="1" applyAlignment="1">
      <alignment horizontal="center"/>
    </xf>
    <xf numFmtId="0" fontId="27" fillId="0" borderId="0" xfId="0" applyFont="1" applyAlignment="1">
      <alignment horizontal="center"/>
    </xf>
    <xf numFmtId="0" fontId="6" fillId="23" borderId="0" xfId="0" applyFont="1" applyFill="1" applyAlignment="1">
      <alignment horizontal="center"/>
    </xf>
    <xf numFmtId="0" fontId="6" fillId="24" borderId="0" xfId="0" applyFont="1" applyFill="1" applyAlignment="1">
      <alignment horizontal="center"/>
    </xf>
    <xf numFmtId="0" fontId="6" fillId="25" borderId="0" xfId="0" applyFont="1" applyFill="1" applyAlignment="1">
      <alignment horizontal="center"/>
    </xf>
    <xf numFmtId="0" fontId="6" fillId="26" borderId="0" xfId="0" applyFont="1" applyFill="1" applyAlignment="1">
      <alignment horizontal="center"/>
    </xf>
    <xf numFmtId="0" fontId="4" fillId="26" borderId="0" xfId="0" applyFont="1" applyFill="1" applyAlignment="1">
      <alignment horizontal="center"/>
    </xf>
    <xf numFmtId="2" fontId="6" fillId="24" borderId="0" xfId="0" applyNumberFormat="1" applyFont="1" applyFill="1" applyAlignment="1">
      <alignment horizontal="center"/>
    </xf>
    <xf numFmtId="2" fontId="6" fillId="25" borderId="0" xfId="0" applyNumberFormat="1" applyFont="1" applyFill="1" applyAlignment="1">
      <alignment horizontal="center"/>
    </xf>
    <xf numFmtId="0" fontId="27" fillId="27" borderId="0" xfId="0" applyFont="1" applyFill="1"/>
    <xf numFmtId="0" fontId="27" fillId="27" borderId="0" xfId="0" applyFont="1" applyFill="1" applyAlignment="1">
      <alignment horizontal="center"/>
    </xf>
    <xf numFmtId="0" fontId="4" fillId="0" borderId="0" xfId="0" applyFont="1" applyAlignment="1">
      <alignment horizontal="right"/>
    </xf>
    <xf numFmtId="0" fontId="4" fillId="8" borderId="0" xfId="0" applyFont="1" applyFill="1"/>
    <xf numFmtId="0" fontId="6" fillId="27" borderId="0" xfId="0" applyFont="1" applyFill="1"/>
    <xf numFmtId="0" fontId="37" fillId="0" borderId="0" xfId="0" applyFont="1" applyAlignment="1">
      <alignment horizontal="center"/>
    </xf>
    <xf numFmtId="0" fontId="4" fillId="23" borderId="0" xfId="0" applyFont="1" applyFill="1" applyAlignment="1">
      <alignment horizontal="center"/>
    </xf>
    <xf numFmtId="0" fontId="27" fillId="24" borderId="0" xfId="0" applyFont="1" applyFill="1" applyAlignment="1">
      <alignment horizontal="center"/>
    </xf>
    <xf numFmtId="0" fontId="6" fillId="9" borderId="0" xfId="0" applyFont="1" applyFill="1" applyAlignment="1">
      <alignment horizontal="center"/>
    </xf>
    <xf numFmtId="2" fontId="6" fillId="9" borderId="0" xfId="0" applyNumberFormat="1" applyFon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6" fillId="28" borderId="0" xfId="0" applyFont="1" applyFill="1" applyAlignment="1">
      <alignment horizontal="center"/>
    </xf>
    <xf numFmtId="0" fontId="6" fillId="15" borderId="3" xfId="0" applyFont="1" applyFill="1" applyBorder="1" applyAlignment="1">
      <alignment horizontal="center"/>
    </xf>
    <xf numFmtId="0" fontId="6" fillId="15" borderId="2" xfId="0" applyFont="1" applyFill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6" fillId="12" borderId="1" xfId="0" applyFont="1" applyFill="1" applyBorder="1" applyAlignment="1">
      <alignment horizontal="center"/>
    </xf>
    <xf numFmtId="0" fontId="6" fillId="17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6" fillId="15" borderId="1" xfId="0" applyFont="1" applyFill="1" applyBorder="1" applyAlignment="1">
      <alignment horizontal="center"/>
    </xf>
    <xf numFmtId="0" fontId="15" fillId="17" borderId="0" xfId="0" applyFont="1" applyFill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15" borderId="0" xfId="0" applyFont="1" applyFill="1" applyAlignment="1">
      <alignment horizontal="center" vertical="center"/>
    </xf>
    <xf numFmtId="0" fontId="15" fillId="12" borderId="0" xfId="0" applyFont="1" applyFill="1" applyAlignment="1">
      <alignment horizontal="center" vertical="center"/>
    </xf>
    <xf numFmtId="0" fontId="6" fillId="0" borderId="41" xfId="0" applyFont="1" applyBorder="1" applyAlignment="1">
      <alignment horizontal="center"/>
    </xf>
    <xf numFmtId="0" fontId="6" fillId="3" borderId="7" xfId="0" applyFont="1" applyFill="1" applyBorder="1" applyAlignment="1">
      <alignment horizontal="center"/>
    </xf>
    <xf numFmtId="0" fontId="6" fillId="29" borderId="7" xfId="0" applyFont="1" applyFill="1" applyBorder="1" applyAlignment="1">
      <alignment horizontal="center"/>
    </xf>
    <xf numFmtId="0" fontId="6" fillId="30" borderId="7" xfId="0" applyFont="1" applyFill="1" applyBorder="1" applyAlignment="1">
      <alignment horizontal="center"/>
    </xf>
    <xf numFmtId="0" fontId="6" fillId="2" borderId="0" xfId="0" applyFont="1" applyFill="1"/>
    <xf numFmtId="0" fontId="6" fillId="2" borderId="0" xfId="0" applyFont="1" applyFill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38" fillId="0" borderId="0" xfId="0" applyFont="1" applyAlignment="1">
      <alignment horizontal="center"/>
    </xf>
    <xf numFmtId="0" fontId="6" fillId="0" borderId="9" xfId="0" applyFont="1" applyBorder="1"/>
    <xf numFmtId="0" fontId="39" fillId="2" borderId="0" xfId="0" applyFont="1" applyFill="1" applyAlignment="1">
      <alignment vertical="center"/>
    </xf>
    <xf numFmtId="0" fontId="6" fillId="0" borderId="17" xfId="0" applyFont="1" applyBorder="1"/>
    <xf numFmtId="0" fontId="6" fillId="0" borderId="15" xfId="0" applyFont="1" applyBorder="1"/>
    <xf numFmtId="0" fontId="6" fillId="0" borderId="14" xfId="0" applyFont="1" applyBorder="1"/>
    <xf numFmtId="0" fontId="1" fillId="0" borderId="0" xfId="0" applyFont="1" applyAlignment="1">
      <alignment horizontal="center" wrapText="1"/>
    </xf>
    <xf numFmtId="0" fontId="6" fillId="0" borderId="5" xfId="0" applyFont="1" applyBorder="1"/>
    <xf numFmtId="0" fontId="41" fillId="0" borderId="0" xfId="0" applyFont="1" applyAlignment="1">
      <alignment horizontal="center"/>
    </xf>
    <xf numFmtId="0" fontId="33" fillId="0" borderId="0" xfId="0" applyFont="1"/>
    <xf numFmtId="0" fontId="6" fillId="31" borderId="0" xfId="0" applyFont="1" applyFill="1" applyAlignment="1">
      <alignment horizontal="center" vertical="center"/>
    </xf>
    <xf numFmtId="0" fontId="6" fillId="0" borderId="0" xfId="0" applyFont="1" applyAlignment="1">
      <alignment horizontal="right" vertical="center" textRotation="90"/>
    </xf>
    <xf numFmtId="0" fontId="6" fillId="0" borderId="0" xfId="0" applyFont="1" applyAlignment="1">
      <alignment horizontal="right" vertical="center"/>
    </xf>
    <xf numFmtId="0" fontId="6" fillId="32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75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3" fillId="17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7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7" xfId="0" applyFont="1" applyBorder="1" applyAlignment="1">
      <alignment horizontal="center" vertical="top" wrapText="1"/>
    </xf>
    <xf numFmtId="0" fontId="12" fillId="0" borderId="0" xfId="0" applyFont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6" fillId="0" borderId="7" xfId="0" applyFont="1" applyBorder="1" applyAlignment="1">
      <alignment horizontal="center" wrapText="1"/>
    </xf>
    <xf numFmtId="0" fontId="12" fillId="0" borderId="10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wrapText="1"/>
    </xf>
    <xf numFmtId="0" fontId="6" fillId="5" borderId="4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6" fillId="5" borderId="12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6" fillId="3" borderId="14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/>
    </xf>
    <xf numFmtId="0" fontId="3" fillId="0" borderId="7" xfId="0" applyFont="1" applyBorder="1" applyAlignment="1">
      <alignment horizontal="center" wrapText="1"/>
    </xf>
    <xf numFmtId="0" fontId="36" fillId="4" borderId="45" xfId="0" applyFont="1" applyFill="1" applyBorder="1" applyAlignment="1">
      <alignment horizontal="center" vertical="center"/>
    </xf>
    <xf numFmtId="0" fontId="36" fillId="4" borderId="46" xfId="0" applyFont="1" applyFill="1" applyBorder="1" applyAlignment="1">
      <alignment horizontal="center" vertical="center"/>
    </xf>
    <xf numFmtId="0" fontId="36" fillId="15" borderId="45" xfId="0" applyFont="1" applyFill="1" applyBorder="1" applyAlignment="1">
      <alignment horizontal="center" vertical="center"/>
    </xf>
    <xf numFmtId="0" fontId="36" fillId="15" borderId="44" xfId="0" applyFont="1" applyFill="1" applyBorder="1" applyAlignment="1">
      <alignment horizontal="center" vertical="center"/>
    </xf>
    <xf numFmtId="0" fontId="36" fillId="15" borderId="46" xfId="0" applyFont="1" applyFill="1" applyBorder="1" applyAlignment="1">
      <alignment horizontal="center" vertical="center"/>
    </xf>
    <xf numFmtId="0" fontId="36" fillId="18" borderId="45" xfId="0" applyFont="1" applyFill="1" applyBorder="1" applyAlignment="1">
      <alignment horizontal="center" vertical="center"/>
    </xf>
    <xf numFmtId="0" fontId="36" fillId="18" borderId="44" xfId="0" applyFont="1" applyFill="1" applyBorder="1" applyAlignment="1">
      <alignment horizontal="center" vertical="center"/>
    </xf>
    <xf numFmtId="0" fontId="36" fillId="18" borderId="46" xfId="0" applyFont="1" applyFill="1" applyBorder="1" applyAlignment="1">
      <alignment horizontal="center" vertical="center"/>
    </xf>
    <xf numFmtId="0" fontId="36" fillId="19" borderId="39" xfId="0" applyFont="1" applyFill="1" applyBorder="1" applyAlignment="1">
      <alignment horizontal="center" vertical="center"/>
    </xf>
    <xf numFmtId="0" fontId="36" fillId="19" borderId="42" xfId="0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0" fontId="37" fillId="0" borderId="0" xfId="0" applyFont="1" applyAlignment="1">
      <alignment horizontal="center"/>
    </xf>
    <xf numFmtId="0" fontId="6" fillId="0" borderId="15" xfId="0" applyFont="1" applyBorder="1" applyAlignment="1">
      <alignment horizontal="center"/>
    </xf>
    <xf numFmtId="0" fontId="15" fillId="12" borderId="0" xfId="0" applyFont="1" applyFill="1" applyAlignment="1">
      <alignment horizontal="center" vertical="center" textRotation="90"/>
    </xf>
    <xf numFmtId="0" fontId="15" fillId="4" borderId="0" xfId="0" applyFont="1" applyFill="1" applyAlignment="1">
      <alignment horizontal="center" vertical="center" textRotation="90"/>
    </xf>
    <xf numFmtId="0" fontId="15" fillId="15" borderId="0" xfId="0" applyFont="1" applyFill="1" applyAlignment="1">
      <alignment horizontal="center" vertical="center" textRotation="90"/>
    </xf>
    <xf numFmtId="0" fontId="39" fillId="2" borderId="0" xfId="0" applyFont="1" applyFill="1" applyAlignment="1">
      <alignment horizontal="center"/>
    </xf>
    <xf numFmtId="0" fontId="40" fillId="23" borderId="0" xfId="0" applyFont="1" applyFill="1" applyAlignment="1">
      <alignment horizontal="center" vertical="center"/>
    </xf>
    <xf numFmtId="0" fontId="15" fillId="17" borderId="0" xfId="0" applyFont="1" applyFill="1" applyAlignment="1">
      <alignment horizontal="center" vertical="center" textRotation="90"/>
    </xf>
    <xf numFmtId="0" fontId="33" fillId="0" borderId="0" xfId="0" applyFont="1" applyAlignment="1">
      <alignment horizontal="center"/>
    </xf>
    <xf numFmtId="0" fontId="34" fillId="13" borderId="0" xfId="0" applyFont="1" applyFill="1" applyAlignment="1">
      <alignment horizontal="center" vertical="center"/>
    </xf>
    <xf numFmtId="0" fontId="0" fillId="0" borderId="0" xfId="0"/>
    <xf numFmtId="0" fontId="23" fillId="0" borderId="0" xfId="0" applyFont="1" applyAlignment="1">
      <alignment horizontal="center" vertical="center" textRotation="90" wrapText="1"/>
    </xf>
    <xf numFmtId="0" fontId="26" fillId="7" borderId="0" xfId="0" applyFont="1" applyFill="1" applyAlignment="1">
      <alignment horizontal="center" vertical="center"/>
    </xf>
    <xf numFmtId="0" fontId="1" fillId="0" borderId="28" xfId="0" applyFont="1" applyBorder="1" applyAlignment="1">
      <alignment horizontal="center" vertical="center" wrapText="1"/>
    </xf>
    <xf numFmtId="0" fontId="1" fillId="0" borderId="39" xfId="0" applyFont="1" applyBorder="1" applyAlignment="1">
      <alignment horizontal="center" vertical="center" wrapText="1"/>
    </xf>
    <xf numFmtId="0" fontId="30" fillId="8" borderId="0" xfId="0" applyFont="1" applyFill="1" applyAlignment="1">
      <alignment horizontal="center" vertical="center"/>
    </xf>
    <xf numFmtId="0" fontId="27" fillId="9" borderId="0" xfId="0" applyFont="1" applyFill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47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textRotation="90" wrapText="1"/>
    </xf>
    <xf numFmtId="0" fontId="31" fillId="8" borderId="0" xfId="0" applyFont="1" applyFill="1" applyAlignment="1">
      <alignment horizontal="center" vertical="center"/>
    </xf>
    <xf numFmtId="0" fontId="32" fillId="8" borderId="0" xfId="0" applyFont="1" applyFill="1" applyAlignment="1">
      <alignment horizontal="center" vertical="center"/>
    </xf>
    <xf numFmtId="0" fontId="11" fillId="10" borderId="15" xfId="0" applyFont="1" applyFill="1" applyBorder="1" applyAlignment="1">
      <alignment horizontal="center"/>
    </xf>
    <xf numFmtId="0" fontId="23" fillId="0" borderId="0" xfId="0" applyFont="1" applyAlignment="1">
      <alignment horizontal="center" vertical="center" textRotation="90"/>
    </xf>
    <xf numFmtId="0" fontId="30" fillId="11" borderId="0" xfId="0" applyFont="1" applyFill="1" applyAlignment="1">
      <alignment horizontal="center" vertical="center"/>
    </xf>
    <xf numFmtId="0" fontId="1" fillId="0" borderId="28" xfId="0" applyFont="1" applyBorder="1" applyAlignment="1">
      <alignment horizontal="center" wrapText="1"/>
    </xf>
    <xf numFmtId="0" fontId="1" fillId="0" borderId="39" xfId="0" applyFont="1" applyBorder="1" applyAlignment="1">
      <alignment horizontal="center" wrapText="1"/>
    </xf>
    <xf numFmtId="0" fontId="26" fillId="7" borderId="16" xfId="0" applyFont="1" applyFill="1" applyBorder="1" applyAlignment="1">
      <alignment horizontal="center" vertical="center"/>
    </xf>
    <xf numFmtId="0" fontId="27" fillId="9" borderId="15" xfId="0" applyFont="1" applyFill="1" applyBorder="1" applyAlignment="1">
      <alignment horizontal="center" vertical="center"/>
    </xf>
    <xf numFmtId="0" fontId="15" fillId="8" borderId="0" xfId="0" applyFont="1" applyFill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16" xfId="0" applyFont="1" applyFill="1" applyBorder="1" applyAlignment="1">
      <alignment horizontal="center" vertical="center"/>
    </xf>
    <xf numFmtId="0" fontId="15" fillId="0" borderId="3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3" fillId="4" borderId="0" xfId="0" applyFont="1" applyFill="1" applyAlignment="1">
      <alignment horizontal="center" vertical="center"/>
    </xf>
    <xf numFmtId="0" fontId="33" fillId="4" borderId="16" xfId="0" applyFont="1" applyFill="1" applyBorder="1" applyAlignment="1">
      <alignment horizontal="center" vertical="center"/>
    </xf>
    <xf numFmtId="0" fontId="2" fillId="10" borderId="15" xfId="0" applyFont="1" applyFill="1" applyBorder="1" applyAlignment="1">
      <alignment horizontal="center"/>
    </xf>
    <xf numFmtId="0" fontId="34" fillId="13" borderId="16" xfId="0" applyFont="1" applyFill="1" applyBorder="1" applyAlignment="1">
      <alignment horizontal="center" vertical="center"/>
    </xf>
    <xf numFmtId="0" fontId="26" fillId="14" borderId="0" xfId="0" applyFont="1" applyFill="1" applyAlignment="1">
      <alignment horizontal="center" vertical="center"/>
    </xf>
    <xf numFmtId="0" fontId="2" fillId="10" borderId="17" xfId="0" applyFont="1" applyFill="1" applyBorder="1" applyAlignment="1">
      <alignment horizontal="center"/>
    </xf>
    <xf numFmtId="0" fontId="33" fillId="15" borderId="0" xfId="0" applyFont="1" applyFill="1" applyAlignment="1">
      <alignment horizontal="center" vertical="center"/>
    </xf>
    <xf numFmtId="0" fontId="33" fillId="15" borderId="16" xfId="0" applyFont="1" applyFill="1" applyBorder="1" applyAlignment="1">
      <alignment horizontal="center" vertical="center"/>
    </xf>
    <xf numFmtId="0" fontId="1" fillId="0" borderId="31" xfId="0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26" fillId="14" borderId="16" xfId="0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 vertical="center" wrapText="1"/>
    </xf>
    <xf numFmtId="0" fontId="6" fillId="7" borderId="0" xfId="0" applyFont="1" applyFill="1" applyAlignment="1">
      <alignment horizontal="center"/>
    </xf>
    <xf numFmtId="0" fontId="0" fillId="12" borderId="0" xfId="0" applyFill="1"/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1011932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1142388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127</xdr:row>
      <xdr:rowOff>28872</xdr:rowOff>
    </xdr:from>
    <xdr:to>
      <xdr:col>28</xdr:col>
      <xdr:colOff>7550</xdr:colOff>
      <xdr:row>155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827946" y="26616494"/>
          <a:ext cx="7550" cy="637604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</xdr:colOff>
      <xdr:row>42</xdr:row>
      <xdr:rowOff>156308</xdr:rowOff>
    </xdr:from>
    <xdr:to>
      <xdr:col>28</xdr:col>
      <xdr:colOff>98608</xdr:colOff>
      <xdr:row>74</xdr:row>
      <xdr:rowOff>213360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4063960" y="8004908"/>
          <a:ext cx="37648" cy="718937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98778</xdr:colOff>
      <xdr:row>227</xdr:row>
      <xdr:rowOff>169333</xdr:rowOff>
    </xdr:from>
    <xdr:to>
      <xdr:col>42</xdr:col>
      <xdr:colOff>228598</xdr:colOff>
      <xdr:row>227</xdr:row>
      <xdr:rowOff>190197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821445" y="48260000"/>
          <a:ext cx="12914486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39077</xdr:colOff>
      <xdr:row>207</xdr:row>
      <xdr:rowOff>0</xdr:rowOff>
    </xdr:from>
    <xdr:to>
      <xdr:col>29</xdr:col>
      <xdr:colOff>70555</xdr:colOff>
      <xdr:row>239</xdr:row>
      <xdr:rowOff>42334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4761744" y="43645667"/>
          <a:ext cx="31478" cy="738011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731608</xdr:colOff>
      <xdr:row>114</xdr:row>
      <xdr:rowOff>162820</xdr:rowOff>
    </xdr:from>
    <xdr:to>
      <xdr:col>73</xdr:col>
      <xdr:colOff>42333</xdr:colOff>
      <xdr:row>114</xdr:row>
      <xdr:rowOff>183444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214DF04-ED05-455E-8463-04AAB91DB634}"/>
            </a:ext>
          </a:extLst>
        </xdr:cNvPr>
        <xdr:cNvCxnSpPr/>
      </xdr:nvCxnSpPr>
      <xdr:spPr>
        <a:xfrm>
          <a:off x="59970052" y="23770709"/>
          <a:ext cx="3826281" cy="206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14111</xdr:colOff>
      <xdr:row>114</xdr:row>
      <xdr:rowOff>183444</xdr:rowOff>
    </xdr:from>
    <xdr:to>
      <xdr:col>68</xdr:col>
      <xdr:colOff>54274</xdr:colOff>
      <xdr:row>126</xdr:row>
      <xdr:rowOff>119401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32EAF1C-B51C-4CE9-8A02-470B237B529E}"/>
            </a:ext>
          </a:extLst>
        </xdr:cNvPr>
        <xdr:cNvCxnSpPr/>
      </xdr:nvCxnSpPr>
      <xdr:spPr>
        <a:xfrm flipH="1" flipV="1">
          <a:off x="60028667" y="23791333"/>
          <a:ext cx="40163" cy="25888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37203</xdr:colOff>
      <xdr:row>238</xdr:row>
      <xdr:rowOff>194989</xdr:rowOff>
    </xdr:from>
    <xdr:to>
      <xdr:col>33</xdr:col>
      <xdr:colOff>381000</xdr:colOff>
      <xdr:row>238</xdr:row>
      <xdr:rowOff>211666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4862CC2-608A-41A2-B206-E1B06B0904F1}"/>
            </a:ext>
          </a:extLst>
        </xdr:cNvPr>
        <xdr:cNvCxnSpPr/>
      </xdr:nvCxnSpPr>
      <xdr:spPr>
        <a:xfrm>
          <a:off x="24759870" y="50952656"/>
          <a:ext cx="3702241" cy="166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16565</xdr:colOff>
      <xdr:row>246</xdr:row>
      <xdr:rowOff>115956</xdr:rowOff>
    </xdr:from>
    <xdr:to>
      <xdr:col>112</xdr:col>
      <xdr:colOff>484909</xdr:colOff>
      <xdr:row>246</xdr:row>
      <xdr:rowOff>138545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964D69B-3103-4CBF-A704-B195D7765006}"/>
            </a:ext>
          </a:extLst>
        </xdr:cNvPr>
        <xdr:cNvCxnSpPr/>
      </xdr:nvCxnSpPr>
      <xdr:spPr>
        <a:xfrm>
          <a:off x="91705043" y="52992130"/>
          <a:ext cx="2919996" cy="2258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579783</xdr:colOff>
      <xdr:row>233</xdr:row>
      <xdr:rowOff>132522</xdr:rowOff>
    </xdr:from>
    <xdr:to>
      <xdr:col>107</xdr:col>
      <xdr:colOff>588558</xdr:colOff>
      <xdr:row>246</xdr:row>
      <xdr:rowOff>115956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A0DDBBBC-5AA1-4527-B5DC-C44DA5480CFA}"/>
            </a:ext>
          </a:extLst>
        </xdr:cNvPr>
        <xdr:cNvCxnSpPr/>
      </xdr:nvCxnSpPr>
      <xdr:spPr>
        <a:xfrm flipH="1">
          <a:off x="91655348" y="49877870"/>
          <a:ext cx="8775" cy="311426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206</xdr:row>
      <xdr:rowOff>167640</xdr:rowOff>
    </xdr:from>
    <xdr:to>
      <xdr:col>67</xdr:col>
      <xdr:colOff>8776</xdr:colOff>
      <xdr:row>223</xdr:row>
      <xdr:rowOff>76200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43F497B4-5BF3-417E-9B2D-6B6681A1D401}"/>
            </a:ext>
          </a:extLst>
        </xdr:cNvPr>
        <xdr:cNvCxnSpPr/>
      </xdr:nvCxnSpPr>
      <xdr:spPr>
        <a:xfrm flipH="1">
          <a:off x="59496960" y="43906440"/>
          <a:ext cx="8776" cy="36576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23553</xdr:colOff>
      <xdr:row>223</xdr:row>
      <xdr:rowOff>90747</xdr:rowOff>
    </xdr:from>
    <xdr:to>
      <xdr:col>71</xdr:col>
      <xdr:colOff>274320</xdr:colOff>
      <xdr:row>223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4189892D-3247-4BBD-BB1F-2DED4A78B81B}"/>
            </a:ext>
          </a:extLst>
        </xdr:cNvPr>
        <xdr:cNvCxnSpPr/>
      </xdr:nvCxnSpPr>
      <xdr:spPr>
        <a:xfrm>
          <a:off x="59520513" y="47578587"/>
          <a:ext cx="3237807" cy="159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84667</xdr:colOff>
      <xdr:row>223</xdr:row>
      <xdr:rowOff>106680</xdr:rowOff>
    </xdr:from>
    <xdr:to>
      <xdr:col>51</xdr:col>
      <xdr:colOff>274320</xdr:colOff>
      <xdr:row>223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794B6E9-5C6A-4FE0-8C2F-49761F059955}"/>
            </a:ext>
          </a:extLst>
        </xdr:cNvPr>
        <xdr:cNvCxnSpPr/>
      </xdr:nvCxnSpPr>
      <xdr:spPr>
        <a:xfrm flipV="1">
          <a:off x="42720381" y="47362775"/>
          <a:ext cx="3648891" cy="21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36285</xdr:colOff>
      <xdr:row>207</xdr:row>
      <xdr:rowOff>0</xdr:rowOff>
    </xdr:from>
    <xdr:to>
      <xdr:col>48</xdr:col>
      <xdr:colOff>45061</xdr:colOff>
      <xdr:row>223</xdr:row>
      <xdr:rowOff>102084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0CE3BEC-2CAD-425B-9A2C-24F110F39628}"/>
            </a:ext>
          </a:extLst>
        </xdr:cNvPr>
        <xdr:cNvCxnSpPr/>
      </xdr:nvCxnSpPr>
      <xdr:spPr>
        <a:xfrm flipH="1">
          <a:off x="42671999" y="43700095"/>
          <a:ext cx="8776" cy="365808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41189</xdr:colOff>
      <xdr:row>155</xdr:row>
      <xdr:rowOff>123567</xdr:rowOff>
    </xdr:from>
    <xdr:to>
      <xdr:col>32</xdr:col>
      <xdr:colOff>484909</xdr:colOff>
      <xdr:row>155</xdr:row>
      <xdr:rowOff>138545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E8A54D75-416B-4339-A0F7-B0AF2A482222}"/>
            </a:ext>
          </a:extLst>
        </xdr:cNvPr>
        <xdr:cNvCxnSpPr/>
      </xdr:nvCxnSpPr>
      <xdr:spPr>
        <a:xfrm>
          <a:off x="23869135" y="33116108"/>
          <a:ext cx="3800639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74</xdr:row>
      <xdr:rowOff>152400</xdr:rowOff>
    </xdr:from>
    <xdr:to>
      <xdr:col>32</xdr:col>
      <xdr:colOff>398585</xdr:colOff>
      <xdr:row>74</xdr:row>
      <xdr:rowOff>164123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F7296357-0EB3-44B7-91AE-1872EE14866C}"/>
            </a:ext>
          </a:extLst>
        </xdr:cNvPr>
        <xdr:cNvCxnSpPr/>
      </xdr:nvCxnSpPr>
      <xdr:spPr>
        <a:xfrm>
          <a:off x="24079200" y="15133320"/>
          <a:ext cx="3705665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41189</xdr:colOff>
      <xdr:row>137</xdr:row>
      <xdr:rowOff>123567</xdr:rowOff>
    </xdr:from>
    <xdr:to>
      <xdr:col>52</xdr:col>
      <xdr:colOff>484909</xdr:colOff>
      <xdr:row>137</xdr:row>
      <xdr:rowOff>138545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31451BF1-62AB-4C55-978F-345A0E7144F7}"/>
            </a:ext>
          </a:extLst>
        </xdr:cNvPr>
        <xdr:cNvCxnSpPr/>
      </xdr:nvCxnSpPr>
      <xdr:spPr>
        <a:xfrm>
          <a:off x="24044189" y="33377247"/>
          <a:ext cx="3827000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15240</xdr:colOff>
      <xdr:row>127</xdr:row>
      <xdr:rowOff>76200</xdr:rowOff>
    </xdr:from>
    <xdr:to>
      <xdr:col>48</xdr:col>
      <xdr:colOff>15240</xdr:colOff>
      <xdr:row>137</xdr:row>
      <xdr:rowOff>60960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3E054B9-40C2-4CCC-AED3-EC561BAFD73F}"/>
            </a:ext>
          </a:extLst>
        </xdr:cNvPr>
        <xdr:cNvCxnSpPr/>
      </xdr:nvCxnSpPr>
      <xdr:spPr>
        <a:xfrm>
          <a:off x="42717720" y="26700480"/>
          <a:ext cx="0" cy="2362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60</xdr:row>
      <xdr:rowOff>152400</xdr:rowOff>
    </xdr:from>
    <xdr:to>
      <xdr:col>51</xdr:col>
      <xdr:colOff>398585</xdr:colOff>
      <xdr:row>60</xdr:row>
      <xdr:rowOff>164123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D21E701E-5271-4648-B2FA-4ABC60AF2571}"/>
            </a:ext>
          </a:extLst>
        </xdr:cNvPr>
        <xdr:cNvCxnSpPr/>
      </xdr:nvCxnSpPr>
      <xdr:spPr>
        <a:xfrm>
          <a:off x="23989553" y="15033812"/>
          <a:ext cx="3706561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44824</xdr:colOff>
      <xdr:row>42</xdr:row>
      <xdr:rowOff>67235</xdr:rowOff>
    </xdr:from>
    <xdr:to>
      <xdr:col>47</xdr:col>
      <xdr:colOff>67235</xdr:colOff>
      <xdr:row>61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E715F346-4ADF-43AB-B888-44CF8AA5DD29}"/>
            </a:ext>
          </a:extLst>
        </xdr:cNvPr>
        <xdr:cNvCxnSpPr/>
      </xdr:nvCxnSpPr>
      <xdr:spPr>
        <a:xfrm>
          <a:off x="41753118" y="7821706"/>
          <a:ext cx="22411" cy="421341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4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topLeftCell="Y1" zoomScale="89" workbookViewId="0">
      <selection activeCell="AH13" sqref="AE13:AH13"/>
    </sheetView>
  </sheetViews>
  <sheetFormatPr defaultColWidth="11.5546875" defaultRowHeight="14.4"/>
  <cols>
    <col min="2" max="2" width="9.77734375" customWidth="1"/>
    <col min="21" max="21" width="9.77734375" customWidth="1"/>
    <col min="22" max="22" width="10.44140625" customWidth="1"/>
    <col min="23" max="23" width="12.109375" customWidth="1"/>
    <col min="24" max="25" width="11.44140625" customWidth="1"/>
    <col min="26" max="26" width="15.77734375" customWidth="1"/>
    <col min="27" max="28" width="11.44140625" customWidth="1"/>
    <col min="35" max="35" width="12.33203125" customWidth="1"/>
  </cols>
  <sheetData>
    <row r="2" spans="2:41" ht="16.95" customHeight="1">
      <c r="R2" s="316" t="s">
        <v>95</v>
      </c>
      <c r="S2" s="317"/>
      <c r="T2" s="316" t="s">
        <v>100</v>
      </c>
      <c r="U2" s="317"/>
      <c r="W2" s="316" t="s">
        <v>164</v>
      </c>
      <c r="X2" s="320"/>
      <c r="Y2" s="317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18" t="s">
        <v>305</v>
      </c>
      <c r="AJ2" s="318"/>
    </row>
    <row r="3" spans="2:41" ht="18" customHeight="1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6.95" customHeight="1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19" t="s">
        <v>548</v>
      </c>
      <c r="AJ6" s="319"/>
    </row>
    <row r="7" spans="2:41" ht="18" customHeight="1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.05" customHeight="1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.05" customHeight="1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6.95" customHeight="1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6.95" customHeight="1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.05" customHeight="1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.05" customHeight="1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.05" customHeight="1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6.95" customHeight="1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.05" customHeight="1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6.95" customHeight="1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6.95" customHeight="1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.05" customHeight="1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6.95" customHeight="1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.05" customHeight="1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6.95" customHeight="1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6.95" customHeight="1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6.95" customHeight="1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6.95" customHeight="1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6.95" customHeight="1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6.95" customHeight="1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.05" customHeight="1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6.95" customHeight="1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6.95" customHeight="1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6.95" customHeight="1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6.95" customHeight="1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6.95" customHeight="1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6.95" customHeight="1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6.95" customHeight="1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6.95" customHeight="1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6.95" customHeight="1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6.95" customHeight="1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6.95" customHeight="1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6.95" customHeight="1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.05" customHeight="1">
      <c r="G50" s="1"/>
      <c r="H50" s="1"/>
    </row>
    <row r="51" spans="2:8" ht="16.05" customHeight="1">
      <c r="G51" s="1"/>
      <c r="H51" s="1"/>
    </row>
    <row r="52" spans="2:8" ht="16.05" customHeight="1">
      <c r="G52" s="1"/>
      <c r="H52" s="1"/>
    </row>
    <row r="53" spans="2:8">
      <c r="B53" s="21"/>
    </row>
    <row r="54" spans="2:8">
      <c r="B54" s="14" t="s">
        <v>99</v>
      </c>
    </row>
    <row r="55" spans="2:8" ht="16.95" customHeight="1">
      <c r="B55" s="20" t="s">
        <v>53</v>
      </c>
      <c r="C55" s="14" t="s">
        <v>114</v>
      </c>
    </row>
    <row r="56" spans="2:8" ht="16.95" customHeight="1">
      <c r="B56" s="20" t="s">
        <v>53</v>
      </c>
      <c r="C56" s="3" t="s">
        <v>295</v>
      </c>
    </row>
    <row r="57" spans="2:8" ht="18" customHeight="1">
      <c r="B57" s="5" t="s">
        <v>6</v>
      </c>
      <c r="C57" s="3" t="s">
        <v>283</v>
      </c>
    </row>
    <row r="58" spans="2:8" ht="18" customHeight="1">
      <c r="B58" s="5" t="s">
        <v>6</v>
      </c>
      <c r="C58" s="14" t="s">
        <v>118</v>
      </c>
    </row>
    <row r="59" spans="2:8" ht="16.95" customHeight="1">
      <c r="B59" s="20" t="s">
        <v>125</v>
      </c>
      <c r="C59" s="14" t="s">
        <v>126</v>
      </c>
    </row>
    <row r="60" spans="2:8">
      <c r="B60" s="20" t="s">
        <v>270</v>
      </c>
      <c r="C60" s="3" t="s">
        <v>272</v>
      </c>
    </row>
    <row r="61" spans="2:8">
      <c r="B61" s="20" t="s">
        <v>5</v>
      </c>
      <c r="C61" s="3" t="s">
        <v>282</v>
      </c>
    </row>
    <row r="62" spans="2:8">
      <c r="B62" s="20" t="s">
        <v>306</v>
      </c>
      <c r="C62" s="3" t="s">
        <v>513</v>
      </c>
    </row>
    <row r="63" spans="2:8">
      <c r="B63" s="20" t="s">
        <v>311</v>
      </c>
      <c r="C63" s="14" t="s">
        <v>313</v>
      </c>
    </row>
    <row r="64" spans="2:8">
      <c r="B64" s="20" t="s">
        <v>570</v>
      </c>
      <c r="C64" s="12" t="s">
        <v>571</v>
      </c>
    </row>
    <row r="65" spans="2:3">
      <c r="B65" s="20" t="s">
        <v>396</v>
      </c>
      <c r="C65" s="14" t="s">
        <v>397</v>
      </c>
    </row>
    <row r="66" spans="2:3" ht="16.95" customHeight="1">
      <c r="B66" s="20" t="s">
        <v>391</v>
      </c>
      <c r="C66" s="14" t="s">
        <v>390</v>
      </c>
    </row>
    <row r="67" spans="2:3">
      <c r="B67" s="20" t="s">
        <v>39</v>
      </c>
      <c r="C67" s="14" t="s">
        <v>508</v>
      </c>
    </row>
    <row r="68" spans="2:3">
      <c r="B68" s="20" t="s">
        <v>511</v>
      </c>
      <c r="C68" s="3" t="s">
        <v>568</v>
      </c>
    </row>
    <row r="69" spans="2:3">
      <c r="B69" s="20" t="s">
        <v>524</v>
      </c>
      <c r="C69" s="14" t="s">
        <v>544</v>
      </c>
    </row>
    <row r="75" spans="2:3" ht="19.95" customHeight="1">
      <c r="C75" s="11"/>
    </row>
    <row r="76" spans="2:3" ht="19.95" customHeight="1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topLeftCell="A37" zoomScale="75" zoomScaleNormal="83" workbookViewId="0">
      <selection activeCell="C64" sqref="C64"/>
    </sheetView>
  </sheetViews>
  <sheetFormatPr defaultColWidth="11.5546875" defaultRowHeight="14.4"/>
  <cols>
    <col min="1" max="1" width="12.109375" customWidth="1"/>
    <col min="2" max="2" width="9" customWidth="1"/>
    <col min="3" max="3" width="15.77734375" customWidth="1"/>
    <col min="4" max="4" width="11.109375" customWidth="1"/>
    <col min="5" max="5" width="13.33203125" customWidth="1"/>
    <col min="6" max="6" width="13.109375" customWidth="1"/>
    <col min="7" max="7" width="9.77734375" customWidth="1"/>
    <col min="8" max="8" width="11.33203125" customWidth="1"/>
    <col min="9" max="9" width="12.6640625" customWidth="1"/>
    <col min="10" max="10" width="10.6640625" customWidth="1"/>
    <col min="11" max="11" width="10.77734375" customWidth="1"/>
    <col min="12" max="12" width="18.44140625" customWidth="1"/>
    <col min="13" max="13" width="16.6640625" customWidth="1"/>
    <col min="14" max="14" width="14.77734375" customWidth="1"/>
    <col min="15" max="15" width="14" customWidth="1"/>
    <col min="16" max="16" width="10.7773437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>
      <c r="A1" s="52" t="s">
        <v>50</v>
      </c>
    </row>
    <row r="2" spans="1:28">
      <c r="A2" s="3" t="s">
        <v>116</v>
      </c>
      <c r="B2" s="14" t="s">
        <v>117</v>
      </c>
      <c r="C2" s="14" t="s">
        <v>127</v>
      </c>
    </row>
    <row r="10" spans="1:28" ht="16.95" customHeight="1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23" t="s">
        <v>115</v>
      </c>
      <c r="P10" s="323"/>
      <c r="Q10" s="323"/>
      <c r="R10" s="323"/>
      <c r="S10" s="323"/>
      <c r="T10" s="323"/>
      <c r="U10" s="323"/>
      <c r="V10" s="323" t="s">
        <v>115</v>
      </c>
      <c r="W10" s="323"/>
      <c r="X10" s="323"/>
      <c r="Y10" s="323"/>
      <c r="Z10" s="323"/>
      <c r="AA10" s="323"/>
      <c r="AB10" s="323"/>
    </row>
    <row r="11" spans="1:28" ht="18" customHeight="1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23" t="s">
        <v>236</v>
      </c>
      <c r="P11" s="323"/>
      <c r="Q11" s="323"/>
      <c r="R11" s="316"/>
      <c r="S11" s="317"/>
      <c r="T11" s="322" t="s">
        <v>235</v>
      </c>
      <c r="U11" s="322"/>
      <c r="V11" s="323" t="str">
        <f>_xlfn.CONCAT(E19," ",C19," ","+"," ",E21," ",C21," ","--&gt;"," ",E22," ",C22," ","+"," ",E20*E21," ",C20)</f>
        <v>1.5 C + 1.5 O2 --&gt; 1.5 CO2 + 5.64 N2</v>
      </c>
      <c r="W11" s="323"/>
      <c r="X11" s="323"/>
      <c r="Y11" s="323"/>
      <c r="Z11" s="323"/>
      <c r="AA11" s="323"/>
      <c r="AB11" s="323"/>
    </row>
    <row r="12" spans="1:28" ht="18" customHeight="1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23" t="s">
        <v>156</v>
      </c>
      <c r="P12" s="323"/>
      <c r="Q12" s="323"/>
      <c r="R12" s="316"/>
      <c r="S12" s="317"/>
      <c r="T12" s="323" t="s">
        <v>155</v>
      </c>
      <c r="U12" s="323"/>
      <c r="V12" s="323" t="str">
        <f>_xlfn.CONCAT(E25," ",C25," ","+"," ",E26," ",C26," ","--&gt;"," ",E27," ",C27)</f>
        <v>1.5 CO2 + 1.5 C --&gt; 3 CO</v>
      </c>
      <c r="W12" s="323"/>
      <c r="X12" s="323"/>
      <c r="Y12" s="323"/>
      <c r="Z12" s="323"/>
      <c r="AA12" s="323"/>
      <c r="AB12" s="323"/>
    </row>
    <row r="13" spans="1:28" ht="18" customHeight="1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23" t="s">
        <v>157</v>
      </c>
      <c r="P13" s="323"/>
      <c r="Q13" s="323"/>
      <c r="R13" s="316"/>
      <c r="S13" s="317"/>
      <c r="T13" s="322" t="s">
        <v>158</v>
      </c>
      <c r="U13" s="322"/>
      <c r="V13" s="323" t="str">
        <f>_xlfn.CONCAT(E29," ",C29," ","+"," ",E30," ",C30," ","--&gt;"," ",E31," ",C31," ","+"," ",E32," ",C32)</f>
        <v>1 Fe2O3 + 3 CO --&gt; 2 Fe + 3 CO2</v>
      </c>
      <c r="W13" s="323"/>
      <c r="X13" s="323"/>
      <c r="Y13" s="323"/>
      <c r="Z13" s="323"/>
      <c r="AA13" s="323"/>
      <c r="AB13" s="323"/>
    </row>
    <row r="14" spans="1:28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23"/>
      <c r="P14" s="323"/>
      <c r="Q14" s="323"/>
      <c r="R14" s="316"/>
      <c r="S14" s="317"/>
      <c r="T14" s="323"/>
      <c r="U14" s="323"/>
      <c r="V14" s="323" t="str">
        <f>_xlfn.CONCAT(E36," ",C36," ","--&gt;"," ",E37," ",C37," ","+"," ",E39," ",C39)</f>
        <v>1 CaCO3 --&gt; 1 CaO + 0.0624775822865075 MgO</v>
      </c>
      <c r="W14" s="323"/>
      <c r="X14" s="323"/>
      <c r="Y14" s="323"/>
      <c r="Z14" s="323"/>
      <c r="AA14" s="323"/>
      <c r="AB14" s="323"/>
    </row>
    <row r="15" spans="1:28" ht="16.95" customHeight="1">
      <c r="O15" s="323" t="s">
        <v>159</v>
      </c>
      <c r="P15" s="323"/>
      <c r="Q15" s="323"/>
      <c r="R15" s="316"/>
      <c r="S15" s="317"/>
      <c r="T15" s="323" t="s">
        <v>160</v>
      </c>
      <c r="U15" s="323"/>
      <c r="V15" s="323" t="str">
        <f>_xlfn.CONCAT(E41," ",C41," ","+"," ",E42," ",C42," ","--&gt;"," ",E43," ",C43)</f>
        <v>1 CaO + 1 SiO2 --&gt; 1 CaSiO3</v>
      </c>
      <c r="W15" s="323"/>
      <c r="X15" s="323"/>
      <c r="Y15" s="323"/>
      <c r="Z15" s="323"/>
      <c r="AA15" s="323"/>
      <c r="AB15" s="323"/>
    </row>
    <row r="16" spans="1:28">
      <c r="L16" s="29" t="s">
        <v>323</v>
      </c>
      <c r="M16" s="33" t="s">
        <v>324</v>
      </c>
    </row>
    <row r="17" spans="1:28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23" t="s">
        <v>261</v>
      </c>
      <c r="P17" s="323"/>
      <c r="Q17" s="323"/>
      <c r="R17" s="323"/>
      <c r="S17" s="323"/>
      <c r="T17" s="323"/>
      <c r="U17" s="323"/>
      <c r="V17" s="323" t="s">
        <v>115</v>
      </c>
      <c r="W17" s="323"/>
      <c r="X17" s="323"/>
      <c r="Y17" s="323"/>
      <c r="Z17" s="323"/>
      <c r="AA17" s="323"/>
      <c r="AB17" s="323"/>
    </row>
    <row r="18" spans="1:28" ht="16.95" customHeight="1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23" t="s">
        <v>262</v>
      </c>
      <c r="P18" s="323"/>
      <c r="Q18" s="323"/>
      <c r="R18" s="323"/>
      <c r="S18" s="323"/>
      <c r="T18" s="323" t="s">
        <v>263</v>
      </c>
      <c r="U18" s="316"/>
      <c r="V18" s="334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34"/>
      <c r="X18" s="334"/>
      <c r="Y18" s="334"/>
      <c r="Z18" s="334"/>
      <c r="AA18" s="334"/>
      <c r="AB18" s="334"/>
    </row>
    <row r="19" spans="1:28" ht="16.05" customHeight="1">
      <c r="B19" s="335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34"/>
      <c r="W19" s="334"/>
      <c r="X19" s="334"/>
      <c r="Y19" s="334"/>
      <c r="Z19" s="334"/>
      <c r="AA19" s="334"/>
      <c r="AB19" s="334"/>
    </row>
    <row r="20" spans="1:28" ht="18" customHeight="1">
      <c r="A20" s="1"/>
      <c r="B20" s="336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6.95" customHeight="1">
      <c r="A21" s="1"/>
      <c r="B21" s="337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6.95" customHeight="1">
      <c r="B22" s="338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>
      <c r="B23" s="339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6.95" customHeight="1">
      <c r="B25" s="340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>
      <c r="B26" s="340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.05" customHeight="1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.05" customHeight="1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>
      <c r="B29" s="340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>
      <c r="B30" s="340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>
      <c r="B31" s="341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6.95" customHeight="1">
      <c r="B32" s="342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>
      <c r="M33" s="14" t="s">
        <v>5</v>
      </c>
      <c r="N33" s="14" t="s">
        <v>1</v>
      </c>
      <c r="O33" s="14" t="s">
        <v>1</v>
      </c>
    </row>
    <row r="34" spans="2:23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>
      <c r="B35" s="344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>
      <c r="B36" s="345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.05" customHeight="1">
      <c r="B37" s="340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6.95" customHeight="1">
      <c r="B38" s="335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>
      <c r="B39" s="335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.05" customHeight="1">
      <c r="B41" s="340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>
      <c r="B42" s="340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>
      <c r="B44" s="319" t="s">
        <v>18</v>
      </c>
      <c r="C44" s="319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.05" customHeight="1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>
      <c r="C47" s="329" t="s">
        <v>276</v>
      </c>
      <c r="D47" s="329"/>
      <c r="E47" s="329"/>
      <c r="F47" s="329"/>
    </row>
    <row r="48" spans="2:23">
      <c r="C48" s="346"/>
      <c r="D48" s="346"/>
      <c r="E48" s="346"/>
      <c r="F48" s="346"/>
      <c r="H48" s="323" t="s">
        <v>69</v>
      </c>
      <c r="I48" s="323"/>
      <c r="J48" s="323"/>
      <c r="K48" s="323"/>
      <c r="L48" s="323"/>
      <c r="M48" s="323"/>
    </row>
    <row r="49" spans="1:17" ht="18" customHeight="1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23" t="s">
        <v>73</v>
      </c>
      <c r="I49" s="323"/>
      <c r="J49" s="323"/>
      <c r="K49" s="20"/>
      <c r="L49" s="322" t="s">
        <v>281</v>
      </c>
      <c r="M49" s="322"/>
    </row>
    <row r="50" spans="1:17" ht="16.95" customHeight="1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43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43"/>
      <c r="J51" s="343"/>
      <c r="K51" s="343"/>
      <c r="L51" s="343"/>
      <c r="M51" s="343"/>
    </row>
    <row r="52" spans="1:17" ht="16.2" customHeight="1">
      <c r="C52" s="24"/>
      <c r="H52" s="343"/>
      <c r="I52" s="343"/>
      <c r="J52" s="343"/>
      <c r="K52" s="343"/>
      <c r="L52" s="343"/>
      <c r="M52" s="343"/>
    </row>
    <row r="53" spans="1:17" ht="16.2" customHeight="1"/>
    <row r="54" spans="1:17" ht="15.45" customHeight="1"/>
    <row r="55" spans="1:17" ht="15.45" customHeight="1">
      <c r="D55" s="66"/>
    </row>
    <row r="57" spans="1:17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6.95" customHeight="1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47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>
      <c r="A60" s="324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32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>
      <c r="A61" s="324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32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32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" customHeight="1">
      <c r="K63" s="19"/>
      <c r="L63" s="49"/>
      <c r="M63" s="49"/>
      <c r="N63" s="49"/>
      <c r="O63" s="49"/>
      <c r="P63" s="18"/>
      <c r="Q63" s="18"/>
    </row>
    <row r="64" spans="1:17" ht="18" customHeight="1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" customHeight="1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45" customHeight="1"/>
    <row r="67" spans="2:45" ht="19.2" customHeight="1"/>
    <row r="68" spans="2:45" ht="16.05" customHeight="1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>
      <c r="B69" s="329" t="s">
        <v>296</v>
      </c>
      <c r="C69" s="329"/>
      <c r="D69" s="329"/>
      <c r="E69" s="329"/>
      <c r="F69" s="329"/>
      <c r="G69" s="329"/>
      <c r="Y69" s="328" t="s">
        <v>514</v>
      </c>
      <c r="Z69" s="325"/>
      <c r="AA69" s="325"/>
      <c r="AB69" s="325"/>
      <c r="AC69" s="325"/>
      <c r="AD69" s="325"/>
      <c r="AE69" s="325"/>
      <c r="AF69" s="325"/>
    </row>
    <row r="70" spans="2:45">
      <c r="B70" s="330"/>
      <c r="C70" s="330"/>
      <c r="D70" s="330"/>
      <c r="E70" s="330"/>
      <c r="F70" s="330"/>
      <c r="G70" s="330"/>
      <c r="K70" s="14" t="s">
        <v>523</v>
      </c>
      <c r="Y70" s="328"/>
      <c r="Z70" s="325"/>
      <c r="AA70" s="325"/>
      <c r="AB70" s="325"/>
      <c r="AC70" s="325"/>
      <c r="AD70" s="325"/>
      <c r="AE70" s="325"/>
      <c r="AF70" s="325"/>
    </row>
    <row r="71" spans="2:45">
      <c r="E71" s="20"/>
      <c r="F71" s="20" t="s">
        <v>298</v>
      </c>
      <c r="G71" s="20" t="s">
        <v>298</v>
      </c>
      <c r="Y71" s="328"/>
      <c r="Z71" s="325"/>
      <c r="AA71" s="325"/>
      <c r="AB71" s="325"/>
      <c r="AC71" s="325"/>
      <c r="AD71" s="325"/>
      <c r="AE71" s="325"/>
      <c r="AF71" s="325"/>
    </row>
    <row r="72" spans="2:45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6.95" customHeight="1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6.95" customHeight="1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6.95" customHeight="1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.05" customHeight="1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>
      <c r="E78" s="20" t="s">
        <v>524</v>
      </c>
      <c r="F78" s="20">
        <v>1415</v>
      </c>
      <c r="G78" s="20">
        <f>(G74*F78)/F74</f>
        <v>23.982067525572877</v>
      </c>
      <c r="H78" s="318"/>
      <c r="I78" s="318"/>
      <c r="J78" s="318"/>
      <c r="K78" s="318"/>
      <c r="L78" s="318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6.95" customHeight="1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.05" customHeight="1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.05" customHeight="1">
      <c r="G81" s="1"/>
      <c r="O81" s="1"/>
      <c r="P81" s="89"/>
      <c r="Y81" s="53"/>
    </row>
    <row r="82" spans="1:39" ht="31.05" customHeight="1">
      <c r="G82" s="1"/>
      <c r="O82" s="27"/>
      <c r="P82" s="89"/>
      <c r="Q82" s="90" t="s">
        <v>603</v>
      </c>
      <c r="Y82" s="53"/>
      <c r="AG82" s="27"/>
      <c r="AL82" s="27"/>
    </row>
    <row r="83" spans="1:39" ht="16.05" customHeight="1">
      <c r="A83" t="s">
        <v>567</v>
      </c>
      <c r="G83" s="1"/>
      <c r="O83" s="27"/>
      <c r="P83" s="27"/>
      <c r="Y83" s="53"/>
    </row>
    <row r="84" spans="1:39" ht="16.05" customHeight="1">
      <c r="G84" s="1"/>
      <c r="Y84" s="53"/>
      <c r="AG84" s="1"/>
      <c r="AI84" s="24"/>
    </row>
    <row r="85" spans="1:39" ht="16.05" customHeight="1">
      <c r="G85" s="21"/>
      <c r="P85" s="1"/>
      <c r="Y85" s="53" t="s">
        <v>604</v>
      </c>
      <c r="AG85" s="24"/>
      <c r="AI85" s="24"/>
      <c r="AL85" s="24"/>
    </row>
    <row r="86" spans="1:39" ht="16.95" customHeight="1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.05" customHeight="1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6.95" customHeight="1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32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.05" customHeight="1">
      <c r="A89" s="321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32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.05" customHeight="1">
      <c r="A90" s="321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32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>
      <c r="A91" s="321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32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.05" customHeight="1">
      <c r="A92" s="321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SUM(H92:L92)</f>
        <v>17721.029348224434</v>
      </c>
      <c r="N92" s="73">
        <f>((MW_C)+(MW_H*mol_H_coke)+(MW_O*mol_O_coke)+(MW_N2/2 *mol_N_coke)+(MW_S*mol_S_coke))*M92</f>
        <v>217.63525920401193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.05" customHeight="1">
      <c r="A93" s="321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17.573545689492867</v>
      </c>
      <c r="I93" s="20">
        <f>mol_Coke/I92</f>
        <v>1.0706192082132631</v>
      </c>
      <c r="J93" s="20">
        <f>mol_Coke/J92</f>
        <v>199.25093819676914</v>
      </c>
      <c r="K93" s="20">
        <f>mol_Coke/K92</f>
        <v>1221.0453268589761</v>
      </c>
      <c r="L93" s="20">
        <f>mol_Coke/L92</f>
        <v>310.59681466890572</v>
      </c>
      <c r="X93" s="69"/>
      <c r="Y93" s="53"/>
      <c r="AG93" s="1"/>
      <c r="AM93" s="3" t="s">
        <v>605</v>
      </c>
    </row>
    <row r="94" spans="1:39" ht="16.05" customHeight="1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6.0922208137734024E-2</v>
      </c>
      <c r="I94" s="2">
        <v>1</v>
      </c>
      <c r="J94" s="2">
        <f>(J92*$I$93)/mol_Coke</f>
        <v>5.3732204119208661E-3</v>
      </c>
      <c r="K94" s="2">
        <f>(K92*$I$93)/mol_Coke</f>
        <v>8.7680545894830127E-4</v>
      </c>
      <c r="L94" s="2">
        <f>(L92*$I$93)/mol_Coke</f>
        <v>3.4469742046599429E-3</v>
      </c>
      <c r="X94" s="69"/>
      <c r="Y94" s="53"/>
      <c r="AG94" s="1"/>
    </row>
    <row r="95" spans="1:39" ht="16.95" customHeight="1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.05" customHeight="1">
      <c r="A98" s="324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6.95" customHeight="1">
      <c r="A99" s="324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.05" customHeight="1">
      <c r="A100" s="324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.05" customHeight="1">
      <c r="A101" s="324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31" t="s">
        <v>504</v>
      </c>
      <c r="I103" s="331"/>
      <c r="J103" s="331"/>
      <c r="K103" s="331"/>
      <c r="Y103" s="53">
        <v>0.7</v>
      </c>
      <c r="AG103" s="14">
        <v>0.3</v>
      </c>
    </row>
    <row r="104" spans="1:38" ht="16.95" customHeight="1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6.95" customHeight="1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26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21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26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21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6.95" customHeight="1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26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21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26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21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26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21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26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21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26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>
      <c r="A114" s="326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6.95" customHeight="1">
      <c r="A115" s="326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>
      <c r="A116" s="326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>
      <c r="A117" s="326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6.95" customHeight="1">
      <c r="B119" s="52"/>
      <c r="E119" s="14"/>
      <c r="H119" s="52"/>
      <c r="K119" s="14"/>
    </row>
    <row r="120" spans="1:31" ht="16.05" customHeight="1">
      <c r="D120" s="1"/>
      <c r="J120" s="1"/>
      <c r="O120" s="57"/>
    </row>
    <row r="121" spans="1:31" ht="16.05" customHeight="1">
      <c r="H121" s="24"/>
      <c r="I121" s="57"/>
      <c r="J121" s="57"/>
      <c r="K121" s="57"/>
    </row>
    <row r="122" spans="1:31" ht="16.05" customHeight="1">
      <c r="B122" s="24"/>
      <c r="I122" s="57"/>
      <c r="J122" s="57"/>
      <c r="K122" s="57"/>
    </row>
    <row r="123" spans="1:31" ht="16.05" customHeight="1">
      <c r="B123" s="24"/>
      <c r="H123" s="24"/>
      <c r="I123" s="57"/>
      <c r="J123" s="57"/>
      <c r="K123" s="57"/>
    </row>
    <row r="127" spans="1:31" ht="16.05" customHeight="1">
      <c r="D127" s="24"/>
      <c r="AE127" s="3"/>
    </row>
    <row r="136" spans="4:19">
      <c r="M136" s="3"/>
    </row>
    <row r="143" spans="4:19">
      <c r="D143" s="318" t="s">
        <v>557</v>
      </c>
      <c r="E143" s="318"/>
      <c r="F143" s="318"/>
      <c r="G143" s="318"/>
      <c r="H143" s="318"/>
      <c r="I143" s="318"/>
      <c r="J143" s="318"/>
      <c r="K143" s="318"/>
      <c r="L143" s="318"/>
      <c r="M143" s="318"/>
      <c r="N143" s="318"/>
      <c r="O143" s="318"/>
      <c r="P143" s="318"/>
      <c r="Q143" s="318"/>
      <c r="R143" s="318"/>
      <c r="S143" s="318"/>
    </row>
    <row r="155" spans="1:30">
      <c r="D155" s="14" t="s">
        <v>558</v>
      </c>
    </row>
    <row r="157" spans="1:30" ht="16.05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>
      <c r="C158" s="333" t="s">
        <v>506</v>
      </c>
      <c r="D158" s="333"/>
      <c r="E158" s="333"/>
      <c r="F158" s="333"/>
      <c r="G158" s="333"/>
    </row>
    <row r="159" spans="1:30">
      <c r="B159" s="52" t="s">
        <v>358</v>
      </c>
      <c r="C159" s="325"/>
      <c r="D159" s="325"/>
      <c r="E159" s="325"/>
      <c r="F159" s="325"/>
      <c r="G159" s="325"/>
    </row>
    <row r="160" spans="1:30">
      <c r="B160" s="14">
        <v>0.7</v>
      </c>
      <c r="I160" s="20" t="s">
        <v>264</v>
      </c>
    </row>
    <row r="161" spans="2:14" ht="18" customHeight="1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6.95" customHeight="1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>
      <c r="B169" s="52" t="s">
        <v>103</v>
      </c>
    </row>
    <row r="170" spans="2:14" ht="18" customHeight="1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>
      <c r="I176" s="33">
        <f>SUM(I171:I175)</f>
        <v>80821.094452051635</v>
      </c>
      <c r="J176" s="33">
        <f>SUM(J171:J175)</f>
        <v>80821.094452051635</v>
      </c>
    </row>
    <row r="178" spans="1:21" ht="16.05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>
      <c r="B180" s="325" t="s">
        <v>563</v>
      </c>
      <c r="C180" s="325"/>
      <c r="D180" s="325"/>
      <c r="E180" s="325"/>
      <c r="F180" s="325"/>
      <c r="G180" s="325"/>
    </row>
    <row r="181" spans="1:21">
      <c r="B181" s="325"/>
      <c r="C181" s="325"/>
      <c r="D181" s="325"/>
      <c r="E181" s="325"/>
      <c r="F181" s="325"/>
      <c r="G181" s="325"/>
    </row>
    <row r="182" spans="1:21">
      <c r="B182" s="325"/>
      <c r="C182" s="325"/>
      <c r="D182" s="325"/>
      <c r="E182" s="325"/>
      <c r="F182" s="325"/>
      <c r="G182" s="325"/>
    </row>
    <row r="185" spans="1:21">
      <c r="I185" s="20" t="s">
        <v>264</v>
      </c>
    </row>
    <row r="186" spans="1:21" ht="18" customHeight="1">
      <c r="B186" s="52"/>
      <c r="I186" s="5" t="s">
        <v>83</v>
      </c>
    </row>
    <row r="187" spans="1:21">
      <c r="I187" s="20">
        <f>C195+C200-(H2O_out_BF_from_coke+SO2_out_BF_from_coke+N2_out_BF_from_coke)</f>
        <v>0</v>
      </c>
    </row>
    <row r="188" spans="1:21" ht="16.95" customHeight="1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6.95" customHeight="1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>
      <c r="G197" s="14" t="s">
        <v>28</v>
      </c>
    </row>
    <row r="198" spans="1:101" ht="18" customHeight="1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18"/>
    </row>
    <row r="202" spans="1:101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18"/>
    </row>
    <row r="203" spans="1:101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15.53789527070624</v>
      </c>
      <c r="CJ203" s="318"/>
    </row>
    <row r="204" spans="1:101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18"/>
    </row>
    <row r="205" spans="1:101">
      <c r="CJ205" s="318"/>
    </row>
    <row r="206" spans="1:101" ht="16.05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18"/>
    </row>
    <row r="208" spans="1:101" ht="18" customHeight="1">
      <c r="B208" s="325" t="s">
        <v>392</v>
      </c>
      <c r="C208" s="325"/>
      <c r="D208" s="325"/>
      <c r="E208" s="325"/>
      <c r="G208" s="7" t="s">
        <v>66</v>
      </c>
      <c r="H208" s="7" t="s">
        <v>23</v>
      </c>
      <c r="J208" s="323" t="s">
        <v>69</v>
      </c>
      <c r="K208" s="323"/>
      <c r="L208" s="323"/>
      <c r="M208" s="323"/>
      <c r="N208" s="323"/>
      <c r="O208" s="323"/>
    </row>
    <row r="209" spans="1:88" ht="18" customHeight="1">
      <c r="B209" s="325"/>
      <c r="C209" s="325"/>
      <c r="D209" s="325"/>
      <c r="E209" s="325"/>
      <c r="G209" s="20">
        <v>3.76</v>
      </c>
      <c r="H209" s="20">
        <v>2</v>
      </c>
      <c r="J209" s="323" t="s">
        <v>394</v>
      </c>
      <c r="K209" s="323"/>
      <c r="L209" s="323"/>
      <c r="M209" s="20"/>
      <c r="N209" s="322" t="s">
        <v>74</v>
      </c>
      <c r="O209" s="322"/>
    </row>
    <row r="210" spans="1:88">
      <c r="B210" s="325"/>
      <c r="C210" s="325"/>
      <c r="D210" s="325"/>
      <c r="E210" s="325"/>
      <c r="J210" s="323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3"/>
      <c r="L210" s="323"/>
      <c r="M210" s="323"/>
      <c r="N210" s="323"/>
      <c r="O210" s="323"/>
      <c r="CD210" s="14" t="s">
        <v>133</v>
      </c>
      <c r="CE210" s="33" t="e">
        <f>mol_S_coal*#REF!</f>
        <v>#REF!</v>
      </c>
      <c r="CF210" s="33">
        <f>(mol_S_coke*mol_C_to_BF)+CO218</f>
        <v>61.083931043351427</v>
      </c>
    </row>
    <row r="211" spans="1:88">
      <c r="B211" s="318" t="s">
        <v>507</v>
      </c>
      <c r="C211" s="318"/>
      <c r="D211" s="318"/>
      <c r="E211" s="318"/>
    </row>
    <row r="213" spans="1:88" ht="16.95" customHeight="1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18"/>
      <c r="BL216" s="318"/>
      <c r="BM216" s="318"/>
      <c r="BN216" s="318"/>
    </row>
    <row r="217" spans="1:88" ht="18" customHeight="1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18"/>
      <c r="BL217" s="318"/>
      <c r="BM217" s="318"/>
      <c r="BN217" s="318"/>
      <c r="CJ217" s="318"/>
    </row>
    <row r="218" spans="1:88" ht="22.05" customHeight="1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18"/>
      <c r="BQ218" s="14" t="e">
        <f>BS218*BT218</f>
        <v>#DIV/0!</v>
      </c>
      <c r="BT218" s="14" t="e">
        <f>O2_Naturalgas_molcoeff*BT230</f>
        <v>#DIV/0!</v>
      </c>
      <c r="CJ218" s="318"/>
    </row>
    <row r="219" spans="1:88">
      <c r="BO219" s="318"/>
      <c r="BQ219" s="14">
        <f>N2_for_coke_oven_comb</f>
        <v>0</v>
      </c>
      <c r="CJ219" s="318"/>
    </row>
    <row r="220" spans="1:88">
      <c r="CJ220" s="318"/>
    </row>
    <row r="221" spans="1:88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18"/>
    </row>
    <row r="222" spans="1:88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>
      <c r="A223" s="321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>
      <c r="A224" s="321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>
      <c r="A225" s="321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>
      <c r="C227" s="14" t="s">
        <v>1</v>
      </c>
      <c r="N227" s="92" t="s">
        <v>603</v>
      </c>
    </row>
    <row r="228" spans="1:94">
      <c r="C228" s="14" t="s">
        <v>10</v>
      </c>
      <c r="BK228" s="318" t="s">
        <v>376</v>
      </c>
      <c r="BL228" s="318"/>
      <c r="BM228" s="318"/>
      <c r="BN228" s="318"/>
    </row>
    <row r="229" spans="1:94">
      <c r="A229" s="321" t="s">
        <v>608</v>
      </c>
      <c r="B229" s="20" t="s">
        <v>135</v>
      </c>
      <c r="C229" s="14">
        <f>C223*MW_H</f>
        <v>7.0992995338357623E-2</v>
      </c>
      <c r="BK229" s="318"/>
      <c r="BL229" s="318"/>
      <c r="BM229" s="318"/>
      <c r="BN229" s="318"/>
    </row>
    <row r="230" spans="1:94">
      <c r="A230" s="321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>
      <c r="A231" s="327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>
      <c r="B233" s="325" t="s">
        <v>399</v>
      </c>
      <c r="C233" s="325"/>
      <c r="D233" s="325"/>
      <c r="E233" s="325"/>
      <c r="J233" s="323" t="s">
        <v>69</v>
      </c>
      <c r="K233" s="323"/>
      <c r="L233" s="323"/>
      <c r="M233" s="323"/>
      <c r="N233" s="323"/>
      <c r="O233" s="323"/>
    </row>
    <row r="234" spans="1:94" ht="22.05" customHeight="1">
      <c r="B234" s="325"/>
      <c r="C234" s="325"/>
      <c r="D234" s="325"/>
      <c r="E234" s="325"/>
      <c r="J234" s="323" t="s">
        <v>401</v>
      </c>
      <c r="K234" s="323"/>
      <c r="L234" s="323"/>
      <c r="M234" s="20"/>
      <c r="N234" s="322" t="s">
        <v>74</v>
      </c>
      <c r="O234" s="322"/>
      <c r="CJ234" s="318"/>
      <c r="CL234" s="14" t="e">
        <f>CO234*CN234</f>
        <v>#DIV/0!</v>
      </c>
      <c r="CO234" s="14" t="e">
        <f>H2O_Naturalgas_molcoeff*BT230</f>
        <v>#DIV/0!</v>
      </c>
    </row>
    <row r="235" spans="1:94">
      <c r="B235" s="325"/>
      <c r="C235" s="325"/>
      <c r="D235" s="325"/>
      <c r="E235" s="325"/>
      <c r="J235" s="323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3"/>
      <c r="L235" s="323"/>
      <c r="M235" s="323"/>
      <c r="N235" s="323"/>
      <c r="O235" s="323"/>
      <c r="CJ235" s="318"/>
      <c r="CL235" s="14" t="e">
        <f>CN235*CO235</f>
        <v>#DIV/0!</v>
      </c>
      <c r="CO235" s="14" t="e">
        <f>BT230</f>
        <v>#DIV/0!</v>
      </c>
    </row>
    <row r="236" spans="1:94" ht="19.95" customHeight="1">
      <c r="B236" s="318" t="s">
        <v>507</v>
      </c>
      <c r="C236" s="318"/>
      <c r="D236" s="318"/>
      <c r="E236" s="318"/>
      <c r="CJ236" s="318"/>
      <c r="CL236" s="14">
        <f>CO236*CN236</f>
        <v>0</v>
      </c>
    </row>
    <row r="237" spans="1:94">
      <c r="CP237" s="14" t="e">
        <f t="array" ref="CP237">SUM(CL234:CL236*CP234:CP236) / CL237</f>
        <v>#DIV/0!</v>
      </c>
    </row>
    <row r="238" spans="1:94" ht="16.95" customHeight="1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.05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>
      <c r="B250" s="325" t="s">
        <v>404</v>
      </c>
      <c r="C250" s="325"/>
      <c r="D250" s="325"/>
      <c r="E250" s="325"/>
      <c r="J250" s="323" t="s">
        <v>69</v>
      </c>
      <c r="K250" s="323"/>
      <c r="L250" s="323"/>
      <c r="M250" s="323"/>
      <c r="N250" s="323"/>
      <c r="O250" s="323"/>
      <c r="CJ250" s="318"/>
    </row>
    <row r="251" spans="1:88" ht="18" customHeight="1">
      <c r="B251" s="325"/>
      <c r="C251" s="325"/>
      <c r="D251" s="325"/>
      <c r="E251" s="325"/>
      <c r="J251" s="323" t="s">
        <v>406</v>
      </c>
      <c r="K251" s="323"/>
      <c r="L251" s="323"/>
      <c r="M251" s="20"/>
      <c r="N251" s="322" t="s">
        <v>74</v>
      </c>
      <c r="O251" s="322"/>
      <c r="CJ251" s="318"/>
    </row>
    <row r="252" spans="1:88">
      <c r="B252" s="325"/>
      <c r="C252" s="325"/>
      <c r="D252" s="325"/>
      <c r="E252" s="325"/>
      <c r="J252" s="323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3"/>
      <c r="L252" s="323"/>
      <c r="M252" s="323"/>
      <c r="N252" s="323"/>
      <c r="O252" s="323"/>
      <c r="CJ252" s="318"/>
    </row>
    <row r="253" spans="1:88">
      <c r="B253" s="318" t="s">
        <v>507</v>
      </c>
      <c r="C253" s="318"/>
      <c r="D253" s="318"/>
      <c r="E253" s="318"/>
      <c r="CJ253" s="318"/>
    </row>
    <row r="254" spans="1:88">
      <c r="CJ254" s="318"/>
    </row>
    <row r="255" spans="1:88" ht="16.95" customHeight="1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18"/>
    </row>
    <row r="256" spans="1:88" ht="18" customHeight="1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18"/>
    </row>
    <row r="257" spans="1:88" ht="18" customHeight="1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18"/>
    </row>
    <row r="258" spans="1:88" ht="18" customHeight="1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18"/>
    </row>
    <row r="259" spans="1:88" ht="18" customHeight="1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18"/>
    </row>
    <row r="260" spans="1:88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18"/>
    </row>
    <row r="262" spans="1:88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.05" customHeight="1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>
      <c r="B266" s="325" t="s">
        <v>403</v>
      </c>
      <c r="C266" s="325"/>
      <c r="D266" s="325"/>
      <c r="E266" s="325"/>
      <c r="J266" s="323" t="s">
        <v>69</v>
      </c>
      <c r="K266" s="323"/>
      <c r="L266" s="323"/>
      <c r="M266" s="323"/>
      <c r="N266" s="323"/>
      <c r="O266" s="323"/>
    </row>
    <row r="267" spans="1:88" ht="18" customHeight="1">
      <c r="B267" s="325"/>
      <c r="C267" s="325"/>
      <c r="D267" s="325"/>
      <c r="E267" s="325"/>
      <c r="J267" s="323" t="s">
        <v>73</v>
      </c>
      <c r="K267" s="323"/>
      <c r="L267" s="323"/>
      <c r="M267" s="20"/>
      <c r="N267" s="322" t="s">
        <v>74</v>
      </c>
      <c r="O267" s="322"/>
    </row>
    <row r="268" spans="1:88">
      <c r="B268" s="325"/>
      <c r="C268" s="325"/>
      <c r="D268" s="325"/>
      <c r="E268" s="325"/>
      <c r="J268" s="323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3"/>
      <c r="L268" s="323"/>
      <c r="M268" s="323"/>
      <c r="N268" s="323"/>
      <c r="O268" s="323"/>
    </row>
    <row r="269" spans="1:88">
      <c r="B269" s="318" t="s">
        <v>507</v>
      </c>
      <c r="C269" s="318"/>
      <c r="D269" s="318"/>
      <c r="E269" s="318"/>
    </row>
    <row r="271" spans="1:88" ht="16.95" customHeight="1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6.95" customHeight="1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>
      <c r="A283" s="321" t="s">
        <v>609</v>
      </c>
      <c r="B283" s="20" t="s">
        <v>480</v>
      </c>
      <c r="C283" s="14">
        <f>C280/C281</f>
        <v>0.33567230039130802</v>
      </c>
    </row>
    <row r="284" spans="1:13">
      <c r="A284" s="321"/>
      <c r="B284" s="62" t="s">
        <v>481</v>
      </c>
      <c r="C284" s="14">
        <f>(1-C283)</f>
        <v>0.66432769960869198</v>
      </c>
    </row>
    <row r="285" spans="1:13">
      <c r="A285" s="93"/>
      <c r="B285" s="18"/>
    </row>
  </sheetData>
  <mergeCells count="91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4:I28"/>
  <sheetViews>
    <sheetView zoomScale="171" workbookViewId="0">
      <selection activeCell="F19" sqref="F19"/>
    </sheetView>
  </sheetViews>
  <sheetFormatPr defaultColWidth="11.5546875" defaultRowHeight="14.4"/>
  <cols>
    <col min="3" max="4" width="11.109375" customWidth="1"/>
    <col min="5" max="5" width="12.109375" customWidth="1"/>
    <col min="6" max="7" width="12.77734375" customWidth="1"/>
    <col min="8" max="9" width="14" customWidth="1"/>
  </cols>
  <sheetData>
    <row r="4" spans="4:9" ht="16.05" customHeight="1"/>
    <row r="5" spans="4:9" ht="19.05" customHeight="1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19.95" customHeight="1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.05" customHeight="1">
      <c r="D7" s="348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19.95" customHeight="1">
      <c r="D8" s="349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.05" customHeight="1">
      <c r="D9" s="350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.05" customHeight="1">
      <c r="D10" s="351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.05" customHeight="1">
      <c r="D11" s="351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19.95" customHeight="1">
      <c r="D12" s="352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.05" customHeight="1">
      <c r="D13" s="353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.05" customHeight="1">
      <c r="D14" s="354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19.95" customHeight="1">
      <c r="D15" s="355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.05" customHeight="1">
      <c r="D16" s="356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.05" customHeight="1">
      <c r="D17" s="356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19.95" customHeight="1">
      <c r="D18" s="357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>
      <c r="F19">
        <f>SUM(F7:F18)</f>
        <v>15696824.560040887</v>
      </c>
    </row>
    <row r="23" spans="4:9">
      <c r="E23" s="134" t="s">
        <v>465</v>
      </c>
      <c r="F23" s="14" t="s">
        <v>464</v>
      </c>
      <c r="G23" s="14" t="s">
        <v>492</v>
      </c>
    </row>
    <row r="24" spans="4:9">
      <c r="E24" s="134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>
      <c r="E25" s="134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>
      <c r="E26" s="134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>
      <c r="E27" s="134" t="s">
        <v>463</v>
      </c>
      <c r="F27">
        <f>Ore_to_PI!V151</f>
        <v>24.076233417548465</v>
      </c>
      <c r="G27">
        <f t="shared" si="2"/>
        <v>2.4076233417548466E-8</v>
      </c>
    </row>
    <row r="28" spans="4:9">
      <c r="E28" s="134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CC238"/>
  <sheetViews>
    <sheetView topLeftCell="A108" zoomScale="34" zoomScaleNormal="20" workbookViewId="0">
      <selection activeCell="BP125" sqref="BP125"/>
    </sheetView>
  </sheetViews>
  <sheetFormatPr defaultColWidth="11.5546875" defaultRowHeight="14.4"/>
  <cols>
    <col min="3" max="3" width="11" customWidth="1"/>
    <col min="5" max="5" width="17" customWidth="1"/>
    <col min="6" max="6" width="13" customWidth="1"/>
    <col min="7" max="7" width="11.109375" customWidth="1"/>
    <col min="8" max="8" width="13" customWidth="1"/>
    <col min="9" max="9" width="11.109375" customWidth="1"/>
    <col min="10" max="10" width="13" customWidth="1"/>
    <col min="11" max="11" width="11.109375" customWidth="1"/>
    <col min="12" max="14" width="13" customWidth="1"/>
    <col min="15" max="29" width="11.109375" customWidth="1"/>
    <col min="30" max="30" width="13" customWidth="1"/>
    <col min="31" max="31" width="11.7773437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77734375" customWidth="1"/>
    <col min="68" max="69" width="13" customWidth="1"/>
    <col min="70" max="81" width="11" customWidth="1"/>
  </cols>
  <sheetData>
    <row r="1" spans="2:81" ht="112.05" customHeight="1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>
      <c r="B2" s="134" t="s">
        <v>333</v>
      </c>
      <c r="C2" s="249">
        <v>1</v>
      </c>
      <c r="AT2" s="134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4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>
      <c r="B3" s="134" t="s">
        <v>335</v>
      </c>
      <c r="C3" s="249">
        <v>1</v>
      </c>
      <c r="AT3" s="134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4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>
      <c r="B4" s="134" t="s">
        <v>336</v>
      </c>
      <c r="C4" s="249">
        <v>1</v>
      </c>
      <c r="AT4" s="134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4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>
      <c r="B5" s="134" t="s">
        <v>355</v>
      </c>
      <c r="C5" s="249">
        <v>1</v>
      </c>
      <c r="AT5" s="134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4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>
      <c r="B6" s="134" t="s">
        <v>377</v>
      </c>
      <c r="C6" s="249">
        <v>1</v>
      </c>
      <c r="AM6" s="134"/>
      <c r="AT6" s="134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4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>
      <c r="B7" s="134" t="s">
        <v>466</v>
      </c>
      <c r="C7" s="249">
        <v>1</v>
      </c>
      <c r="AM7" s="134"/>
      <c r="AT7" s="134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4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>
      <c r="B8" s="134" t="s">
        <v>467</v>
      </c>
      <c r="C8" s="249">
        <v>1</v>
      </c>
      <c r="AM8" s="134"/>
      <c r="AT8" s="134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4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>
      <c r="B9" s="134" t="s">
        <v>411</v>
      </c>
      <c r="C9" s="249">
        <v>1</v>
      </c>
      <c r="AM9" s="134"/>
      <c r="AT9" s="134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4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>
      <c r="B10" s="134" t="s">
        <v>459</v>
      </c>
      <c r="C10" s="249">
        <v>1</v>
      </c>
      <c r="AM10" s="134"/>
      <c r="AT10" s="134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4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.05" customHeight="1">
      <c r="B11" s="232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>
      <c r="B12" s="134" t="s">
        <v>409</v>
      </c>
      <c r="C12" s="249">
        <v>1</v>
      </c>
      <c r="AT12" s="134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4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.05" customHeight="1">
      <c r="B13" s="232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>
      <c r="B14" s="134" t="s">
        <v>437</v>
      </c>
      <c r="C14" s="249">
        <v>1</v>
      </c>
      <c r="AT14" s="134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4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>
      <c r="B15" s="233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>
      <c r="B16" s="134" t="s">
        <v>416</v>
      </c>
      <c r="C16" s="249">
        <v>1</v>
      </c>
      <c r="AT16" s="134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4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.05" customHeight="1">
      <c r="B17" s="232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.05" customHeight="1">
      <c r="B18" s="232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.05" customHeight="1">
      <c r="B19" s="232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.05" customHeight="1">
      <c r="B20" s="232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>
      <c r="B21" s="233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>
      <c r="B22" s="233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>
      <c r="B23" s="233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>
      <c r="B24" s="233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>
      <c r="B25" s="233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>
      <c r="B26" s="233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>
      <c r="B27" s="233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.05" customHeight="1">
      <c r="B28" s="247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.05" customHeight="1">
      <c r="B29" s="247" t="s">
        <v>552</v>
      </c>
      <c r="C29" s="249">
        <v>1</v>
      </c>
      <c r="AT29" s="247" t="s">
        <v>552</v>
      </c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G29" s="249"/>
      <c r="BH29" s="249"/>
      <c r="BI29" s="249"/>
      <c r="BN29" s="247" t="s">
        <v>552</v>
      </c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  <c r="BZ29" s="249"/>
      <c r="CA29" s="249"/>
      <c r="CB29" s="249"/>
      <c r="CC29" s="249"/>
    </row>
    <row r="30" spans="2:81">
      <c r="B30" s="233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>
      <c r="B31" s="134" t="s">
        <v>423</v>
      </c>
      <c r="C31" s="249">
        <v>1</v>
      </c>
      <c r="AT31" s="134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4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>
      <c r="B32" s="233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>
      <c r="B33" s="233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>
      <c r="B34" s="233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>
      <c r="B35" s="233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>
      <c r="B36" s="233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>
      <c r="B37" s="233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>
      <c r="C38" s="52" t="s">
        <v>473</v>
      </c>
      <c r="AT38" s="233"/>
      <c r="AU38" s="358" t="s">
        <v>470</v>
      </c>
      <c r="AV38" s="358"/>
      <c r="AW38" s="358"/>
      <c r="AX38" s="358"/>
      <c r="AY38" s="358"/>
      <c r="AZ38" s="358"/>
      <c r="BA38" s="358"/>
      <c r="BB38" s="358"/>
      <c r="BC38" s="358"/>
      <c r="BD38" s="358"/>
      <c r="BE38" s="358"/>
      <c r="BF38" s="358"/>
      <c r="BG38" s="358"/>
      <c r="BH38" s="358"/>
      <c r="BI38" s="358"/>
      <c r="BN38" s="233"/>
      <c r="BO38" s="358" t="s">
        <v>471</v>
      </c>
      <c r="BP38" s="358"/>
      <c r="BQ38" s="358"/>
      <c r="BR38" s="358"/>
      <c r="BS38" s="358"/>
      <c r="BT38" s="358"/>
      <c r="BU38" s="358"/>
      <c r="BV38" s="358"/>
      <c r="BW38" s="358"/>
      <c r="BX38" s="358"/>
      <c r="BY38" s="358"/>
      <c r="BZ38" s="358"/>
      <c r="CA38" s="358"/>
      <c r="CB38" s="358"/>
      <c r="CC38" s="358"/>
    </row>
    <row r="39" spans="2:81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.05" customHeight="1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>
      <c r="AT42" s="134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>
      <c r="AT43" s="134" t="s">
        <v>335</v>
      </c>
      <c r="AU43" s="249">
        <f t="shared" ref="AU43:AU68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>
      <c r="AT44" s="134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>
      <c r="AT45" s="134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>
      <c r="AT46" s="134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>
      <c r="AT47" s="134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>
      <c r="AT48" s="134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>
      <c r="AT49" s="134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>
      <c r="AT50" s="134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.05" customHeight="1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>
      <c r="AT52" s="134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.05" customHeight="1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>
      <c r="AT54" s="134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>
      <c r="AT56" s="134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.05" customHeight="1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.05" customHeight="1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.05" customHeight="1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.05" customHeight="1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.05" customHeight="1">
      <c r="AT68" s="247" t="s">
        <v>422</v>
      </c>
      <c r="AU68" s="249">
        <f t="shared" si="1"/>
        <v>0</v>
      </c>
      <c r="AV68" s="249">
        <f t="shared" ref="AV68:BI68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.05" customHeight="1">
      <c r="AT69" s="247" t="s">
        <v>552</v>
      </c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  <c r="BG69" s="249"/>
      <c r="BH69" s="249"/>
      <c r="BI69" s="249"/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>
      <c r="AT71" s="134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6682782.3361421349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>
      <c r="AT78" s="233"/>
      <c r="AU78" s="358" t="s">
        <v>472</v>
      </c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.05" customHeight="1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>
      <c r="AJ87" s="134"/>
      <c r="AK87" s="134"/>
      <c r="AT87" s="134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4" t="s">
        <v>333</v>
      </c>
      <c r="BO87" s="240"/>
      <c r="BP87" s="240"/>
      <c r="BQ87" s="246">
        <f>SUM(BO87:BP87)</f>
        <v>0</v>
      </c>
    </row>
    <row r="88" spans="36:81">
      <c r="AJ88" s="134"/>
      <c r="AK88" s="134"/>
      <c r="AT88" s="134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4" t="s">
        <v>335</v>
      </c>
      <c r="BO88" s="240"/>
      <c r="BP88" s="240"/>
      <c r="BQ88" s="246">
        <f>SUM(BO88:BP88)</f>
        <v>0</v>
      </c>
    </row>
    <row r="89" spans="36:81">
      <c r="AJ89" s="134"/>
      <c r="AK89" s="134"/>
      <c r="AT89" s="134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4" t="s">
        <v>336</v>
      </c>
      <c r="BO89" s="240"/>
      <c r="BP89" s="240"/>
      <c r="BQ89" s="246">
        <f>SUM(BO89:BP89)</f>
        <v>0</v>
      </c>
    </row>
    <row r="90" spans="36:81">
      <c r="AJ90" s="134"/>
      <c r="AK90" s="134"/>
      <c r="AT90" s="134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4" t="s">
        <v>355</v>
      </c>
      <c r="BO90" s="240"/>
      <c r="BP90" s="240"/>
      <c r="BQ90" s="246">
        <f t="shared" ref="BQ90:BQ94" si="48">SUM(BO90:BP90)</f>
        <v>0</v>
      </c>
    </row>
    <row r="91" spans="36:81">
      <c r="AJ91" s="134"/>
      <c r="AK91" s="134"/>
      <c r="AM91" s="134"/>
      <c r="AT91" s="134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4" t="s">
        <v>377</v>
      </c>
      <c r="BO91" s="240"/>
      <c r="BP91" s="240"/>
      <c r="BQ91" s="246">
        <f t="shared" si="48"/>
        <v>0</v>
      </c>
    </row>
    <row r="92" spans="36:81">
      <c r="AJ92" s="134"/>
      <c r="AK92" s="134"/>
      <c r="AM92" s="134"/>
      <c r="AT92" s="134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4" t="s">
        <v>466</v>
      </c>
      <c r="BO92" s="240"/>
      <c r="BP92" s="240"/>
      <c r="BQ92" s="246">
        <f t="shared" si="48"/>
        <v>0</v>
      </c>
    </row>
    <row r="93" spans="36:81">
      <c r="AJ93" s="134"/>
      <c r="AK93" s="134"/>
      <c r="AM93" s="134"/>
      <c r="AT93" s="134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4" t="s">
        <v>467</v>
      </c>
      <c r="BO93" s="240"/>
      <c r="BP93" s="240"/>
      <c r="BQ93" s="246">
        <f t="shared" si="48"/>
        <v>0</v>
      </c>
    </row>
    <row r="94" spans="36:81">
      <c r="AJ94" s="134"/>
      <c r="AK94" s="134"/>
      <c r="AM94" s="134"/>
      <c r="AT94" s="134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4" t="s">
        <v>411</v>
      </c>
      <c r="BO94" s="240"/>
      <c r="BP94" s="240"/>
      <c r="BQ94" s="246">
        <f t="shared" si="48"/>
        <v>0</v>
      </c>
    </row>
    <row r="95" spans="36:81">
      <c r="AJ95" s="134"/>
      <c r="AK95" s="134"/>
      <c r="AM95" s="134"/>
      <c r="AT95" s="134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4" t="s">
        <v>459</v>
      </c>
      <c r="BO95" s="240"/>
      <c r="BP95" s="240"/>
      <c r="BQ95" s="246">
        <f t="shared" ref="BQ95:BQ101" si="49">SUM(BO95:BP95)</f>
        <v>0</v>
      </c>
    </row>
    <row r="96" spans="36:81" ht="16.05" customHeight="1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.05" customHeight="1">
      <c r="AJ97" s="232"/>
      <c r="AK97" s="232"/>
      <c r="AT97" s="134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4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.05" customHeight="1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>
      <c r="AJ99" s="233"/>
      <c r="AK99" s="233"/>
      <c r="AT99" s="134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4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>
      <c r="AJ101" s="233"/>
      <c r="AK101" s="233"/>
      <c r="AT101" s="134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4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.05" customHeight="1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.05" customHeight="1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.05" customHeight="1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.05" customHeight="1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.05" customHeight="1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.05" customHeight="1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>
      <c r="AJ116" s="233"/>
      <c r="AK116" s="233"/>
      <c r="AT116" s="134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4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6682782.3361421349</v>
      </c>
      <c r="BJ119" s="246">
        <f t="shared" si="47"/>
        <v>6682782.3361421349</v>
      </c>
      <c r="BN119" s="233" t="s">
        <v>445</v>
      </c>
      <c r="BO119" s="240"/>
      <c r="BP119" s="240"/>
      <c r="BQ119" s="246">
        <f t="shared" si="50"/>
        <v>0</v>
      </c>
    </row>
    <row r="120" spans="5:69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>
      <c r="AJ123" s="233"/>
      <c r="AK123" s="233"/>
      <c r="AT123" s="233"/>
      <c r="AU123" s="358" t="s">
        <v>328</v>
      </c>
      <c r="AV123" s="358"/>
      <c r="AW123" s="358"/>
      <c r="AX123" s="358"/>
      <c r="AY123" s="358"/>
      <c r="AZ123" s="358"/>
      <c r="BA123" s="358"/>
      <c r="BB123" s="358"/>
      <c r="BC123" s="358"/>
      <c r="BD123" s="358"/>
      <c r="BE123" s="358"/>
      <c r="BF123" s="358"/>
      <c r="BG123" s="358"/>
      <c r="BH123" s="358"/>
      <c r="BI123" s="358"/>
      <c r="BJ123" s="52" t="s">
        <v>369</v>
      </c>
      <c r="BO123" s="358" t="s">
        <v>330</v>
      </c>
      <c r="BP123" s="358"/>
      <c r="BQ123" s="52" t="s">
        <v>381</v>
      </c>
    </row>
    <row r="124" spans="5:69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12202453.882342203</v>
      </c>
      <c r="BO124" s="52"/>
      <c r="BP124" s="52"/>
    </row>
    <row r="125" spans="5:69" ht="13.05" customHeight="1">
      <c r="F125" s="359"/>
      <c r="G125" s="359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233"/>
      <c r="AK125" s="233"/>
      <c r="AL125" s="138"/>
      <c r="AM125" s="138"/>
      <c r="AN125" s="138"/>
      <c r="AO125" s="138"/>
      <c r="AP125" s="138"/>
      <c r="AQ125" s="138"/>
      <c r="AR125" s="138"/>
      <c r="AU125" s="358" t="s">
        <v>368</v>
      </c>
      <c r="AV125" s="358"/>
      <c r="AW125" s="358"/>
      <c r="AX125" s="358"/>
      <c r="AY125" s="358"/>
      <c r="AZ125" s="358"/>
      <c r="BA125" s="358"/>
      <c r="BB125" s="358"/>
      <c r="BC125" s="358"/>
      <c r="BD125" s="358"/>
      <c r="BE125" s="358"/>
      <c r="BF125" s="358"/>
      <c r="BG125" s="358"/>
      <c r="BH125" s="358"/>
      <c r="BI125" s="358"/>
      <c r="BO125" s="52"/>
      <c r="BP125" s="52"/>
    </row>
    <row r="126" spans="5:69" ht="235.95" customHeight="1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>
      <c r="E127" s="134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>
      <c r="E128" s="134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>
      <c r="E129" s="134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>
      <c r="E130" s="134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>
      <c r="E131" s="134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>
      <c r="E132" s="134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>
      <c r="E133" s="134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>
      <c r="E134" s="134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>
      <c r="E135" s="134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>
      <c r="E136" s="134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>
      <c r="E137" s="134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>
      <c r="E138" s="134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>
      <c r="E139" s="134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>
      <c r="E140" s="134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6682782.3361421349</v>
      </c>
      <c r="AM140" s="237"/>
      <c r="AN140" s="237"/>
      <c r="AO140" s="237"/>
      <c r="AP140" s="246">
        <f t="shared" si="52"/>
        <v>6682782.3361421349</v>
      </c>
    </row>
    <row r="141" spans="5:68">
      <c r="E141" s="134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>
      <c r="E142" s="134"/>
      <c r="F142" s="358" t="s">
        <v>329</v>
      </c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58"/>
      <c r="AB142" s="358"/>
      <c r="AC142" s="358"/>
      <c r="AD142" s="358"/>
      <c r="AE142" s="358"/>
      <c r="AF142" s="358"/>
      <c r="AG142" s="358"/>
      <c r="AH142" s="358"/>
      <c r="AI142" s="358"/>
      <c r="AJ142" s="358"/>
      <c r="AK142" s="358"/>
      <c r="AL142" s="358"/>
      <c r="AM142" s="358"/>
      <c r="AN142" s="358"/>
      <c r="AO142" s="358"/>
      <c r="AP142" s="52" t="s">
        <v>365</v>
      </c>
      <c r="AQ142" s="52"/>
    </row>
    <row r="143" spans="5:68">
      <c r="E143" s="134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6682782.3361421349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>
      <c r="E144" s="134"/>
      <c r="F144" s="358" t="s">
        <v>366</v>
      </c>
      <c r="G144" s="358"/>
      <c r="H144" s="358"/>
      <c r="I144" s="358"/>
      <c r="J144" s="358"/>
      <c r="K144" s="358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  <c r="AA144" s="358"/>
      <c r="AB144" s="358"/>
      <c r="AC144" s="358"/>
      <c r="AD144" s="358"/>
      <c r="AE144" s="358"/>
      <c r="AF144" s="358"/>
      <c r="AG144" s="358"/>
      <c r="AH144" s="358"/>
      <c r="AI144" s="358"/>
      <c r="AJ144" s="358"/>
      <c r="AK144" s="358"/>
      <c r="AL144" s="358"/>
      <c r="AM144" s="358"/>
      <c r="AN144" s="358"/>
      <c r="AO144" s="358"/>
    </row>
    <row r="145" spans="5:43">
      <c r="E145" s="134"/>
    </row>
    <row r="146" spans="5:43">
      <c r="E146" s="134"/>
    </row>
    <row r="147" spans="5:43">
      <c r="E147" s="134"/>
    </row>
    <row r="148" spans="5:43">
      <c r="E148" s="134"/>
    </row>
    <row r="149" spans="5:43">
      <c r="E149" s="134"/>
    </row>
    <row r="150" spans="5:43">
      <c r="E150" s="134"/>
    </row>
    <row r="151" spans="5:43">
      <c r="E151" s="134"/>
    </row>
    <row r="152" spans="5:43">
      <c r="E152" s="134"/>
    </row>
    <row r="153" spans="5:43">
      <c r="E153" s="134"/>
    </row>
    <row r="154" spans="5:43">
      <c r="E154" s="134"/>
    </row>
    <row r="155" spans="5:43" ht="235.95" customHeight="1">
      <c r="E155" s="134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>
      <c r="E156" s="134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.05" customHeight="1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>
      <c r="E159" s="134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>
      <c r="E160" s="134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>
      <c r="E161" s="134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>
      <c r="E162" s="134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>
      <c r="E163" s="134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>
      <c r="E164" s="134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>
      <c r="F165" s="358" t="s">
        <v>56</v>
      </c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  <c r="AA165" s="358"/>
      <c r="AB165" s="358"/>
      <c r="AC165" s="358"/>
      <c r="AD165" s="358"/>
      <c r="AE165" s="358"/>
      <c r="AF165" s="358"/>
      <c r="AG165" s="358"/>
      <c r="AH165" s="358"/>
      <c r="AI165" s="358"/>
      <c r="AJ165" s="358"/>
      <c r="AK165" s="358"/>
      <c r="AL165" s="358"/>
      <c r="AM165" s="358"/>
      <c r="AN165" s="358"/>
      <c r="AO165" s="358"/>
      <c r="AP165" s="52"/>
      <c r="AQ165" s="52"/>
    </row>
    <row r="166" spans="5:47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>
      <c r="F167" s="358" t="s">
        <v>367</v>
      </c>
      <c r="G167" s="358"/>
      <c r="H167" s="358"/>
      <c r="I167" s="358"/>
      <c r="J167" s="358"/>
      <c r="K167" s="358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  <c r="AA167" s="358"/>
      <c r="AB167" s="358"/>
      <c r="AC167" s="358"/>
      <c r="AD167" s="358"/>
      <c r="AE167" s="358"/>
      <c r="AF167" s="358"/>
      <c r="AG167" s="358"/>
      <c r="AH167" s="358"/>
      <c r="AI167" s="358"/>
      <c r="AJ167" s="358"/>
      <c r="AK167" s="358"/>
      <c r="AL167" s="358"/>
      <c r="AM167" s="358"/>
      <c r="AN167" s="358"/>
      <c r="AO167" s="358"/>
      <c r="AP167" s="52"/>
      <c r="AQ167" s="52"/>
    </row>
    <row r="171" spans="5:47">
      <c r="F171" s="358" t="s">
        <v>461</v>
      </c>
      <c r="G171" s="358"/>
      <c r="H171" s="358"/>
      <c r="I171" s="358"/>
      <c r="J171" s="358"/>
      <c r="K171" s="358"/>
      <c r="L171" s="358"/>
      <c r="M171" s="358"/>
      <c r="N171" s="358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>
      <c r="E174" s="134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>
      <c r="E175" s="134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>
      <c r="E176" s="134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>
      <c r="E177" s="134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>
      <c r="E178" s="134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>
      <c r="E179" s="134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>
      <c r="E180" s="134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>
      <c r="E181" s="134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>
      <c r="E182" s="134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.05" customHeight="1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>
      <c r="E184" s="134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.05" customHeight="1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>
      <c r="E186" s="134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>
      <c r="E188" s="134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.05" customHeight="1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.05" customHeight="1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.05" customHeight="1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.05" customHeight="1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.05" customHeight="1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.05" customHeight="1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>
      <c r="E203" s="134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>
      <c r="E206" s="233" t="s">
        <v>445</v>
      </c>
      <c r="F206" s="246">
        <v>0</v>
      </c>
      <c r="H206" s="246">
        <v>6682782.3361421349</v>
      </c>
      <c r="J206" s="246">
        <f t="shared" si="58"/>
        <v>6682782.3361421349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6.95" customHeight="1">
      <c r="E210" s="233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>
      <c r="E211" s="233"/>
      <c r="J211" s="52"/>
      <c r="L211" s="52"/>
    </row>
    <row r="212" spans="5:18">
      <c r="E212" s="233"/>
    </row>
    <row r="213" spans="5:18">
      <c r="F213" s="358" t="s">
        <v>490</v>
      </c>
      <c r="G213" s="358"/>
      <c r="H213" s="358"/>
      <c r="I213" s="358"/>
      <c r="J213" s="358"/>
      <c r="O213" s="241"/>
      <c r="P213" s="241"/>
    </row>
    <row r="216" spans="5:18">
      <c r="E216" s="134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>
      <c r="E217" s="134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>
      <c r="E218" s="134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>
      <c r="E219" s="134" t="s">
        <v>455</v>
      </c>
      <c r="F219" s="246">
        <v>717977.11143222859</v>
      </c>
      <c r="G219" s="14"/>
      <c r="H219" s="246">
        <f t="shared" si="59"/>
        <v>108184.8596728804</v>
      </c>
      <c r="I219" s="14"/>
      <c r="J219" s="246">
        <f t="shared" si="60"/>
        <v>609792.2517593482</v>
      </c>
    </row>
    <row r="220" spans="5:18">
      <c r="E220" s="134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>
      <c r="E221" s="134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>
      <c r="E222" s="134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>
      <c r="E223" s="134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>
      <c r="E224" s="134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>
      <c r="E225" s="134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>
      <c r="E226" s="134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>
      <c r="E227" s="134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>
      <c r="E228" s="134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>
      <c r="E229" s="134" t="s">
        <v>76</v>
      </c>
      <c r="F229" s="246">
        <v>6738376.4034630982</v>
      </c>
      <c r="H229" s="246">
        <f t="shared" si="59"/>
        <v>6682782.3361421349</v>
      </c>
      <c r="J229" s="246">
        <f t="shared" si="60"/>
        <v>55594.067320963368</v>
      </c>
    </row>
    <row r="230" spans="5:14">
      <c r="E230" s="134" t="s">
        <v>337</v>
      </c>
      <c r="F230" s="246">
        <v>12202453.882342203</v>
      </c>
      <c r="G230" s="52"/>
      <c r="H230" s="246">
        <f t="shared" si="59"/>
        <v>4629979.8128694845</v>
      </c>
      <c r="J230" s="246">
        <f t="shared" si="60"/>
        <v>7572474.0694727181</v>
      </c>
    </row>
    <row r="231" spans="5:14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>
      <c r="E232" s="233"/>
    </row>
    <row r="233" spans="5:14">
      <c r="E233" s="233"/>
    </row>
    <row r="238" spans="5:14">
      <c r="K238" s="52"/>
      <c r="L238" s="52"/>
      <c r="M238" s="52"/>
      <c r="N238" s="52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Y235"/>
  <sheetViews>
    <sheetView topLeftCell="AN67" zoomScale="69" workbookViewId="0">
      <selection activeCell="BN118" sqref="BM118:BN118"/>
    </sheetView>
  </sheetViews>
  <sheetFormatPr defaultColWidth="11.5546875" defaultRowHeight="14.4"/>
  <cols>
    <col min="2" max="2" width="17" customWidth="1"/>
    <col min="11" max="11" width="12.6640625" customWidth="1"/>
    <col min="45" max="45" width="16" customWidth="1"/>
  </cols>
  <sheetData>
    <row r="1" spans="2:77" ht="112.05" customHeight="1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.05" customHeight="1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>
      <c r="AQ38" s="233"/>
      <c r="AR38" s="358" t="s">
        <v>470</v>
      </c>
      <c r="AS38" s="358"/>
      <c r="AT38" s="358"/>
      <c r="AU38" s="358"/>
      <c r="AV38" s="358"/>
      <c r="AW38" s="358"/>
      <c r="AX38" s="358"/>
      <c r="AY38" s="358"/>
      <c r="AZ38" s="358"/>
      <c r="BA38" s="358"/>
      <c r="BB38" s="358"/>
      <c r="BC38" s="358"/>
      <c r="BD38" s="358"/>
      <c r="BE38" s="358"/>
      <c r="BF38" s="358"/>
      <c r="BK38" s="233"/>
      <c r="BL38" s="358" t="s">
        <v>471</v>
      </c>
      <c r="BM38" s="358"/>
      <c r="BN38" s="358"/>
      <c r="BO38" s="358"/>
      <c r="BP38" s="358"/>
      <c r="BQ38" s="358"/>
      <c r="BR38" s="358"/>
      <c r="BS38" s="358"/>
      <c r="BT38" s="358"/>
      <c r="BU38" s="358"/>
      <c r="BV38" s="358"/>
      <c r="BW38" s="358"/>
      <c r="BX38" s="358"/>
      <c r="BY38" s="358"/>
    </row>
    <row r="39" spans="2:77">
      <c r="AQ39" s="233"/>
      <c r="BK39" s="233"/>
    </row>
    <row r="40" spans="2:77">
      <c r="AQ40" s="233"/>
    </row>
    <row r="41" spans="2:77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>
      <c r="AQ42" s="134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>
      <c r="AQ43" s="134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>
      <c r="AQ45" s="134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>
      <c r="AQ47" s="134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>
      <c r="AQ48" s="134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.05" customHeight="1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>
      <c r="AQ71" s="134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>
      <c r="AQ78" s="233"/>
      <c r="AR78" s="358" t="s">
        <v>472</v>
      </c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</row>
    <row r="82" spans="33:66" ht="112.05" customHeight="1">
      <c r="AG82" s="134"/>
      <c r="AH82" s="134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4" t="s">
        <v>355</v>
      </c>
      <c r="BL86" s="240"/>
      <c r="BM86" s="240"/>
      <c r="BN86" s="246">
        <f t="shared" ref="BN86:BN90" si="80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4" t="s">
        <v>377</v>
      </c>
      <c r="BL87" s="240"/>
      <c r="BM87" s="240"/>
      <c r="BN87" s="246">
        <f t="shared" si="80"/>
        <v>0</v>
      </c>
    </row>
    <row r="88" spans="33:66">
      <c r="AG88" s="134"/>
      <c r="AH88" s="134"/>
      <c r="AQ88" s="134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4" t="s">
        <v>466</v>
      </c>
      <c r="BL88" s="240"/>
      <c r="BM88" s="240"/>
      <c r="BN88" s="246">
        <f t="shared" si="80"/>
        <v>0</v>
      </c>
    </row>
    <row r="89" spans="33:66">
      <c r="AG89" s="134"/>
      <c r="AH89" s="134"/>
      <c r="AQ89" s="134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4" t="s">
        <v>467</v>
      </c>
      <c r="BL89" s="240"/>
      <c r="BM89" s="240"/>
      <c r="BN89" s="246">
        <f t="shared" si="80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4" t="s">
        <v>411</v>
      </c>
      <c r="BL90" s="240"/>
      <c r="BM90" s="240"/>
      <c r="BN90" s="246">
        <f t="shared" si="80"/>
        <v>0</v>
      </c>
    </row>
    <row r="91" spans="33:66">
      <c r="AG91" s="242"/>
      <c r="AH91" s="242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4" t="s">
        <v>459</v>
      </c>
      <c r="BL91" s="240"/>
      <c r="BM91" s="240"/>
      <c r="BN91" s="246">
        <f t="shared" ref="BN91:BN97" si="81">SUM(BL91:BM91)</f>
        <v>0</v>
      </c>
    </row>
    <row r="92" spans="33:66" ht="16.05" customHeight="1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>
      <c r="AG93" s="233"/>
      <c r="AH93" s="233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4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4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4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.05" customHeight="1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.05" customHeight="1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4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>
      <c r="AG119" s="233"/>
      <c r="AH119" s="233"/>
      <c r="AQ119" s="233"/>
      <c r="AR119" s="358" t="s">
        <v>328</v>
      </c>
      <c r="AS119" s="358"/>
      <c r="AT119" s="358"/>
      <c r="AU119" s="358"/>
      <c r="AV119" s="358"/>
      <c r="AW119" s="358"/>
      <c r="AX119" s="358"/>
      <c r="AY119" s="358"/>
      <c r="AZ119" s="358"/>
      <c r="BA119" s="358"/>
      <c r="BB119" s="358"/>
      <c r="BC119" s="358"/>
      <c r="BD119" s="358"/>
      <c r="BE119" s="358"/>
      <c r="BF119" s="358"/>
      <c r="BG119" s="52" t="s">
        <v>369</v>
      </c>
      <c r="BL119" s="358" t="s">
        <v>330</v>
      </c>
      <c r="BM119" s="358"/>
      <c r="BN119" s="52" t="s">
        <v>381</v>
      </c>
    </row>
    <row r="120" spans="2:66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>
      <c r="AG121" s="233"/>
      <c r="AH121" s="233"/>
      <c r="AQ121" s="233"/>
      <c r="AR121" s="358" t="s">
        <v>368</v>
      </c>
      <c r="AS121" s="358"/>
      <c r="AT121" s="358"/>
      <c r="AU121" s="358"/>
      <c r="AV121" s="358"/>
      <c r="AW121" s="358"/>
      <c r="AX121" s="358"/>
      <c r="AY121" s="358"/>
      <c r="AZ121" s="358"/>
      <c r="BA121" s="358"/>
      <c r="BB121" s="358"/>
      <c r="BC121" s="358"/>
      <c r="BD121" s="358"/>
      <c r="BE121" s="358"/>
      <c r="BF121" s="358"/>
      <c r="BG121" s="52"/>
      <c r="BL121" s="52"/>
      <c r="BM121" s="52"/>
      <c r="BN121" s="52"/>
    </row>
    <row r="122" spans="2:66" ht="13.05" customHeight="1">
      <c r="C122" s="359"/>
      <c r="D122" s="359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233"/>
      <c r="AH122" s="233"/>
      <c r="AI122" s="138"/>
      <c r="AJ122" s="138"/>
      <c r="AK122" s="138"/>
      <c r="AL122" s="138"/>
      <c r="AM122" s="138"/>
      <c r="AN122" s="138"/>
      <c r="AO122" s="138"/>
      <c r="AQ122" s="233"/>
      <c r="BL122" s="52"/>
      <c r="BM122" s="52"/>
      <c r="BN122" s="52"/>
    </row>
    <row r="123" spans="2:66" ht="235.95" customHeight="1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>
      <c r="B124" s="134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>
      <c r="B125" s="134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>
      <c r="B126" s="134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>
      <c r="B127" s="134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>
      <c r="B128" s="134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>
      <c r="B135" s="134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>
      <c r="B136" s="134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>
      <c r="B137" s="134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>
      <c r="B138" s="134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>
      <c r="B139" s="134"/>
      <c r="C139" s="358" t="s">
        <v>329</v>
      </c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  <c r="AA139" s="358"/>
      <c r="AB139" s="358"/>
      <c r="AC139" s="358"/>
      <c r="AD139" s="358"/>
      <c r="AE139" s="358"/>
      <c r="AF139" s="358"/>
      <c r="AG139" s="358"/>
      <c r="AH139" s="358"/>
      <c r="AI139" s="358"/>
      <c r="AJ139" s="358"/>
      <c r="AK139" s="358"/>
      <c r="AL139" s="358"/>
      <c r="AM139" s="52" t="s">
        <v>365</v>
      </c>
      <c r="AN139" s="52"/>
    </row>
    <row r="140" spans="2:65">
      <c r="B140" s="134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>
      <c r="B141" s="134"/>
      <c r="C141" s="358" t="s">
        <v>366</v>
      </c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  <c r="AA141" s="358"/>
      <c r="AB141" s="358"/>
      <c r="AC141" s="358"/>
      <c r="AD141" s="358"/>
      <c r="AE141" s="358"/>
      <c r="AF141" s="358"/>
      <c r="AG141" s="358"/>
      <c r="AH141" s="358"/>
      <c r="AI141" s="358"/>
      <c r="AJ141" s="358"/>
      <c r="AK141" s="358"/>
      <c r="AL141" s="358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>
      <c r="B151" s="134"/>
    </row>
    <row r="152" spans="2:44" ht="235.95" customHeight="1">
      <c r="B152" s="134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>
      <c r="B153" s="134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.05" customHeight="1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>
      <c r="B158" s="134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>
      <c r="B161" s="134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>
      <c r="C162" s="358" t="s">
        <v>56</v>
      </c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58"/>
      <c r="AB162" s="358"/>
      <c r="AC162" s="358"/>
      <c r="AD162" s="358"/>
      <c r="AE162" s="358"/>
      <c r="AF162" s="358"/>
      <c r="AG162" s="358"/>
      <c r="AH162" s="358"/>
      <c r="AI162" s="358"/>
      <c r="AJ162" s="358"/>
      <c r="AK162" s="358"/>
      <c r="AL162" s="358"/>
      <c r="AM162" s="52"/>
      <c r="AN162" s="52"/>
    </row>
    <row r="163" spans="2:40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>
      <c r="C164" s="358" t="s">
        <v>367</v>
      </c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  <c r="AA164" s="358"/>
      <c r="AB164" s="358"/>
      <c r="AC164" s="358"/>
      <c r="AD164" s="358"/>
      <c r="AE164" s="358"/>
      <c r="AF164" s="358"/>
      <c r="AG164" s="358"/>
      <c r="AH164" s="358"/>
      <c r="AI164" s="358"/>
      <c r="AJ164" s="358"/>
      <c r="AK164" s="358"/>
      <c r="AL164" s="358"/>
      <c r="AM164" s="52"/>
      <c r="AN164" s="52"/>
    </row>
    <row r="168" spans="2:40">
      <c r="C168" s="358" t="s">
        <v>364</v>
      </c>
      <c r="D168" s="358"/>
      <c r="E168" s="358"/>
      <c r="F168" s="358"/>
      <c r="G168" s="358"/>
      <c r="H168" s="358"/>
      <c r="I168" s="358"/>
      <c r="J168" s="358"/>
      <c r="K168" s="358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>
      <c r="B171" s="134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>
      <c r="B172" s="134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>
      <c r="B173" s="134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>
      <c r="B174" s="134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>
      <c r="B175" s="134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>
      <c r="B176" s="134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>
      <c r="B177" s="134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>
      <c r="B178" s="134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>
      <c r="B179" s="134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.05" customHeight="1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>
      <c r="B181" s="134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.05" customHeight="1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>
      <c r="B183" s="134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>
      <c r="B185" s="134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.05" customHeight="1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.05" customHeight="1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.05" customHeight="1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.05" customHeight="1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.05" customHeight="1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.05" customHeight="1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>
      <c r="B200" s="134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6.95" customHeight="1">
      <c r="B207" s="233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>
      <c r="B208" s="233"/>
      <c r="G208" s="52"/>
      <c r="I208" s="52"/>
    </row>
    <row r="209" spans="2:15">
      <c r="B209" s="233"/>
    </row>
    <row r="210" spans="2:15">
      <c r="C210" s="358" t="s">
        <v>375</v>
      </c>
      <c r="D210" s="358"/>
      <c r="E210" s="358"/>
      <c r="F210" s="358"/>
      <c r="G210" s="358"/>
      <c r="L210" s="241"/>
      <c r="M210" s="241"/>
    </row>
    <row r="213" spans="2:15">
      <c r="B213" s="134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>
      <c r="B214" s="134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>
      <c r="B215" s="134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>
      <c r="B216" s="134" t="s">
        <v>455</v>
      </c>
      <c r="C216" s="246">
        <v>1011.7674660019052</v>
      </c>
      <c r="D216" s="14"/>
      <c r="E216" s="246">
        <f t="shared" si="92"/>
        <v>1011.7674660019052</v>
      </c>
      <c r="F216" s="14"/>
      <c r="G216" s="250">
        <f t="shared" si="93"/>
        <v>0</v>
      </c>
    </row>
    <row r="217" spans="2:15">
      <c r="B217" s="134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>
      <c r="B218" s="134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>
      <c r="B219" s="134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>
      <c r="B220" s="134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>
      <c r="B221" s="134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>
      <c r="B222" s="134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>
      <c r="B223" s="134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>
      <c r="B224" s="134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>
      <c r="B225" s="134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>
      <c r="B226" s="134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>
      <c r="B227" s="134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>
      <c r="B229" s="233"/>
    </row>
    <row r="230" spans="2:11">
      <c r="B230" s="233"/>
    </row>
    <row r="235" spans="2:11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Z233"/>
  <sheetViews>
    <sheetView topLeftCell="A155" zoomScale="114" workbookViewId="0">
      <selection activeCell="BA101" sqref="BA101"/>
    </sheetView>
  </sheetViews>
  <sheetFormatPr defaultColWidth="11.5546875" defaultRowHeight="14.4"/>
  <cols>
    <col min="2" max="2" width="17" customWidth="1"/>
    <col min="11" max="11" width="12.6640625" customWidth="1"/>
    <col min="45" max="45" width="16" customWidth="1"/>
  </cols>
  <sheetData>
    <row r="1" spans="2:78" ht="112.05" customHeight="1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.05" customHeight="1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>
      <c r="C38" s="52" t="s">
        <v>473</v>
      </c>
      <c r="AQ38" s="233"/>
      <c r="AR38" s="358" t="s">
        <v>470</v>
      </c>
      <c r="AS38" s="358"/>
      <c r="AT38" s="358"/>
      <c r="AU38" s="358"/>
      <c r="AV38" s="358"/>
      <c r="AW38" s="358"/>
      <c r="AX38" s="358"/>
      <c r="AY38" s="358"/>
      <c r="AZ38" s="358"/>
      <c r="BA38" s="358"/>
      <c r="BB38" s="358"/>
      <c r="BC38" s="358"/>
      <c r="BD38" s="358"/>
      <c r="BE38" s="358"/>
      <c r="BF38" s="358"/>
      <c r="BK38" s="233"/>
      <c r="BL38" s="358" t="s">
        <v>471</v>
      </c>
      <c r="BM38" s="358"/>
      <c r="BN38" s="358"/>
      <c r="BO38" s="358"/>
      <c r="BP38" s="358"/>
      <c r="BQ38" s="358"/>
      <c r="BR38" s="358"/>
      <c r="BS38" s="358"/>
      <c r="BT38" s="358"/>
      <c r="BU38" s="358"/>
      <c r="BV38" s="358"/>
      <c r="BW38" s="358"/>
      <c r="BX38" s="358"/>
      <c r="BY38" s="358"/>
      <c r="BZ38" s="358"/>
    </row>
    <row r="39" spans="2:78">
      <c r="AQ39" s="233"/>
      <c r="BK39" s="233"/>
    </row>
    <row r="40" spans="2:78">
      <c r="AQ40" s="233"/>
    </row>
    <row r="41" spans="2:78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>
      <c r="AQ42" s="134" t="s">
        <v>333</v>
      </c>
      <c r="AR42" s="249">
        <f>AR83</f>
        <v>-854.87945690887818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>
      <c r="AQ43" s="134" t="s">
        <v>335</v>
      </c>
      <c r="AR43" s="249">
        <f t="shared" ref="AR43:BF68" si="1">AR84</f>
        <v>0</v>
      </c>
      <c r="AS43" s="249">
        <f t="shared" si="1"/>
        <v>-1201.0257495724293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25028853.3010469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>
      <c r="AQ45" s="134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>
      <c r="AQ47" s="134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>
      <c r="AQ48" s="134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-854.87945690887818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-1201.0257495724293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25028853.3010469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-854.87945690887818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-1201.0257495724293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25028853.3010469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-847.04018592884336</v>
      </c>
      <c r="BF60" s="249">
        <f t="shared" si="2"/>
        <v>0</v>
      </c>
    </row>
    <row r="61" spans="43:58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-1201.0257495724293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25028853.3010469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6546468.5968566798</v>
      </c>
      <c r="BF67" s="249">
        <f t="shared" si="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-5.2876555731943364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.05" customHeight="1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>
      <c r="AQ71" s="134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-4.5562340979421263</v>
      </c>
      <c r="BE72" s="249">
        <f t="shared" si="7"/>
        <v>0</v>
      </c>
      <c r="BF72" s="249">
        <f t="shared" si="7"/>
        <v>0</v>
      </c>
    </row>
    <row r="73" spans="43:58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-4.5562340979421263</v>
      </c>
    </row>
    <row r="74" spans="43:58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4265190.2010081904</v>
      </c>
    </row>
    <row r="75" spans="43:58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>
      <c r="AQ78" s="233"/>
      <c r="AR78" s="358" t="s">
        <v>472</v>
      </c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</row>
    <row r="82" spans="33:66" ht="112.05" customHeight="1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Ore_to_PI!O52</f>
        <v>-854.87945690887818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-854.87945690887818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Ore_to_PI!O132</f>
        <v>-1201.0257495724293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-1201.0257495724293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Ore_to_PI!O218</f>
        <v>25028853.3010469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25028853.3010469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4" t="s">
        <v>355</v>
      </c>
      <c r="BL86" s="240"/>
      <c r="BM86" s="240"/>
      <c r="BN86" s="246">
        <f t="shared" ref="BN86:BN118" si="12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4" t="s">
        <v>377</v>
      </c>
      <c r="BL87" s="240"/>
      <c r="BM87" s="240"/>
      <c r="BN87" s="246">
        <f t="shared" si="12"/>
        <v>0</v>
      </c>
    </row>
    <row r="88" spans="33:66">
      <c r="AG88" s="134"/>
      <c r="AH88" s="134"/>
      <c r="AQ88" s="134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4" t="s">
        <v>466</v>
      </c>
      <c r="BL88" s="240"/>
      <c r="BM88" s="240"/>
      <c r="BN88" s="246">
        <f t="shared" si="12"/>
        <v>0</v>
      </c>
    </row>
    <row r="89" spans="33:66">
      <c r="AG89" s="134"/>
      <c r="AH89" s="134"/>
      <c r="AQ89" s="134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4" t="s">
        <v>467</v>
      </c>
      <c r="BL89" s="240"/>
      <c r="BM89" s="240"/>
      <c r="BN89" s="246">
        <f t="shared" si="12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4" t="s">
        <v>411</v>
      </c>
      <c r="BL90" s="240"/>
      <c r="BM90" s="240"/>
      <c r="BN90" s="246">
        <f t="shared" si="12"/>
        <v>0</v>
      </c>
    </row>
    <row r="91" spans="33:66">
      <c r="AG91" s="134"/>
      <c r="AH91" s="134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4" t="s">
        <v>459</v>
      </c>
      <c r="BL91" s="240"/>
      <c r="BM91" s="240"/>
      <c r="BN91" s="246">
        <f t="shared" si="12"/>
        <v>0</v>
      </c>
    </row>
    <row r="92" spans="33:66" ht="16.05" customHeight="1">
      <c r="AG92" s="242"/>
      <c r="AH92" s="242"/>
      <c r="AQ92" s="232" t="s">
        <v>442</v>
      </c>
      <c r="AR92" s="237"/>
      <c r="AS92" s="237"/>
      <c r="AT92" s="237"/>
      <c r="AU92" s="237">
        <f>Ore_to_PI!AH52</f>
        <v>-854.87945690887818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-854.87945690887818</v>
      </c>
      <c r="BK92" s="232" t="s">
        <v>442</v>
      </c>
      <c r="BL92" s="240"/>
      <c r="BM92" s="240"/>
      <c r="BN92" s="246">
        <f t="shared" si="12"/>
        <v>0</v>
      </c>
    </row>
    <row r="93" spans="33:66" ht="16.05" customHeight="1">
      <c r="AG93" s="232"/>
      <c r="AH93" s="232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4" t="s">
        <v>409</v>
      </c>
      <c r="BL93" s="240"/>
      <c r="BM93" s="240">
        <f>Ore_to_PI!AH70</f>
        <v>-83.141622340425528</v>
      </c>
      <c r="BN93" s="246">
        <f t="shared" si="12"/>
        <v>-83.141622340425528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-1201.0257495724293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-1201.0257495724293</v>
      </c>
      <c r="BK94" s="232" t="s">
        <v>412</v>
      </c>
      <c r="BL94" s="240"/>
      <c r="BM94" s="244"/>
      <c r="BN94" s="246">
        <f t="shared" si="12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4" t="s">
        <v>437</v>
      </c>
      <c r="BL95" s="240"/>
      <c r="BM95" s="240">
        <f>Ore_to_PI!AI149</f>
        <v>-83.145862506379771</v>
      </c>
      <c r="BN95" s="246">
        <f t="shared" si="12"/>
        <v>-83.145862506379771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25028853.3010469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25028853.3010469</v>
      </c>
      <c r="BK96" s="233" t="s">
        <v>430</v>
      </c>
      <c r="BL96" s="240"/>
      <c r="BM96" s="240"/>
      <c r="BN96" s="246">
        <f t="shared" si="12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4" t="s">
        <v>416</v>
      </c>
      <c r="BL97" s="240"/>
      <c r="BM97" s="240">
        <f>Ore_to_PI!AI234</f>
        <v>-83.141622340425542</v>
      </c>
      <c r="BN97" s="246">
        <f t="shared" si="12"/>
        <v>-83.141622340425542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-854.87945690887818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-854.87945690887818</v>
      </c>
      <c r="BK98" s="232" t="s">
        <v>441</v>
      </c>
      <c r="BL98" s="240"/>
      <c r="BM98" s="240"/>
      <c r="BN98" s="246">
        <f t="shared" si="12"/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-1201.0257495724293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-1201.0257495724293</v>
      </c>
      <c r="BK99" s="232" t="s">
        <v>436</v>
      </c>
      <c r="BL99" s="240"/>
      <c r="BM99" s="240"/>
      <c r="BN99" s="246">
        <f t="shared" si="12"/>
        <v>0</v>
      </c>
    </row>
    <row r="100" spans="33:71" ht="16.05" customHeight="1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25028853.3010469</v>
      </c>
      <c r="BA100" s="237"/>
      <c r="BB100" s="237"/>
      <c r="BC100" s="237"/>
      <c r="BD100" s="237"/>
      <c r="BE100" s="237"/>
      <c r="BF100" s="237"/>
      <c r="BG100" s="246">
        <f t="shared" si="11"/>
        <v>25028853.3010469</v>
      </c>
      <c r="BK100" s="232" t="s">
        <v>433</v>
      </c>
      <c r="BL100" s="240"/>
      <c r="BM100" s="240"/>
      <c r="BN100" s="246">
        <f t="shared" si="12"/>
        <v>0</v>
      </c>
    </row>
    <row r="101" spans="33:71" ht="16.05" customHeight="1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-847.04018592884336</v>
      </c>
      <c r="BF101" s="237"/>
      <c r="BG101" s="246">
        <f t="shared" si="11"/>
        <v>-847.04018592884336</v>
      </c>
      <c r="BK101" s="232" t="s">
        <v>439</v>
      </c>
      <c r="BL101" s="240"/>
      <c r="BM101" s="240"/>
      <c r="BN101" s="246">
        <f t="shared" si="1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-1314.3311496223889</v>
      </c>
      <c r="BN102" s="246">
        <f t="shared" si="12"/>
        <v>-1314.3311496223889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-1201.0257495724293</v>
      </c>
      <c r="BB103" s="237"/>
      <c r="BC103" s="237"/>
      <c r="BD103" s="237"/>
      <c r="BE103" s="237"/>
      <c r="BF103" s="237"/>
      <c r="BG103" s="246">
        <f t="shared" si="11"/>
        <v>-1201.0257495724293</v>
      </c>
      <c r="BK103" s="233" t="s">
        <v>424</v>
      </c>
      <c r="BL103" s="240"/>
      <c r="BM103" s="240"/>
      <c r="BN103" s="246">
        <f t="shared" si="1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25028853.3010469</v>
      </c>
      <c r="BC104" s="237"/>
      <c r="BD104" s="237"/>
      <c r="BE104" s="237"/>
      <c r="BF104" s="237"/>
      <c r="BG104" s="246">
        <f t="shared" si="11"/>
        <v>25028853.3010469</v>
      </c>
      <c r="BK104" s="233" t="s">
        <v>456</v>
      </c>
      <c r="BL104" s="240"/>
      <c r="BM104" s="240"/>
      <c r="BN104" s="246">
        <f t="shared" si="1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-107.73184041802253</v>
      </c>
      <c r="BN107" s="246">
        <f t="shared" si="12"/>
        <v>-107.73184041802253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6546468.5968566798</v>
      </c>
      <c r="BF108" s="237"/>
      <c r="BG108" s="246">
        <f t="shared" si="11"/>
        <v>6546468.5968566798</v>
      </c>
      <c r="BK108" s="233" t="s">
        <v>484</v>
      </c>
      <c r="BL108" s="240"/>
      <c r="BM108" s="240"/>
      <c r="BN108" s="246">
        <f t="shared" si="1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-5.2876555731943364</v>
      </c>
      <c r="BD109" s="237"/>
      <c r="BE109" s="237"/>
      <c r="BF109" s="237"/>
      <c r="BG109" s="246">
        <f t="shared" si="11"/>
        <v>-5.2876555731943364</v>
      </c>
      <c r="BK109" s="247" t="s">
        <v>422</v>
      </c>
      <c r="BL109" s="240"/>
      <c r="BM109" s="240"/>
      <c r="BN109" s="246">
        <f t="shared" si="1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-16.063792643147199</v>
      </c>
      <c r="BN110" s="246">
        <f t="shared" si="12"/>
        <v>-16.063792643147199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-1029.2848669218351</v>
      </c>
      <c r="BN111" s="246">
        <f t="shared" si="12"/>
        <v>-1029.2848669218351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4" t="s">
        <v>423</v>
      </c>
      <c r="BL112" s="240"/>
      <c r="BM112" s="240">
        <f>Ore_to_PI!CP258</f>
        <v>-83.374524714828908</v>
      </c>
      <c r="BN112" s="246">
        <f t="shared" si="12"/>
        <v>-83.374524714828908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-4.5562340979421263</v>
      </c>
      <c r="BE113" s="237"/>
      <c r="BF113" s="239"/>
      <c r="BG113" s="246">
        <f t="shared" si="11"/>
        <v>-4.5562340979421263</v>
      </c>
      <c r="BK113" s="233" t="s">
        <v>515</v>
      </c>
      <c r="BL113" s="240"/>
      <c r="BM113" s="240"/>
      <c r="BN113" s="246">
        <f t="shared" si="1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-4.5562340979421263</v>
      </c>
      <c r="BG114" s="246">
        <f t="shared" si="11"/>
        <v>-4.5562340979421263</v>
      </c>
      <c r="BK114" s="233" t="s">
        <v>517</v>
      </c>
      <c r="BL114" s="240">
        <f>Ore_to_PI!EZ241</f>
        <v>-4.5562340979421254</v>
      </c>
      <c r="BM114" s="240"/>
      <c r="BN114" s="246">
        <f t="shared" si="12"/>
        <v>-4.5562340979421254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4265190.2010081904</v>
      </c>
      <c r="BG115" s="246">
        <f t="shared" si="11"/>
        <v>4265190.2010081904</v>
      </c>
      <c r="BK115" s="233" t="s">
        <v>445</v>
      </c>
      <c r="BL115" s="240"/>
      <c r="BM115" s="240"/>
      <c r="BN115" s="246">
        <f t="shared" si="1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-105.59301148993288</v>
      </c>
      <c r="BN117" s="246">
        <f t="shared" si="12"/>
        <v>-105.59301148993288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>
      <c r="AG119" s="233"/>
      <c r="AH119" s="233"/>
      <c r="AQ119" s="233"/>
      <c r="AR119" s="358" t="s">
        <v>328</v>
      </c>
      <c r="AS119" s="358"/>
      <c r="AT119" s="358"/>
      <c r="AU119" s="358"/>
      <c r="AV119" s="358"/>
      <c r="AW119" s="358"/>
      <c r="AX119" s="358"/>
      <c r="AY119" s="358"/>
      <c r="AZ119" s="358"/>
      <c r="BA119" s="358"/>
      <c r="BB119" s="358"/>
      <c r="BC119" s="358"/>
      <c r="BD119" s="358"/>
      <c r="BE119" s="358"/>
      <c r="BF119" s="358"/>
      <c r="BG119" s="52" t="s">
        <v>369</v>
      </c>
      <c r="BL119" s="358" t="s">
        <v>330</v>
      </c>
      <c r="BM119" s="358"/>
      <c r="BN119" s="52" t="s">
        <v>381</v>
      </c>
    </row>
    <row r="120" spans="2:66">
      <c r="AG120" s="233"/>
      <c r="AH120" s="233"/>
      <c r="AQ120" s="233"/>
      <c r="AR120" s="246">
        <f>SUM(AR83:AR118)</f>
        <v>6272.7233550911224</v>
      </c>
      <c r="AS120" s="246">
        <f>SUM(AS83:AS118)</f>
        <v>5676.4770624275707</v>
      </c>
      <c r="AT120" s="246">
        <f>SUM(AT83:AT118)</f>
        <v>25035980.9038589</v>
      </c>
      <c r="AU120" s="246">
        <f t="shared" ref="AU120:BF120" si="13">SUM(AU83:AU118)</f>
        <v>-854.87945690887818</v>
      </c>
      <c r="AV120" s="246">
        <f t="shared" si="13"/>
        <v>-1201.0257495724293</v>
      </c>
      <c r="AW120" s="246">
        <f t="shared" si="13"/>
        <v>25028853.3010469</v>
      </c>
      <c r="AX120" s="246">
        <f t="shared" si="13"/>
        <v>-854.87945690887818</v>
      </c>
      <c r="AY120" s="246">
        <f t="shared" si="13"/>
        <v>-1201.0257495724293</v>
      </c>
      <c r="AZ120" s="246">
        <f t="shared" si="13"/>
        <v>25028853.3010469</v>
      </c>
      <c r="BA120" s="246">
        <f t="shared" si="13"/>
        <v>-1275.6257495724292</v>
      </c>
      <c r="BB120" s="246">
        <f t="shared" si="13"/>
        <v>25028778.701046899</v>
      </c>
      <c r="BC120" s="246">
        <f t="shared" si="13"/>
        <v>-5.2876555731943364</v>
      </c>
      <c r="BD120" s="246">
        <f t="shared" si="13"/>
        <v>-4.5562340979421263</v>
      </c>
      <c r="BE120" s="246">
        <f t="shared" si="13"/>
        <v>6544986.6566707511</v>
      </c>
      <c r="BF120" s="246">
        <f t="shared" si="13"/>
        <v>4270651.6623740923</v>
      </c>
      <c r="BL120" s="52"/>
      <c r="BM120" s="52"/>
    </row>
    <row r="121" spans="2:66" ht="13.05" customHeight="1">
      <c r="C121" s="359"/>
      <c r="D121" s="359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233"/>
      <c r="AH121" s="233"/>
      <c r="AI121" s="138"/>
      <c r="AJ121" s="138"/>
      <c r="AK121" s="138"/>
      <c r="AL121" s="138"/>
      <c r="AM121" s="138"/>
      <c r="AN121" s="138"/>
      <c r="AO121" s="138"/>
      <c r="AR121" s="358" t="s">
        <v>368</v>
      </c>
      <c r="AS121" s="358"/>
      <c r="AT121" s="358"/>
      <c r="AU121" s="358"/>
      <c r="AV121" s="358"/>
      <c r="AW121" s="358"/>
      <c r="AX121" s="358"/>
      <c r="AY121" s="358"/>
      <c r="AZ121" s="358"/>
      <c r="BA121" s="358"/>
      <c r="BB121" s="358"/>
      <c r="BC121" s="358"/>
      <c r="BD121" s="358"/>
      <c r="BE121" s="358"/>
      <c r="BF121" s="358"/>
      <c r="BL121" s="52"/>
      <c r="BM121" s="52"/>
    </row>
    <row r="122" spans="2:66" ht="235.95" customHeight="1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>
      <c r="B123" s="134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-854.87945690887818</v>
      </c>
      <c r="M123" s="237">
        <f>Ore_to_PI!AH70</f>
        <v>-83.141622340425528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-938.02107924930374</v>
      </c>
    </row>
    <row r="124" spans="2:66">
      <c r="B124" s="134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-1201.0257495724293</v>
      </c>
      <c r="O124" s="237">
        <f>Ore_to_PI!AI149</f>
        <v>-83.145862506379771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-1284.1716120788089</v>
      </c>
    </row>
    <row r="125" spans="2:66">
      <c r="B125" s="134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25028853.3010469</v>
      </c>
      <c r="Q125" s="237">
        <f>Ore_to_PI!AI234</f>
        <v>-83.141622340425542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25028770.159424558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>
      <c r="B126" s="134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Ore_to_PI!BA52</f>
        <v>-854.87945690887818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-854.87945690887818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>
      <c r="B127" s="134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-1201.0257495724293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-1201.0257495724293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>
      <c r="B128" s="134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25028853.3010469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25028853.3010469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-847.04018592884336</v>
      </c>
      <c r="V129" s="237">
        <f>Ore_to_PI!BT63</f>
        <v>-1314.3311496223889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-2161.3713355512323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-1201.0257495724293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-1201.0257495724293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25028853.3010469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25028853.3010469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-107.73184041802253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-1344.2318404180226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6546468.5968566798</v>
      </c>
      <c r="AC133" s="237">
        <f>Ore_to_PI!CP243</f>
        <v>-5.2876555731943364</v>
      </c>
      <c r="AD133" s="237">
        <f>Ore_to_PI!CP282</f>
        <v>-16.063792643147199</v>
      </c>
      <c r="AE133" s="237">
        <f>Ore_to_PI!CP229</f>
        <v>-1029.2848669218351</v>
      </c>
      <c r="AF133" s="237">
        <f>Ore_to_PI!CP258</f>
        <v>-83.374524714828908</v>
      </c>
      <c r="AG133" s="237"/>
      <c r="AH133" s="237"/>
      <c r="AI133" s="237"/>
      <c r="AJ133" s="237"/>
      <c r="AK133" s="237"/>
      <c r="AL133" s="237"/>
      <c r="AM133" s="253">
        <f t="shared" si="14"/>
        <v>6545334.5860168273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-4.5562340979421263</v>
      </c>
      <c r="AH134" s="237"/>
      <c r="AI134" s="237"/>
      <c r="AJ134" s="237"/>
      <c r="AK134" s="237"/>
      <c r="AL134" s="237"/>
      <c r="AM134" s="253">
        <f t="shared" si="14"/>
        <v>-4.5562340979421263</v>
      </c>
    </row>
    <row r="135" spans="2:65">
      <c r="B135" s="134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-4.5562340979421263</v>
      </c>
      <c r="AI135" s="237"/>
      <c r="AJ135" s="237"/>
      <c r="AK135" s="237"/>
      <c r="AL135" s="237"/>
      <c r="AM135" s="253">
        <f t="shared" si="14"/>
        <v>-4.5562340979421263</v>
      </c>
    </row>
    <row r="136" spans="2:65">
      <c r="B136" s="134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4265190.2010081904</v>
      </c>
      <c r="AJ136" s="237"/>
      <c r="AK136" s="237"/>
      <c r="AL136" s="237"/>
      <c r="AM136" s="253">
        <f t="shared" si="14"/>
        <v>4265190.2010081904</v>
      </c>
    </row>
    <row r="137" spans="2:65">
      <c r="B137" s="134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-105.59301148993288</v>
      </c>
      <c r="AL137" s="237">
        <f>Ore_to_PI!FF109</f>
        <v>-89.61</v>
      </c>
      <c r="AM137" s="253">
        <f t="shared" si="14"/>
        <v>-195.20301148993286</v>
      </c>
    </row>
    <row r="138" spans="2:65">
      <c r="B138" s="134"/>
      <c r="C138" s="358" t="s">
        <v>329</v>
      </c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  <c r="AA138" s="358"/>
      <c r="AB138" s="358"/>
      <c r="AC138" s="358"/>
      <c r="AD138" s="358"/>
      <c r="AE138" s="358"/>
      <c r="AF138" s="358"/>
      <c r="AG138" s="358"/>
      <c r="AH138" s="358"/>
      <c r="AI138" s="358"/>
      <c r="AJ138" s="358"/>
      <c r="AK138" s="358"/>
      <c r="AL138" s="358"/>
      <c r="AM138" s="52" t="s">
        <v>365</v>
      </c>
      <c r="AN138" s="52"/>
    </row>
    <row r="139" spans="2:65">
      <c r="B139" s="134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-854.87945690887818</v>
      </c>
      <c r="M139" s="246">
        <f t="shared" si="16"/>
        <v>-83.141622340425528</v>
      </c>
      <c r="N139" s="246">
        <f t="shared" si="16"/>
        <v>-1201.0257495724293</v>
      </c>
      <c r="O139" s="246">
        <f t="shared" si="16"/>
        <v>-83.145862506379771</v>
      </c>
      <c r="P139" s="246">
        <f t="shared" si="16"/>
        <v>25028853.3010469</v>
      </c>
      <c r="Q139" s="246">
        <f t="shared" si="16"/>
        <v>-83.141622340425542</v>
      </c>
      <c r="R139" s="246">
        <f t="shared" si="16"/>
        <v>-854.87945690887818</v>
      </c>
      <c r="S139" s="246">
        <f t="shared" si="16"/>
        <v>-1201.0257495724293</v>
      </c>
      <c r="T139" s="246">
        <f t="shared" si="16"/>
        <v>25028853.3010469</v>
      </c>
      <c r="U139" s="246">
        <f t="shared" si="16"/>
        <v>-847.04018592884336</v>
      </c>
      <c r="V139" s="246">
        <f t="shared" si="16"/>
        <v>-1314.3311496223889</v>
      </c>
      <c r="W139" s="246">
        <f t="shared" si="16"/>
        <v>-1201.0257495724293</v>
      </c>
      <c r="X139" s="246">
        <f t="shared" si="16"/>
        <v>25028853.3010469</v>
      </c>
      <c r="Y139" s="246">
        <f t="shared" si="16"/>
        <v>-634.9</v>
      </c>
      <c r="Z139" s="246">
        <f t="shared" si="16"/>
        <v>-601.6</v>
      </c>
      <c r="AA139" s="246">
        <f t="shared" si="16"/>
        <v>-107.73184041802253</v>
      </c>
      <c r="AB139" s="246">
        <f t="shared" si="16"/>
        <v>6546468.5968566798</v>
      </c>
      <c r="AC139" s="246">
        <f t="shared" si="16"/>
        <v>-5.2876555731943364</v>
      </c>
      <c r="AD139" s="246">
        <f t="shared" si="16"/>
        <v>-16.063792643147199</v>
      </c>
      <c r="AE139" s="246">
        <f t="shared" si="16"/>
        <v>-1029.2848669218351</v>
      </c>
      <c r="AF139" s="246">
        <f t="shared" si="16"/>
        <v>-83.374524714828908</v>
      </c>
      <c r="AG139" s="246">
        <f t="shared" si="16"/>
        <v>-4.5562340979421263</v>
      </c>
      <c r="AH139" s="246">
        <f t="shared" si="16"/>
        <v>-4.5562340979421263</v>
      </c>
      <c r="AI139" s="246">
        <f t="shared" si="16"/>
        <v>4265190.2010081904</v>
      </c>
      <c r="AJ139" s="246">
        <f t="shared" si="16"/>
        <v>0</v>
      </c>
      <c r="AK139" s="246">
        <f t="shared" si="16"/>
        <v>-105.59301148993288</v>
      </c>
      <c r="AL139" s="246">
        <f t="shared" si="16"/>
        <v>-89.61</v>
      </c>
      <c r="AM139" s="52"/>
    </row>
    <row r="140" spans="2:65">
      <c r="B140" s="134"/>
      <c r="C140" s="358" t="s">
        <v>366</v>
      </c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  <c r="AA140" s="358"/>
      <c r="AB140" s="358"/>
      <c r="AC140" s="358"/>
      <c r="AD140" s="358"/>
      <c r="AE140" s="358"/>
      <c r="AF140" s="358"/>
      <c r="AG140" s="358"/>
      <c r="AH140" s="358"/>
      <c r="AI140" s="358"/>
      <c r="AJ140" s="358"/>
      <c r="AK140" s="358"/>
      <c r="AL140" s="358"/>
    </row>
    <row r="141" spans="2:65">
      <c r="B141" s="134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 ht="235.95" customHeight="1">
      <c r="B151" s="134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>
      <c r="B152" s="134" t="s">
        <v>332</v>
      </c>
      <c r="C152" s="240">
        <f>Ore_to_PI!O52</f>
        <v>-854.87945690887818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.05" customHeight="1">
      <c r="B153" s="232" t="s">
        <v>334</v>
      </c>
      <c r="C153" s="240"/>
      <c r="D153" s="240">
        <f>Ore_to_PI!O132</f>
        <v>-1201.0257495724293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>
      <c r="B154" s="233" t="s">
        <v>356</v>
      </c>
      <c r="C154" s="240"/>
      <c r="D154" s="240"/>
      <c r="E154" s="240">
        <f>Ore_to_PI!O218</f>
        <v>25028853.3010469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134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>
      <c r="B158" s="134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>
      <c r="C161" s="358" t="s">
        <v>56</v>
      </c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  <c r="AA161" s="358"/>
      <c r="AB161" s="358"/>
      <c r="AC161" s="358"/>
      <c r="AD161" s="358"/>
      <c r="AE161" s="358"/>
      <c r="AF161" s="358"/>
      <c r="AG161" s="358"/>
      <c r="AH161" s="358"/>
      <c r="AI161" s="358"/>
      <c r="AJ161" s="358"/>
      <c r="AK161" s="358"/>
      <c r="AL161" s="358"/>
      <c r="AM161" s="52"/>
      <c r="AN161" s="52"/>
    </row>
    <row r="162" spans="2:40">
      <c r="C162" s="246">
        <f t="shared" ref="C162:AL162" si="17">SUM(C152:C160)</f>
        <v>-854.87945690887818</v>
      </c>
      <c r="D162" s="246">
        <f t="shared" si="17"/>
        <v>-1201.0257495724293</v>
      </c>
      <c r="E162" s="246">
        <f t="shared" si="17"/>
        <v>25028853.3010469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>
      <c r="C163" s="358" t="s">
        <v>367</v>
      </c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  <c r="AA163" s="358"/>
      <c r="AB163" s="358"/>
      <c r="AC163" s="358"/>
      <c r="AD163" s="358"/>
      <c r="AE163" s="358"/>
      <c r="AF163" s="358"/>
      <c r="AG163" s="358"/>
      <c r="AH163" s="358"/>
      <c r="AI163" s="358"/>
      <c r="AJ163" s="358"/>
      <c r="AK163" s="358"/>
      <c r="AL163" s="358"/>
      <c r="AM163" s="52"/>
      <c r="AN163" s="52"/>
    </row>
    <row r="167" spans="2:40">
      <c r="C167" s="358" t="s">
        <v>512</v>
      </c>
      <c r="D167" s="358"/>
      <c r="E167" s="358"/>
      <c r="F167" s="358"/>
      <c r="G167" s="358"/>
      <c r="H167" s="358"/>
      <c r="I167" s="358"/>
      <c r="J167" s="358"/>
      <c r="K167" s="358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>
      <c r="B170" s="134" t="s">
        <v>333</v>
      </c>
      <c r="C170" s="246">
        <f t="array" ref="C170:C205">TRANSPOSE(C162:AL162)</f>
        <v>-854.87945690887818</v>
      </c>
      <c r="E170" s="246">
        <f t="array" ref="E170:E205">TRANSPOSE(C139:AL139)</f>
        <v>0</v>
      </c>
      <c r="G170" s="246">
        <f t="shared" ref="G170:G196" si="18">BG83</f>
        <v>-854.87945690887818</v>
      </c>
      <c r="I170" s="246">
        <f t="array" ref="I170:I205">BN83:BN118</f>
        <v>0</v>
      </c>
      <c r="K170" s="250">
        <f>C170+E170-G170-I170</f>
        <v>0</v>
      </c>
    </row>
    <row r="171" spans="2:40">
      <c r="B171" s="134" t="s">
        <v>335</v>
      </c>
      <c r="C171" s="246">
        <v>-1201.0257495724293</v>
      </c>
      <c r="E171" s="246">
        <v>0</v>
      </c>
      <c r="G171" s="246">
        <f t="shared" si="18"/>
        <v>-1201.0257495724293</v>
      </c>
      <c r="I171" s="246">
        <v>0</v>
      </c>
      <c r="K171" s="250">
        <f t="shared" ref="K171:K205" si="19">C171+E171-G171-I171</f>
        <v>0</v>
      </c>
    </row>
    <row r="172" spans="2:40">
      <c r="B172" s="134" t="s">
        <v>336</v>
      </c>
      <c r="C172" s="246">
        <v>25028853.3010469</v>
      </c>
      <c r="E172" s="246">
        <v>0</v>
      </c>
      <c r="G172" s="246">
        <f t="shared" si="18"/>
        <v>25028853.3010469</v>
      </c>
      <c r="I172" s="246">
        <v>0</v>
      </c>
      <c r="K172" s="250">
        <f t="shared" si="19"/>
        <v>0</v>
      </c>
    </row>
    <row r="173" spans="2:40">
      <c r="B173" s="134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>
      <c r="B174" s="134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>
      <c r="B175" s="134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>
      <c r="B176" s="134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>
      <c r="B177" s="134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>
      <c r="B178" s="134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.05" customHeight="1">
      <c r="B179" s="232" t="s">
        <v>442</v>
      </c>
      <c r="C179" s="246">
        <v>0</v>
      </c>
      <c r="E179" s="246">
        <v>-854.87945690887818</v>
      </c>
      <c r="G179" s="246">
        <f t="shared" si="18"/>
        <v>-854.87945690887818</v>
      </c>
      <c r="I179" s="246">
        <v>0</v>
      </c>
      <c r="K179" s="250">
        <f t="shared" si="19"/>
        <v>0</v>
      </c>
    </row>
    <row r="180" spans="2:18">
      <c r="B180" s="134" t="s">
        <v>409</v>
      </c>
      <c r="C180" s="246">
        <v>0</v>
      </c>
      <c r="E180" s="246">
        <v>-83.141622340425528</v>
      </c>
      <c r="G180" s="246">
        <f t="shared" si="18"/>
        <v>0</v>
      </c>
      <c r="I180" s="246">
        <v>-83.141622340425528</v>
      </c>
      <c r="K180" s="250">
        <f t="shared" si="19"/>
        <v>0</v>
      </c>
    </row>
    <row r="181" spans="2:18" ht="16.05" customHeight="1">
      <c r="B181" s="232" t="s">
        <v>412</v>
      </c>
      <c r="C181" s="246">
        <v>0</v>
      </c>
      <c r="E181" s="246">
        <v>-1201.0257495724293</v>
      </c>
      <c r="G181" s="246">
        <f t="shared" si="18"/>
        <v>-1201.0257495724293</v>
      </c>
      <c r="I181" s="246">
        <v>0</v>
      </c>
      <c r="K181" s="250">
        <f t="shared" si="19"/>
        <v>0</v>
      </c>
    </row>
    <row r="182" spans="2:18">
      <c r="B182" s="134" t="s">
        <v>437</v>
      </c>
      <c r="C182" s="246">
        <v>0</v>
      </c>
      <c r="E182" s="246">
        <v>-83.145862506379771</v>
      </c>
      <c r="G182" s="246">
        <f t="shared" si="18"/>
        <v>0</v>
      </c>
      <c r="I182" s="246">
        <v>-83.145862506379771</v>
      </c>
      <c r="K182" s="250">
        <f t="shared" si="19"/>
        <v>0</v>
      </c>
    </row>
    <row r="183" spans="2:18">
      <c r="B183" s="233" t="s">
        <v>430</v>
      </c>
      <c r="C183" s="246">
        <v>0</v>
      </c>
      <c r="D183" s="52" t="s">
        <v>371</v>
      </c>
      <c r="E183" s="246">
        <v>25028853.3010469</v>
      </c>
      <c r="F183" s="52" t="s">
        <v>373</v>
      </c>
      <c r="G183" s="246">
        <f t="shared" si="18"/>
        <v>25028853.3010469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>
      <c r="B184" s="134" t="s">
        <v>416</v>
      </c>
      <c r="C184" s="246">
        <v>0</v>
      </c>
      <c r="E184" s="246">
        <v>-83.141622340425542</v>
      </c>
      <c r="G184" s="246">
        <f t="shared" si="18"/>
        <v>0</v>
      </c>
      <c r="I184" s="246">
        <v>-83.141622340425542</v>
      </c>
      <c r="K184" s="250">
        <f t="shared" si="19"/>
        <v>0</v>
      </c>
    </row>
    <row r="185" spans="2:18" ht="16.05" customHeight="1">
      <c r="B185" s="232" t="s">
        <v>441</v>
      </c>
      <c r="C185" s="246">
        <v>0</v>
      </c>
      <c r="E185" s="246">
        <v>-854.87945690887818</v>
      </c>
      <c r="G185" s="246">
        <f t="shared" si="18"/>
        <v>-854.87945690887818</v>
      </c>
      <c r="I185" s="246">
        <v>0</v>
      </c>
      <c r="K185" s="250">
        <f t="shared" si="19"/>
        <v>0</v>
      </c>
    </row>
    <row r="186" spans="2:18" ht="16.05" customHeight="1">
      <c r="B186" s="232" t="s">
        <v>436</v>
      </c>
      <c r="C186" s="246">
        <v>0</v>
      </c>
      <c r="E186" s="246">
        <v>-1201.0257495724293</v>
      </c>
      <c r="G186" s="246">
        <f t="shared" si="18"/>
        <v>-1201.0257495724293</v>
      </c>
      <c r="I186" s="246">
        <v>0</v>
      </c>
      <c r="K186" s="250">
        <f t="shared" si="19"/>
        <v>0</v>
      </c>
    </row>
    <row r="187" spans="2:18" ht="16.05" customHeight="1">
      <c r="B187" s="232" t="s">
        <v>433</v>
      </c>
      <c r="C187" s="246">
        <v>0</v>
      </c>
      <c r="E187" s="246">
        <v>25028853.3010469</v>
      </c>
      <c r="G187" s="246">
        <f t="shared" si="18"/>
        <v>25028853.3010469</v>
      </c>
      <c r="I187" s="246">
        <v>0</v>
      </c>
      <c r="K187" s="250">
        <f t="shared" si="19"/>
        <v>0</v>
      </c>
    </row>
    <row r="188" spans="2:18" ht="16.05" customHeight="1">
      <c r="B188" s="232" t="s">
        <v>439</v>
      </c>
      <c r="C188" s="246">
        <v>0</v>
      </c>
      <c r="E188" s="246">
        <v>-847.04018592884336</v>
      </c>
      <c r="G188" s="246">
        <f t="shared" si="18"/>
        <v>-847.04018592884336</v>
      </c>
      <c r="I188" s="246">
        <v>0</v>
      </c>
      <c r="K188" s="250">
        <f t="shared" si="19"/>
        <v>0</v>
      </c>
    </row>
    <row r="189" spans="2:18">
      <c r="B189" s="233" t="s">
        <v>438</v>
      </c>
      <c r="C189" s="246">
        <v>0</v>
      </c>
      <c r="E189" s="246">
        <v>-1314.3311496223889</v>
      </c>
      <c r="G189" s="246">
        <f t="shared" si="18"/>
        <v>0</v>
      </c>
      <c r="I189" s="246">
        <v>-1314.3311496223889</v>
      </c>
      <c r="K189" s="250">
        <f t="shared" si="19"/>
        <v>0</v>
      </c>
    </row>
    <row r="190" spans="2:18">
      <c r="B190" s="233" t="s">
        <v>424</v>
      </c>
      <c r="C190" s="246">
        <v>0</v>
      </c>
      <c r="E190" s="246">
        <v>-1201.0257495724293</v>
      </c>
      <c r="G190" s="246">
        <f t="shared" si="18"/>
        <v>-1201.0257495724293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>
      <c r="B191" s="233" t="s">
        <v>456</v>
      </c>
      <c r="C191" s="246">
        <v>0</v>
      </c>
      <c r="E191" s="246">
        <v>25028853.3010469</v>
      </c>
      <c r="G191" s="246">
        <f t="shared" si="18"/>
        <v>25028853.3010469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>
      <c r="B194" s="233" t="s">
        <v>426</v>
      </c>
      <c r="C194" s="246">
        <v>0</v>
      </c>
      <c r="E194" s="246">
        <v>-107.73184041802253</v>
      </c>
      <c r="G194" s="246">
        <f t="shared" si="18"/>
        <v>0</v>
      </c>
      <c r="I194" s="246">
        <v>-107.73184041802253</v>
      </c>
      <c r="K194" s="250">
        <f t="shared" si="19"/>
        <v>0</v>
      </c>
      <c r="N194" s="52"/>
      <c r="P194" s="52"/>
      <c r="Q194" s="52"/>
      <c r="R194" s="52"/>
    </row>
    <row r="195" spans="2:19">
      <c r="B195" s="233" t="s">
        <v>484</v>
      </c>
      <c r="C195" s="246">
        <v>0</v>
      </c>
      <c r="E195" s="246">
        <v>6546468.5968566798</v>
      </c>
      <c r="G195" s="246">
        <f t="shared" si="18"/>
        <v>6546468.5968566798</v>
      </c>
      <c r="I195" s="246">
        <v>0</v>
      </c>
      <c r="K195" s="250">
        <f t="shared" si="19"/>
        <v>0</v>
      </c>
    </row>
    <row r="196" spans="2:19" ht="16.05" customHeight="1">
      <c r="B196" s="247" t="s">
        <v>422</v>
      </c>
      <c r="C196" s="246">
        <v>0</v>
      </c>
      <c r="E196" s="246">
        <v>-5.2876555731943364</v>
      </c>
      <c r="G196" s="246">
        <f t="shared" si="18"/>
        <v>-5.2876555731943364</v>
      </c>
      <c r="I196" s="246">
        <v>0</v>
      </c>
      <c r="K196" s="250">
        <f t="shared" si="19"/>
        <v>0</v>
      </c>
    </row>
    <row r="197" spans="2:19" ht="16.05" customHeight="1">
      <c r="B197" s="247" t="s">
        <v>552</v>
      </c>
      <c r="C197" s="246">
        <v>0</v>
      </c>
      <c r="E197" s="246">
        <v>-16.063792643147199</v>
      </c>
      <c r="G197" s="246"/>
      <c r="I197" s="246">
        <v>-16.063792643147199</v>
      </c>
      <c r="K197" s="250">
        <f t="shared" si="19"/>
        <v>0</v>
      </c>
    </row>
    <row r="198" spans="2:19">
      <c r="B198" s="233" t="s">
        <v>421</v>
      </c>
      <c r="C198" s="246">
        <v>0</v>
      </c>
      <c r="E198" s="246">
        <v>-1029.2848669218351</v>
      </c>
      <c r="G198" s="246">
        <f t="shared" ref="G198:G205" si="20">BG111</f>
        <v>0</v>
      </c>
      <c r="I198" s="246">
        <v>-1029.2848669218351</v>
      </c>
      <c r="K198" s="250">
        <f t="shared" si="19"/>
        <v>0</v>
      </c>
      <c r="L198" s="52"/>
    </row>
    <row r="199" spans="2:19">
      <c r="B199" s="134" t="s">
        <v>423</v>
      </c>
      <c r="C199" s="246">
        <v>0</v>
      </c>
      <c r="E199" s="246">
        <v>-83.374524714828908</v>
      </c>
      <c r="G199" s="246">
        <f t="shared" si="20"/>
        <v>0</v>
      </c>
      <c r="I199" s="246">
        <v>-83.374524714828908</v>
      </c>
      <c r="K199" s="250">
        <f t="shared" si="19"/>
        <v>0</v>
      </c>
    </row>
    <row r="200" spans="2:19">
      <c r="B200" s="233" t="s">
        <v>515</v>
      </c>
      <c r="C200" s="246">
        <v>0</v>
      </c>
      <c r="E200" s="246">
        <v>-4.5562340979421263</v>
      </c>
      <c r="G200" s="246">
        <f t="shared" si="20"/>
        <v>-4.5562340979421263</v>
      </c>
      <c r="I200" s="246">
        <v>0</v>
      </c>
      <c r="K200" s="250">
        <f t="shared" si="19"/>
        <v>0</v>
      </c>
    </row>
    <row r="201" spans="2:19">
      <c r="B201" s="233" t="s">
        <v>517</v>
      </c>
      <c r="C201" s="246">
        <v>0</v>
      </c>
      <c r="E201" s="246">
        <v>-4.5562340979421263</v>
      </c>
      <c r="G201" s="246">
        <f t="shared" si="20"/>
        <v>-4.5562340979421263</v>
      </c>
      <c r="I201" s="246">
        <v>-4.5562340979421254</v>
      </c>
      <c r="K201" s="250" t="s">
        <v>518</v>
      </c>
    </row>
    <row r="202" spans="2:19">
      <c r="B202" s="233" t="s">
        <v>445</v>
      </c>
      <c r="C202" s="246">
        <v>0</v>
      </c>
      <c r="E202" s="246">
        <v>4265190.2010081904</v>
      </c>
      <c r="G202" s="246">
        <f t="shared" si="20"/>
        <v>4265190.2010081904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>
      <c r="B204" s="233" t="s">
        <v>447</v>
      </c>
      <c r="C204" s="246">
        <v>0</v>
      </c>
      <c r="E204" s="246">
        <v>-105.59301148993288</v>
      </c>
      <c r="G204" s="246">
        <f t="shared" si="20"/>
        <v>0</v>
      </c>
      <c r="I204" s="246">
        <v>-105.59301148993288</v>
      </c>
      <c r="K204" s="250">
        <f t="shared" si="19"/>
        <v>0</v>
      </c>
    </row>
    <row r="205" spans="2:19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6.95" customHeight="1">
      <c r="B206" s="233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>
      <c r="B207" s="233"/>
      <c r="G207" s="52"/>
      <c r="I207" s="52"/>
    </row>
    <row r="208" spans="2:19">
      <c r="B208" s="233"/>
    </row>
    <row r="209" spans="2:15">
      <c r="D209" s="241"/>
      <c r="E209" s="241"/>
      <c r="L209" s="241"/>
      <c r="M209" s="241"/>
    </row>
    <row r="212" spans="2:15">
      <c r="D212" s="241"/>
      <c r="E212" s="241"/>
    </row>
    <row r="213" spans="2:15">
      <c r="B213" s="134" t="s">
        <v>325</v>
      </c>
      <c r="C213" s="251">
        <v>0</v>
      </c>
      <c r="N213" s="241"/>
      <c r="O213" s="241"/>
    </row>
    <row r="214" spans="2:15">
      <c r="B214" s="134" t="s">
        <v>326</v>
      </c>
      <c r="C214" s="251">
        <v>0</v>
      </c>
    </row>
    <row r="215" spans="2:15">
      <c r="B215" s="134" t="s">
        <v>327</v>
      </c>
      <c r="C215" s="251">
        <f>Ore_to_PI!AA195</f>
        <v>80616.370239891301</v>
      </c>
    </row>
    <row r="216" spans="2:15">
      <c r="B216" s="134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>
      <c r="B217" s="134" t="s">
        <v>435</v>
      </c>
      <c r="C217" s="251">
        <f>Ore_to_PI!AS113</f>
        <v>2824.8856477449194</v>
      </c>
    </row>
    <row r="218" spans="2:15">
      <c r="B218" s="134" t="s">
        <v>434</v>
      </c>
      <c r="C218" s="251">
        <f>Ore_to_PI!AS190</f>
        <v>282.1287710315147</v>
      </c>
    </row>
    <row r="219" spans="2:15">
      <c r="B219" s="134" t="s">
        <v>351</v>
      </c>
      <c r="C219" s="251">
        <f>Ore_to_PI!BL35</f>
        <v>12479.249680000003</v>
      </c>
    </row>
    <row r="220" spans="2:15">
      <c r="B220" s="134" t="s">
        <v>348</v>
      </c>
      <c r="C220" s="251">
        <f>Ore_to_PI!BK116</f>
        <v>34.678095164114971</v>
      </c>
    </row>
    <row r="221" spans="2:15">
      <c r="B221" s="134" t="s">
        <v>362</v>
      </c>
      <c r="C221" s="251">
        <f>Ore_to_PI!BK195</f>
        <v>50.358084153937838</v>
      </c>
    </row>
    <row r="222" spans="2:15">
      <c r="B222" s="134" t="s">
        <v>349</v>
      </c>
      <c r="C222" s="251">
        <v>0</v>
      </c>
    </row>
    <row r="223" spans="2:15">
      <c r="B223" s="134" t="s">
        <v>344</v>
      </c>
      <c r="C223" s="251">
        <v>0</v>
      </c>
    </row>
    <row r="224" spans="2:15">
      <c r="B224" s="134" t="s">
        <v>514</v>
      </c>
      <c r="C224" s="251">
        <f>Ore_to_PI!DB229</f>
        <v>33191.859393697465</v>
      </c>
    </row>
    <row r="225" spans="2:11">
      <c r="B225" s="134" t="s">
        <v>516</v>
      </c>
      <c r="C225" s="251">
        <v>0</v>
      </c>
    </row>
    <row r="226" spans="2:11">
      <c r="B226" s="134" t="s">
        <v>76</v>
      </c>
      <c r="C226" s="251">
        <v>0</v>
      </c>
    </row>
    <row r="227" spans="2:11">
      <c r="B227" s="134" t="s">
        <v>337</v>
      </c>
      <c r="C227" s="253">
        <f>Ore_to_PI!ES117</f>
        <v>318930.1042317453</v>
      </c>
    </row>
    <row r="228" spans="2:11">
      <c r="B228" s="233"/>
      <c r="C228" s="252" t="s">
        <v>196</v>
      </c>
    </row>
    <row r="233" spans="2:11">
      <c r="H233" s="52"/>
      <c r="I233" s="52"/>
      <c r="J233" s="52"/>
      <c r="K233" s="52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E17:BP138"/>
  <sheetViews>
    <sheetView topLeftCell="B83" workbookViewId="0">
      <selection activeCell="F95" sqref="F95:AO95"/>
    </sheetView>
  </sheetViews>
  <sheetFormatPr defaultColWidth="11.5546875" defaultRowHeight="14.4"/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v>0.47896953999999997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0.47896953999999997</v>
      </c>
      <c r="BJ18" s="14"/>
      <c r="BK18" s="14"/>
      <c r="BL18" s="134"/>
      <c r="BM18" s="134" t="s">
        <v>333</v>
      </c>
      <c r="BN18" s="256"/>
      <c r="BO18" s="256"/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/>
      <c r="AU19" s="254">
        <v>0.18440139999999999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0.18440139999999999</v>
      </c>
      <c r="BJ19" s="14"/>
      <c r="BK19" s="14"/>
      <c r="BL19" s="134"/>
      <c r="BM19" s="134" t="s">
        <v>335</v>
      </c>
      <c r="BN19" s="256"/>
      <c r="BO19" s="256"/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/>
      <c r="AU20" s="254"/>
      <c r="AV20" s="254">
        <f>Ore_to_PI!AG218</f>
        <v>754.33705407660659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754.33705407660659</v>
      </c>
      <c r="BJ20" s="14"/>
      <c r="BK20" s="14"/>
      <c r="BL20" s="134"/>
      <c r="BM20" s="134" t="s">
        <v>336</v>
      </c>
      <c r="BN20" s="256"/>
      <c r="BO20" s="256"/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v>6.0012280000000001E-2</v>
      </c>
      <c r="AU21" s="254">
        <v>6.0012280000000001E-2</v>
      </c>
      <c r="AV21" s="254">
        <v>6.0012280000000001E-2</v>
      </c>
      <c r="AW21" s="254"/>
      <c r="AX21" s="254"/>
      <c r="AY21" s="254"/>
      <c r="AZ21" s="254"/>
      <c r="BA21" s="254"/>
      <c r="BB21" s="254"/>
      <c r="BC21" s="254">
        <v>6.0012280000000001E-2</v>
      </c>
      <c r="BD21" s="254">
        <f>Ore_to_PI!BS238</f>
        <v>6.0012280000000001E-2</v>
      </c>
      <c r="BE21" s="254"/>
      <c r="BF21" s="254"/>
      <c r="BG21" s="254"/>
      <c r="BH21" s="254">
        <v>6.0012280000000001E-2</v>
      </c>
      <c r="BI21" s="253">
        <f t="shared" si="0"/>
        <v>0.36007368000000006</v>
      </c>
      <c r="BJ21" s="14"/>
      <c r="BK21" s="14"/>
      <c r="BL21" s="134"/>
      <c r="BM21" s="134" t="s">
        <v>355</v>
      </c>
      <c r="BN21" s="256"/>
      <c r="BO21" s="256"/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v>1.604276E-2</v>
      </c>
      <c r="BD22" s="254">
        <v>1.604276E-2</v>
      </c>
      <c r="BE22" s="254"/>
      <c r="BF22" s="254"/>
      <c r="BG22" s="254"/>
      <c r="BH22" s="254">
        <v>1.604276E-2</v>
      </c>
      <c r="BI22" s="253">
        <f t="shared" si="0"/>
        <v>4.8128279999999996E-2</v>
      </c>
      <c r="BJ22" s="14"/>
      <c r="BK22" s="14"/>
      <c r="BL22" s="134"/>
      <c r="BM22" s="134" t="s">
        <v>377</v>
      </c>
      <c r="BN22" s="256"/>
      <c r="BO22" s="256"/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v>0.16731462</v>
      </c>
      <c r="AU23" s="254">
        <v>0.16731462</v>
      </c>
      <c r="AV23" s="254"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14"/>
      <c r="BK23" s="14"/>
      <c r="BL23" s="134"/>
      <c r="BM23" s="134" t="s">
        <v>466</v>
      </c>
      <c r="BN23" s="256"/>
      <c r="BO23" s="256"/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/>
      <c r="AU24" s="254"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14"/>
      <c r="BK24" s="14"/>
      <c r="BL24" s="134"/>
      <c r="BM24" s="134" t="s">
        <v>467</v>
      </c>
      <c r="BN24" s="256"/>
      <c r="BO24" s="256"/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v>0.1402688</v>
      </c>
      <c r="BI25" s="253">
        <f t="shared" si="0"/>
        <v>0.1402688</v>
      </c>
      <c r="BJ25" s="14"/>
      <c r="BK25" s="14"/>
      <c r="BL25" s="134"/>
      <c r="BM25" s="134" t="s">
        <v>411</v>
      </c>
      <c r="BN25" s="256"/>
      <c r="BO25" s="256"/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/>
      <c r="BO26" s="256"/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/>
      <c r="AU27" s="254"/>
      <c r="AV27" s="254"/>
      <c r="AW27" s="254">
        <v>0.47896953999999997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0.47896953999999997</v>
      </c>
      <c r="BJ27" s="14"/>
      <c r="BK27" s="14"/>
      <c r="BL27" s="232"/>
      <c r="BM27" s="134" t="s">
        <v>442</v>
      </c>
      <c r="BN27" s="256"/>
      <c r="BO27" s="256"/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14"/>
      <c r="BK28" s="14"/>
      <c r="BL28" s="134"/>
      <c r="BM28" s="134" t="s">
        <v>409</v>
      </c>
      <c r="BN28" s="256"/>
      <c r="BO28" s="256">
        <v>9.0038560000000004E-2</v>
      </c>
      <c r="BP28" s="253">
        <f t="shared" si="1"/>
        <v>9.0038560000000004E-2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/>
      <c r="AU29" s="254"/>
      <c r="AV29" s="254"/>
      <c r="AW29" s="254"/>
      <c r="AX29" s="254">
        <v>0.18440139999999999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0.18440139999999999</v>
      </c>
      <c r="BJ29" s="14"/>
      <c r="BK29" s="14"/>
      <c r="BL29" s="232"/>
      <c r="BM29" s="134" t="s">
        <v>412</v>
      </c>
      <c r="BN29" s="257"/>
      <c r="BO29" s="256"/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14"/>
      <c r="BK30" s="14"/>
      <c r="BL30" s="134"/>
      <c r="BM30" s="134" t="s">
        <v>437</v>
      </c>
      <c r="BN30" s="256"/>
      <c r="BO30" s="256">
        <v>9.0038560000000004E-2</v>
      </c>
      <c r="BP30" s="253">
        <f t="shared" si="1"/>
        <v>9.0038560000000004E-2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/>
      <c r="AU31" s="254"/>
      <c r="AV31" s="254"/>
      <c r="AW31" s="254"/>
      <c r="AX31" s="254"/>
      <c r="AY31" s="254">
        <v>754.33705407660659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754.33705407660659</v>
      </c>
      <c r="BJ31" s="14"/>
      <c r="BK31" s="14"/>
      <c r="BL31" s="233"/>
      <c r="BM31" s="134" t="s">
        <v>430</v>
      </c>
      <c r="BN31" s="256"/>
      <c r="BO31" s="256"/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416</v>
      </c>
      <c r="BN32" s="256"/>
      <c r="BO32" s="256">
        <v>9.0038560000000004E-2</v>
      </c>
      <c r="BP32" s="253">
        <f t="shared" si="1"/>
        <v>9.0038560000000004E-2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/>
      <c r="AU33" s="254"/>
      <c r="AV33" s="254"/>
      <c r="AW33" s="254"/>
      <c r="AX33" s="254"/>
      <c r="AY33" s="254"/>
      <c r="AZ33" s="254">
        <v>0.47896953999999997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0.47896953999999997</v>
      </c>
      <c r="BJ33" s="14"/>
      <c r="BK33" s="14"/>
      <c r="BL33" s="232"/>
      <c r="BM33" s="134" t="s">
        <v>441</v>
      </c>
      <c r="BN33" s="256"/>
      <c r="BO33" s="256"/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v>0.18440139999999999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0.18440139999999999</v>
      </c>
      <c r="BJ34" s="14"/>
      <c r="BK34" s="14"/>
      <c r="BL34" s="232"/>
      <c r="BM34" s="134" t="s">
        <v>436</v>
      </c>
      <c r="BN34" s="256"/>
      <c r="BO34" s="256"/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v>754.33705407660659</v>
      </c>
      <c r="BC35" s="254"/>
      <c r="BD35" s="254"/>
      <c r="BE35" s="254"/>
      <c r="BF35" s="254"/>
      <c r="BG35" s="254"/>
      <c r="BH35" s="255"/>
      <c r="BI35" s="253">
        <f t="shared" si="0"/>
        <v>754.33705407660659</v>
      </c>
      <c r="BJ35" s="14"/>
      <c r="BK35" s="14"/>
      <c r="BL35" s="232"/>
      <c r="BM35" s="134" t="s">
        <v>433</v>
      </c>
      <c r="BN35" s="256"/>
      <c r="BO35" s="256"/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v>0.21977250000000001</v>
      </c>
      <c r="BH36" s="255"/>
      <c r="BI36" s="253">
        <f t="shared" si="0"/>
        <v>0.21977250000000001</v>
      </c>
      <c r="BJ36" s="14"/>
      <c r="BK36" s="14"/>
      <c r="BL36" s="232"/>
      <c r="BM36" s="134" t="s">
        <v>439</v>
      </c>
      <c r="BN36" s="256"/>
      <c r="BO36" s="256"/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14"/>
      <c r="BL37" s="233"/>
      <c r="BM37" s="134" t="s">
        <v>438</v>
      </c>
      <c r="BN37" s="256"/>
      <c r="BO37" s="256">
        <v>0.25919703999999999</v>
      </c>
      <c r="BP37" s="253">
        <f t="shared" si="1"/>
        <v>0.25919703999999999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v>0.18440139999999999</v>
      </c>
      <c r="BD38" s="254"/>
      <c r="BE38" s="254"/>
      <c r="BF38" s="254"/>
      <c r="BG38" s="254"/>
      <c r="BH38" s="255"/>
      <c r="BI38" s="253">
        <f t="shared" si="0"/>
        <v>0.18440139999999999</v>
      </c>
      <c r="BJ38" s="14"/>
      <c r="BK38" s="14"/>
      <c r="BL38" s="233"/>
      <c r="BM38" s="134" t="s">
        <v>424</v>
      </c>
      <c r="BN38" s="256"/>
      <c r="BO38" s="256"/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754.33705407660659</v>
      </c>
      <c r="BE39" s="254"/>
      <c r="BF39" s="254"/>
      <c r="BG39" s="254"/>
      <c r="BH39" s="255"/>
      <c r="BI39" s="253">
        <f t="shared" si="0"/>
        <v>754.33705407660659</v>
      </c>
      <c r="BJ39" s="14"/>
      <c r="BK39" s="14"/>
      <c r="BL39" s="233"/>
      <c r="BM39" s="134" t="s">
        <v>456</v>
      </c>
      <c r="BN39" s="256"/>
      <c r="BO39" s="256"/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v>5.6077400000000006E-2</v>
      </c>
      <c r="BH40" s="255"/>
      <c r="BI40" s="253">
        <f t="shared" si="0"/>
        <v>5.6077400000000006E-2</v>
      </c>
      <c r="BJ40" s="14"/>
      <c r="BK40" s="14"/>
      <c r="BL40" s="233"/>
      <c r="BM40" s="134" t="s">
        <v>425</v>
      </c>
      <c r="BN40" s="256"/>
      <c r="BO40" s="256"/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14"/>
      <c r="BK41" s="14"/>
      <c r="BL41" s="233"/>
      <c r="BM41" s="134" t="s">
        <v>427</v>
      </c>
      <c r="BN41" s="256"/>
      <c r="BO41" s="256">
        <v>4.0304400000000004E-2</v>
      </c>
      <c r="BP41" s="253">
        <f t="shared" si="1"/>
        <v>4.0304400000000004E-2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3"/>
      <c r="BM42" s="134" t="s">
        <v>426</v>
      </c>
      <c r="BN42" s="256"/>
      <c r="BO42" s="256">
        <v>9.0038560000000004E-2</v>
      </c>
      <c r="BP42" s="253">
        <f t="shared" si="1"/>
        <v>9.0038560000000004E-2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v>217.63525920401193</v>
      </c>
      <c r="BH43" s="255"/>
      <c r="BI43" s="253">
        <f t="shared" si="0"/>
        <v>217.63525920401193</v>
      </c>
      <c r="BJ43" s="14"/>
      <c r="BK43" s="14"/>
      <c r="BL43" s="233"/>
      <c r="BM43" s="134" t="s">
        <v>484</v>
      </c>
      <c r="BN43" s="256"/>
      <c r="BO43" s="256"/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v>0.12416072</v>
      </c>
      <c r="BF44" s="254"/>
      <c r="BG44" s="254"/>
      <c r="BH44" s="255"/>
      <c r="BI44" s="253">
        <f t="shared" si="0"/>
        <v>0.12416072</v>
      </c>
      <c r="BJ44" s="14"/>
      <c r="BK44" s="14"/>
      <c r="BL44" s="247"/>
      <c r="BM44" s="134" t="s">
        <v>422</v>
      </c>
      <c r="BN44" s="256"/>
      <c r="BO44" s="256"/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14"/>
      <c r="BK45" s="14"/>
      <c r="BL45" s="233"/>
      <c r="BM45" s="134" t="s">
        <v>552</v>
      </c>
      <c r="BN45" s="256"/>
      <c r="BO45" s="256">
        <v>1.445899</v>
      </c>
      <c r="BP45" s="253">
        <f t="shared" si="1"/>
        <v>1.445899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14"/>
      <c r="BK46" s="14"/>
      <c r="BL46" s="134"/>
      <c r="BM46" s="134" t="s">
        <v>421</v>
      </c>
      <c r="BN46" s="256"/>
      <c r="BO46" s="256">
        <f>Ore_to_PI!CN229</f>
        <v>0.57429051399999997</v>
      </c>
      <c r="BP46" s="253">
        <f t="shared" si="1"/>
        <v>0.57429051399999997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423</v>
      </c>
      <c r="BN47" s="256"/>
      <c r="BO47" s="256">
        <v>9.0038560000000004E-2</v>
      </c>
      <c r="BP47" s="253">
        <f t="shared" si="1"/>
        <v>9.0038560000000004E-2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v>8.4139320000000004E-2</v>
      </c>
      <c r="BG48" s="254"/>
      <c r="BH48" s="259"/>
      <c r="BI48" s="253">
        <f t="shared" si="0"/>
        <v>8.4139320000000004E-2</v>
      </c>
      <c r="BJ48" s="14"/>
      <c r="BK48" s="14"/>
      <c r="BL48" s="233"/>
      <c r="BM48" s="134" t="s">
        <v>515</v>
      </c>
      <c r="BN48" s="256"/>
      <c r="BO48" s="256"/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v>8.4139320000000004E-2</v>
      </c>
      <c r="BI49" s="253">
        <f t="shared" si="0"/>
        <v>8.4139320000000004E-2</v>
      </c>
      <c r="BJ49" s="14"/>
      <c r="BK49" s="14"/>
      <c r="BL49" s="233"/>
      <c r="BM49" s="134" t="s">
        <v>517</v>
      </c>
      <c r="BN49" s="256">
        <v>8.4139320000000004E-2</v>
      </c>
      <c r="BO49" s="256"/>
      <c r="BP49" s="253">
        <f t="shared" si="1"/>
        <v>8.4139320000000004E-2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217.91110910401193</v>
      </c>
      <c r="BI50" s="253">
        <f t="shared" si="0"/>
        <v>217.91110910401193</v>
      </c>
      <c r="BJ50" s="14"/>
      <c r="BK50" s="14"/>
      <c r="BL50" s="233"/>
      <c r="BM50" s="134" t="s">
        <v>445</v>
      </c>
      <c r="BN50" s="256"/>
      <c r="BO50" s="256"/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14"/>
      <c r="BK51" s="14"/>
      <c r="BL51" s="233"/>
      <c r="BM51" s="134" t="s">
        <v>446</v>
      </c>
      <c r="BN51" s="256">
        <v>5.5844999999999999E-2</v>
      </c>
      <c r="BO51" s="256"/>
      <c r="BP51" s="253">
        <f t="shared" si="1"/>
        <v>5.5844999999999999E-2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14"/>
      <c r="BK52" s="14"/>
      <c r="BL52" s="14"/>
      <c r="BM52" s="262" t="s">
        <v>447</v>
      </c>
      <c r="BN52" s="263"/>
      <c r="BO52" s="240">
        <v>0.15410336000000002</v>
      </c>
      <c r="BP52" s="253">
        <f t="shared" si="1"/>
        <v>0.15410336000000002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14"/>
      <c r="BK53" s="14"/>
      <c r="BL53" s="14"/>
      <c r="BM53" s="262" t="s">
        <v>457</v>
      </c>
      <c r="BN53" s="263"/>
      <c r="BO53" s="240">
        <v>0.11616169999999999</v>
      </c>
      <c r="BP53" s="253">
        <f t="shared" si="1"/>
        <v>0.11616169999999999</v>
      </c>
    </row>
    <row r="54" spans="5:68">
      <c r="E54" s="14"/>
      <c r="F54" s="361"/>
      <c r="G54" s="361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58" t="s">
        <v>328</v>
      </c>
      <c r="AU54" s="318"/>
      <c r="AV54" s="318"/>
      <c r="AW54" s="318"/>
      <c r="AX54" s="318"/>
      <c r="AY54" s="318"/>
      <c r="AZ54" s="318"/>
      <c r="BA54" s="318"/>
      <c r="BB54" s="318"/>
      <c r="BC54" s="318"/>
      <c r="BD54" s="318"/>
      <c r="BE54" s="318"/>
      <c r="BF54" s="318"/>
      <c r="BG54" s="318"/>
      <c r="BH54" s="318"/>
      <c r="BI54" s="52" t="s">
        <v>369</v>
      </c>
      <c r="BJ54" s="14"/>
      <c r="BK54" s="14"/>
      <c r="BL54" s="14"/>
      <c r="BM54" s="252"/>
      <c r="BN54" s="360" t="s">
        <v>330</v>
      </c>
      <c r="BO54" s="360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0.70629643999999991</v>
      </c>
      <c r="AU55" s="266">
        <f t="shared" ref="AU55:BH55" si="2">SUM(AU18:AU53)</f>
        <v>0.52595921999999995</v>
      </c>
      <c r="AV55" s="266">
        <f t="shared" si="2"/>
        <v>754.56438097660657</v>
      </c>
      <c r="AW55" s="266">
        <f t="shared" si="2"/>
        <v>0.47896953999999997</v>
      </c>
      <c r="AX55" s="266">
        <f t="shared" si="2"/>
        <v>0.18440139999999999</v>
      </c>
      <c r="AY55" s="266">
        <f t="shared" si="2"/>
        <v>754.33705407660659</v>
      </c>
      <c r="AZ55" s="266">
        <f t="shared" si="2"/>
        <v>0.47896953999999997</v>
      </c>
      <c r="BA55" s="266">
        <f t="shared" si="2"/>
        <v>0.18440139999999999</v>
      </c>
      <c r="BB55" s="266">
        <f t="shared" si="2"/>
        <v>754.33705407660659</v>
      </c>
      <c r="BC55" s="266">
        <f t="shared" si="2"/>
        <v>0.26045644000000001</v>
      </c>
      <c r="BD55" s="266">
        <f t="shared" si="2"/>
        <v>754.41310911660662</v>
      </c>
      <c r="BE55" s="266">
        <f t="shared" si="2"/>
        <v>0.12416072</v>
      </c>
      <c r="BF55" s="266">
        <f t="shared" si="2"/>
        <v>8.4139320000000004E-2</v>
      </c>
      <c r="BG55" s="266">
        <f t="shared" si="2"/>
        <v>217.91110910401193</v>
      </c>
      <c r="BH55" s="266">
        <f t="shared" si="2"/>
        <v>218.21157226401192</v>
      </c>
      <c r="BJ55" s="14"/>
      <c r="BK55" s="14"/>
      <c r="BL55" s="14"/>
      <c r="BM55" s="14"/>
      <c r="BN55" s="252"/>
      <c r="BO55" s="14"/>
    </row>
    <row r="56" spans="5:68" ht="235.95" customHeight="1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>
      <c r="E57" s="134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v>0.47896953999999997</v>
      </c>
      <c r="P57" s="254">
        <v>9.0038560000000004E-2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0.56900810000000002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v>0.18440139999999999</v>
      </c>
      <c r="R58" s="254">
        <v>9.0038560000000004E-2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0.27443995999999998</v>
      </c>
      <c r="AQ58" s="14"/>
      <c r="AR58" s="14"/>
      <c r="AS58" s="14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14"/>
      <c r="BI58" s="14"/>
      <c r="BJ58" s="14"/>
      <c r="BK58" s="14"/>
      <c r="BL58" s="14"/>
      <c r="BM58" s="252"/>
      <c r="BN58" s="252"/>
      <c r="BO58" s="14"/>
    </row>
    <row r="59" spans="5:68">
      <c r="E59" s="134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v>754.33705407660659</v>
      </c>
      <c r="T59" s="254">
        <v>9.0038560000000004E-2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754.42709263660663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v>0.47896953999999997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0.47896953999999997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v>0.18440139999999999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0.18440139999999999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v>754.33705407660659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754.33705407660659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v>0.21977250000000001</v>
      </c>
      <c r="Y63" s="254">
        <v>0.25919703999999999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0.47896954000000003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v>0.18440139999999999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0.18440139999999999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v>754.33705407660659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754.33705407660659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v>5.6077400000000006E-2</v>
      </c>
      <c r="AC66" s="254">
        <v>4.0304400000000004E-2</v>
      </c>
      <c r="AD66" s="254">
        <v>9.0038560000000004E-2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0.18642036000000001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MW_Coke</f>
        <v>217.63525920401193</v>
      </c>
      <c r="AF67" s="254">
        <f>Ore_to_PI!CN243</f>
        <v>0.12416072</v>
      </c>
      <c r="AG67" s="254">
        <f>Ore_to_PI!CN282</f>
        <v>1.445899</v>
      </c>
      <c r="AH67" s="254">
        <f>Ore_to_PI!CN229</f>
        <v>0.57429051399999997</v>
      </c>
      <c r="AI67" s="254">
        <v>9.0038560000000004E-2</v>
      </c>
      <c r="AJ67" s="254"/>
      <c r="AK67" s="254"/>
      <c r="AL67" s="254"/>
      <c r="AM67" s="254"/>
      <c r="AN67" s="254"/>
      <c r="AO67" s="254"/>
      <c r="AP67" s="251">
        <f t="shared" si="3"/>
        <v>219.86964799801194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>
      <c r="E68" s="134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v>8.4139320000000004E-2</v>
      </c>
      <c r="AK68" s="254"/>
      <c r="AL68" s="254"/>
      <c r="AM68" s="254"/>
      <c r="AN68" s="254"/>
      <c r="AO68" s="254"/>
      <c r="AP68" s="251">
        <f t="shared" si="3"/>
        <v>8.4139320000000004E-2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v>8.4139320000000004E-2</v>
      </c>
      <c r="AL69" s="254"/>
      <c r="AM69" s="254"/>
      <c r="AN69" s="254"/>
      <c r="AO69" s="254"/>
      <c r="AP69" s="251">
        <f t="shared" si="3"/>
        <v>8.4139320000000004E-2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v>217.91110910401193</v>
      </c>
      <c r="AM70" s="254"/>
      <c r="AN70" s="254"/>
      <c r="AO70" s="254"/>
      <c r="AP70" s="251">
        <f t="shared" si="3"/>
        <v>217.91110910401193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v>5.5844999999999999E-2</v>
      </c>
      <c r="AN71" s="254">
        <v>0.15410336000000002</v>
      </c>
      <c r="AO71" s="254">
        <v>0.11616169999999999</v>
      </c>
      <c r="AP71" s="251">
        <f t="shared" si="3"/>
        <v>0.32611006000000003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/>
      <c r="F72" s="360" t="s">
        <v>329</v>
      </c>
      <c r="G72" s="360"/>
      <c r="H72" s="360"/>
      <c r="I72" s="360"/>
      <c r="J72" s="360"/>
      <c r="K72" s="360"/>
      <c r="L72" s="360"/>
      <c r="M72" s="360"/>
      <c r="N72" s="360"/>
      <c r="O72" s="360"/>
      <c r="P72" s="360"/>
      <c r="Q72" s="360"/>
      <c r="R72" s="360"/>
      <c r="S72" s="360"/>
      <c r="T72" s="360"/>
      <c r="U72" s="360"/>
      <c r="V72" s="360"/>
      <c r="W72" s="360"/>
      <c r="X72" s="360"/>
      <c r="Y72" s="360"/>
      <c r="Z72" s="360"/>
      <c r="AA72" s="360"/>
      <c r="AB72" s="360"/>
      <c r="AC72" s="360"/>
      <c r="AD72" s="360"/>
      <c r="AE72" s="360"/>
      <c r="AF72" s="360"/>
      <c r="AG72" s="360"/>
      <c r="AH72" s="360"/>
      <c r="AI72" s="360"/>
      <c r="AJ72" s="360"/>
      <c r="AK72" s="360"/>
      <c r="AL72" s="360"/>
      <c r="AM72" s="360"/>
      <c r="AN72" s="360"/>
      <c r="AO72" s="360"/>
      <c r="AP72" s="252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0.47896953999999997</v>
      </c>
      <c r="P73" s="251">
        <f t="shared" si="4"/>
        <v>9.0038560000000004E-2</v>
      </c>
      <c r="Q73" s="251">
        <f t="shared" si="4"/>
        <v>0.18440139999999999</v>
      </c>
      <c r="R73" s="251">
        <f t="shared" si="4"/>
        <v>9.0038560000000004E-2</v>
      </c>
      <c r="S73" s="251">
        <f t="shared" si="4"/>
        <v>754.33705407660659</v>
      </c>
      <c r="T73" s="251">
        <f t="shared" si="4"/>
        <v>9.0038560000000004E-2</v>
      </c>
      <c r="U73" s="251">
        <f t="shared" si="4"/>
        <v>0.47896953999999997</v>
      </c>
      <c r="V73" s="251">
        <f t="shared" si="4"/>
        <v>0.18440139999999999</v>
      </c>
      <c r="W73" s="251">
        <f t="shared" si="4"/>
        <v>754.33705407660659</v>
      </c>
      <c r="X73" s="251">
        <f t="shared" si="4"/>
        <v>0.21977250000000001</v>
      </c>
      <c r="Y73" s="251">
        <f t="shared" si="4"/>
        <v>0.25919703999999999</v>
      </c>
      <c r="Z73" s="251">
        <f t="shared" si="4"/>
        <v>0.18440139999999999</v>
      </c>
      <c r="AA73" s="251">
        <f t="shared" si="4"/>
        <v>754.33705407660659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9.0038560000000004E-2</v>
      </c>
      <c r="AE73" s="251">
        <f t="shared" si="4"/>
        <v>217.63525920401193</v>
      </c>
      <c r="AF73" s="251">
        <f t="shared" si="4"/>
        <v>0.12416072</v>
      </c>
      <c r="AG73" s="251">
        <f t="shared" si="4"/>
        <v>1.445899</v>
      </c>
      <c r="AH73" s="251">
        <f t="shared" si="4"/>
        <v>0.57429051399999997</v>
      </c>
      <c r="AI73" s="251">
        <f t="shared" si="4"/>
        <v>9.0038560000000004E-2</v>
      </c>
      <c r="AJ73" s="251">
        <f t="shared" si="4"/>
        <v>8.4139320000000004E-2</v>
      </c>
      <c r="AK73" s="251">
        <f t="shared" si="4"/>
        <v>8.4139320000000004E-2</v>
      </c>
      <c r="AL73" s="251">
        <f t="shared" si="4"/>
        <v>217.91110910401193</v>
      </c>
      <c r="AM73" s="251">
        <f t="shared" si="4"/>
        <v>5.5844999999999999E-2</v>
      </c>
      <c r="AN73" s="251">
        <f t="shared" si="4"/>
        <v>0.15410336000000002</v>
      </c>
      <c r="AO73" s="251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360" t="s">
        <v>366</v>
      </c>
      <c r="G74" s="360"/>
      <c r="H74" s="360"/>
      <c r="I74" s="360"/>
      <c r="J74" s="360"/>
      <c r="K74" s="360"/>
      <c r="L74" s="360"/>
      <c r="M74" s="360"/>
      <c r="N74" s="360"/>
      <c r="O74" s="360"/>
      <c r="P74" s="360"/>
      <c r="Q74" s="360"/>
      <c r="R74" s="360"/>
      <c r="S74" s="360"/>
      <c r="T74" s="360"/>
      <c r="U74" s="360"/>
      <c r="V74" s="360"/>
      <c r="W74" s="360"/>
      <c r="X74" s="360"/>
      <c r="Y74" s="360"/>
      <c r="Z74" s="360"/>
      <c r="AA74" s="360"/>
      <c r="AB74" s="360"/>
      <c r="AC74" s="360"/>
      <c r="AD74" s="360"/>
      <c r="AE74" s="360"/>
      <c r="AF74" s="360"/>
      <c r="AG74" s="360"/>
      <c r="AH74" s="360"/>
      <c r="AI74" s="360"/>
      <c r="AJ74" s="360"/>
      <c r="AK74" s="360"/>
      <c r="AL74" s="360"/>
      <c r="AM74" s="360"/>
      <c r="AN74" s="360"/>
      <c r="AO74" s="360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5.95" customHeight="1">
      <c r="E83" s="134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>
      <c r="E84" s="134" t="s">
        <v>332</v>
      </c>
      <c r="F84" s="268">
        <f>Ore_to_PI!M52</f>
        <v>0.47896953999999997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.05" customHeight="1">
      <c r="E85" s="232" t="s">
        <v>413</v>
      </c>
      <c r="F85" s="268"/>
      <c r="G85" s="268">
        <v>0.18440139999999999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>
      <c r="E86" s="233" t="s">
        <v>356</v>
      </c>
      <c r="F86" s="268"/>
      <c r="G86" s="268"/>
      <c r="H86" s="268">
        <f>Ore_to_PI!M218</f>
        <v>754.33705407660659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134" t="s">
        <v>380</v>
      </c>
      <c r="F87" s="268"/>
      <c r="G87" s="268"/>
      <c r="H87" s="268"/>
      <c r="I87" s="269">
        <v>6.0012280000000001E-2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.05" customHeight="1">
      <c r="E88" s="134" t="s">
        <v>376</v>
      </c>
      <c r="F88" s="268"/>
      <c r="G88" s="268"/>
      <c r="H88" s="268"/>
      <c r="I88" s="268"/>
      <c r="J88" s="270"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469</v>
      </c>
      <c r="F89" s="268"/>
      <c r="G89" s="268"/>
      <c r="H89" s="268"/>
      <c r="I89" s="268"/>
      <c r="J89" s="268"/>
      <c r="K89" s="268"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14"/>
      <c r="AQ89" s="14"/>
      <c r="AR89" s="14"/>
      <c r="AS89" s="14"/>
      <c r="AT89" s="238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468</v>
      </c>
      <c r="F90" s="268"/>
      <c r="G90" s="268"/>
      <c r="H90" s="268"/>
      <c r="I90" s="268"/>
      <c r="J90" s="268"/>
      <c r="K90" s="268"/>
      <c r="L90" s="268"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410</v>
      </c>
      <c r="F91" s="268"/>
      <c r="G91" s="268"/>
      <c r="H91" s="268"/>
      <c r="I91" s="268"/>
      <c r="J91" s="268"/>
      <c r="K91" s="268"/>
      <c r="L91" s="268"/>
      <c r="M91" s="268"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4"/>
      <c r="F93" s="360" t="s">
        <v>56</v>
      </c>
      <c r="G93" s="360"/>
      <c r="H93" s="360"/>
      <c r="I93" s="360"/>
      <c r="J93" s="360"/>
      <c r="K93" s="360"/>
      <c r="L93" s="360"/>
      <c r="M93" s="360"/>
      <c r="N93" s="360"/>
      <c r="O93" s="360"/>
      <c r="P93" s="360"/>
      <c r="Q93" s="360"/>
      <c r="R93" s="360"/>
      <c r="S93" s="360"/>
      <c r="T93" s="360"/>
      <c r="U93" s="360"/>
      <c r="V93" s="360"/>
      <c r="W93" s="360"/>
      <c r="X93" s="360"/>
      <c r="Y93" s="360"/>
      <c r="Z93" s="360"/>
      <c r="AA93" s="360"/>
      <c r="AB93" s="360"/>
      <c r="AC93" s="360"/>
      <c r="AD93" s="360"/>
      <c r="AE93" s="360"/>
      <c r="AF93" s="360"/>
      <c r="AG93" s="360"/>
      <c r="AH93" s="360"/>
      <c r="AI93" s="360"/>
      <c r="AJ93" s="360"/>
      <c r="AK93" s="360"/>
      <c r="AL93" s="360"/>
      <c r="AM93" s="360"/>
      <c r="AN93" s="360"/>
      <c r="AO93" s="360"/>
      <c r="AP93" s="252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251">
        <f>SUM(F84:F92)</f>
        <v>0.47896953999999997</v>
      </c>
      <c r="G94" s="251">
        <f t="shared" ref="G94:N94" si="5">SUM(G84:G92)</f>
        <v>0.18440139999999999</v>
      </c>
      <c r="H94" s="251">
        <f t="shared" si="5"/>
        <v>754.33705407660659</v>
      </c>
      <c r="I94" s="251">
        <f t="shared" si="5"/>
        <v>6.0012280000000001E-2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F95" s="358" t="s">
        <v>367</v>
      </c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  <c r="AA95" s="358"/>
      <c r="AB95" s="358"/>
      <c r="AC95" s="358"/>
      <c r="AD95" s="358"/>
      <c r="AE95" s="358"/>
      <c r="AF95" s="358"/>
      <c r="AG95" s="358"/>
      <c r="AH95" s="358"/>
      <c r="AI95" s="358"/>
      <c r="AJ95" s="358"/>
      <c r="AK95" s="358"/>
      <c r="AL95" s="358"/>
      <c r="AM95" s="358"/>
      <c r="AN95" s="358"/>
      <c r="AO95" s="358"/>
    </row>
    <row r="102" spans="5:14">
      <c r="E102" s="134" t="s">
        <v>333</v>
      </c>
      <c r="F102" s="246">
        <f t="array" ref="F102:F137">TRANSPOSE(F94:AO94)</f>
        <v>0.47896953999999997</v>
      </c>
      <c r="G102" s="14"/>
      <c r="H102" s="246">
        <f t="array" ref="H102:H137">TRANSPOSE(F73:AO73)</f>
        <v>0</v>
      </c>
      <c r="I102" s="14"/>
      <c r="J102" s="246">
        <f>BI18</f>
        <v>0.47896953999999997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0.18440139999999999</v>
      </c>
      <c r="G103" s="14"/>
      <c r="H103" s="246">
        <v>0</v>
      </c>
      <c r="I103" s="14"/>
      <c r="J103" s="246">
        <f t="shared" ref="J103:J137" si="6">BI19</f>
        <v>0.18440139999999999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754.33705407660659</v>
      </c>
      <c r="G104" s="14"/>
      <c r="H104" s="246">
        <v>0</v>
      </c>
      <c r="I104" s="14"/>
      <c r="J104" s="246">
        <f t="shared" si="6"/>
        <v>754.33705407660659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6.0012280000000001E-2</v>
      </c>
      <c r="G105" s="14"/>
      <c r="H105" s="246">
        <v>0</v>
      </c>
      <c r="I105" s="14"/>
      <c r="J105" s="246">
        <f t="shared" si="6"/>
        <v>0.36007368000000006</v>
      </c>
      <c r="K105" s="14"/>
      <c r="L105" s="246">
        <v>0</v>
      </c>
      <c r="M105" s="14"/>
      <c r="N105" s="250" t="s">
        <v>619</v>
      </c>
    </row>
    <row r="106" spans="5:14">
      <c r="E106" s="134" t="s">
        <v>377</v>
      </c>
      <c r="F106" s="246">
        <v>1.604276E-2</v>
      </c>
      <c r="G106" s="14"/>
      <c r="H106" s="246">
        <v>0</v>
      </c>
      <c r="I106" s="14"/>
      <c r="J106" s="246">
        <f t="shared" si="6"/>
        <v>4.8128279999999996E-2</v>
      </c>
      <c r="K106" s="14"/>
      <c r="L106" s="246">
        <v>0</v>
      </c>
      <c r="M106" s="14"/>
      <c r="N106" s="250" t="s">
        <v>619</v>
      </c>
    </row>
    <row r="107" spans="5:14">
      <c r="E107" s="134" t="s">
        <v>407</v>
      </c>
      <c r="F107" s="246">
        <v>0.16731462</v>
      </c>
      <c r="G107" s="14"/>
      <c r="H107" s="246">
        <v>0</v>
      </c>
      <c r="I107" s="14"/>
      <c r="J107" s="246">
        <f t="shared" si="6"/>
        <v>0.50194386000000002</v>
      </c>
      <c r="K107" s="14"/>
      <c r="L107" s="246">
        <v>0</v>
      </c>
      <c r="M107" s="14"/>
      <c r="N107" s="250" t="s">
        <v>619</v>
      </c>
    </row>
    <row r="108" spans="5:14">
      <c r="E108" s="134" t="s">
        <v>408</v>
      </c>
      <c r="F108" s="246">
        <v>0.11423092</v>
      </c>
      <c r="G108" s="14"/>
      <c r="H108" s="246">
        <v>0</v>
      </c>
      <c r="I108" s="14"/>
      <c r="J108" s="246">
        <f t="shared" si="6"/>
        <v>0.11423092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0.1402688</v>
      </c>
      <c r="G109" s="14"/>
      <c r="H109" s="246">
        <v>0</v>
      </c>
      <c r="I109" s="14"/>
      <c r="J109" s="246">
        <f t="shared" si="6"/>
        <v>0.1402688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0.47896953999999997</v>
      </c>
      <c r="I111" s="14"/>
      <c r="J111" s="246">
        <f t="shared" si="6"/>
        <v>0.47896953999999997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9.0038560000000004E-2</v>
      </c>
      <c r="I112" s="14"/>
      <c r="J112" s="246">
        <f t="shared" si="6"/>
        <v>0</v>
      </c>
      <c r="K112" s="14"/>
      <c r="L112" s="246">
        <v>9.0038560000000004E-2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0.18440139999999999</v>
      </c>
      <c r="I113" s="14"/>
      <c r="J113" s="246">
        <f t="shared" si="6"/>
        <v>0.18440139999999999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9.0038560000000004E-2</v>
      </c>
      <c r="I114" s="14"/>
      <c r="J114" s="246">
        <f t="shared" si="6"/>
        <v>0</v>
      </c>
      <c r="K114" s="14"/>
      <c r="L114" s="246">
        <v>9.0038560000000004E-2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754.33705407660659</v>
      </c>
      <c r="I115" s="52" t="s">
        <v>373</v>
      </c>
      <c r="J115" s="246">
        <f t="shared" si="6"/>
        <v>754.33705407660659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9.0038560000000004E-2</v>
      </c>
      <c r="I116" s="14"/>
      <c r="J116" s="246">
        <f t="shared" si="6"/>
        <v>0</v>
      </c>
      <c r="K116" s="14"/>
      <c r="L116" s="246">
        <v>9.0038560000000004E-2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0.47896953999999997</v>
      </c>
      <c r="I117" s="14"/>
      <c r="J117" s="246">
        <f t="shared" si="6"/>
        <v>0.47896953999999997</v>
      </c>
      <c r="K117" s="14"/>
      <c r="L117" s="246">
        <v>0</v>
      </c>
      <c r="M117" s="14"/>
      <c r="N117" s="250">
        <f t="shared" si="7"/>
        <v>0</v>
      </c>
    </row>
    <row r="118" spans="5:14" ht="16.05" customHeight="1">
      <c r="E118" s="232" t="s">
        <v>436</v>
      </c>
      <c r="F118" s="246">
        <v>0</v>
      </c>
      <c r="G118" s="14"/>
      <c r="H118" s="246">
        <v>0.18440139999999999</v>
      </c>
      <c r="I118" s="14"/>
      <c r="J118" s="246">
        <f t="shared" si="6"/>
        <v>0.18440139999999999</v>
      </c>
      <c r="K118" s="14"/>
      <c r="L118" s="246">
        <v>0</v>
      </c>
      <c r="M118" s="14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14"/>
      <c r="H119" s="246">
        <v>754.33705407660659</v>
      </c>
      <c r="I119" s="14"/>
      <c r="J119" s="246">
        <f t="shared" si="6"/>
        <v>754.33705407660659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0.21977250000000001</v>
      </c>
      <c r="I120" s="14"/>
      <c r="J120" s="246">
        <f t="shared" si="6"/>
        <v>0.21977250000000001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0.25919703999999999</v>
      </c>
      <c r="I121" s="14"/>
      <c r="J121" s="246">
        <f t="shared" si="6"/>
        <v>0</v>
      </c>
      <c r="K121" s="14"/>
      <c r="L121" s="246">
        <v>0.25919703999999999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0.18440139999999999</v>
      </c>
      <c r="I122" s="14"/>
      <c r="J122" s="246">
        <f t="shared" si="6"/>
        <v>0.18440139999999999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754.33705407660659</v>
      </c>
      <c r="I123" s="14"/>
      <c r="J123" s="246">
        <f t="shared" si="6"/>
        <v>754.33705407660659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5.6077400000000006E-2</v>
      </c>
      <c r="I124" s="14"/>
      <c r="J124" s="246">
        <f t="shared" si="6"/>
        <v>5.6077400000000006E-2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4.0304400000000004E-2</v>
      </c>
      <c r="I125" s="14"/>
      <c r="J125" s="246">
        <f t="shared" si="6"/>
        <v>0</v>
      </c>
      <c r="K125" s="14"/>
      <c r="L125" s="246">
        <v>4.0304400000000004E-2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9.0038560000000004E-2</v>
      </c>
      <c r="I126" s="14"/>
      <c r="J126" s="246">
        <f t="shared" si="6"/>
        <v>0</v>
      </c>
      <c r="K126" s="14"/>
      <c r="L126" s="246">
        <v>9.0038560000000004E-2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217.63525920401193</v>
      </c>
      <c r="I127" s="14"/>
      <c r="J127" s="246">
        <f t="shared" si="6"/>
        <v>217.63525920401193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0.12416072</v>
      </c>
      <c r="I128" s="14"/>
      <c r="J128" s="246">
        <f t="shared" si="6"/>
        <v>0.12416072</v>
      </c>
      <c r="K128" s="14"/>
      <c r="L128" s="246">
        <v>0</v>
      </c>
      <c r="M128" s="14"/>
      <c r="N128" s="250">
        <f t="shared" si="7"/>
        <v>0</v>
      </c>
    </row>
    <row r="129" spans="5:14" ht="16.05" customHeight="1">
      <c r="E129" s="247" t="s">
        <v>552</v>
      </c>
      <c r="F129" s="246">
        <v>0</v>
      </c>
      <c r="G129" s="14"/>
      <c r="H129" s="246">
        <v>1.445899</v>
      </c>
      <c r="I129" s="14"/>
      <c r="J129" s="246">
        <f t="shared" si="6"/>
        <v>0</v>
      </c>
      <c r="K129" s="14"/>
      <c r="L129" s="246">
        <v>1.445899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0.57429051399999997</v>
      </c>
      <c r="I130" s="14"/>
      <c r="J130" s="246">
        <f t="shared" si="6"/>
        <v>0</v>
      </c>
      <c r="K130" s="14"/>
      <c r="L130" s="246">
        <v>0.57429051399999997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9.0038560000000004E-2</v>
      </c>
      <c r="I131" s="14"/>
      <c r="J131" s="246">
        <f t="shared" si="6"/>
        <v>0</v>
      </c>
      <c r="K131" s="14"/>
      <c r="L131" s="246">
        <v>9.0038560000000004E-2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8.4139320000000004E-2</v>
      </c>
      <c r="I132" s="14"/>
      <c r="J132" s="246">
        <f t="shared" si="6"/>
        <v>8.4139320000000004E-2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8.4139320000000004E-2</v>
      </c>
      <c r="I133" s="14"/>
      <c r="J133" s="246">
        <f t="shared" si="6"/>
        <v>8.4139320000000004E-2</v>
      </c>
      <c r="K133" s="14"/>
      <c r="L133" s="246">
        <v>8.4139320000000004E-2</v>
      </c>
      <c r="M133" s="14"/>
      <c r="N133" s="250" t="s">
        <v>619</v>
      </c>
    </row>
    <row r="134" spans="5:14">
      <c r="E134" s="233" t="s">
        <v>445</v>
      </c>
      <c r="F134" s="246">
        <v>0</v>
      </c>
      <c r="G134" s="14"/>
      <c r="H134" s="246">
        <v>217.91110910401193</v>
      </c>
      <c r="I134" s="14"/>
      <c r="J134" s="246">
        <f t="shared" si="6"/>
        <v>217.91110910401193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5.5844999999999999E-2</v>
      </c>
      <c r="I135" s="14"/>
      <c r="J135" s="246">
        <f t="shared" si="6"/>
        <v>0</v>
      </c>
      <c r="K135" s="14"/>
      <c r="L135" s="246">
        <v>5.5844999999999999E-2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0.15410336000000002</v>
      </c>
      <c r="I136" s="14"/>
      <c r="J136" s="246">
        <f t="shared" si="6"/>
        <v>0</v>
      </c>
      <c r="K136" s="14"/>
      <c r="L136" s="246">
        <v>0.15410336000000002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0.11616169999999999</v>
      </c>
      <c r="I137" s="14"/>
      <c r="J137" s="246">
        <f t="shared" si="6"/>
        <v>0</v>
      </c>
      <c r="K137" s="14"/>
      <c r="L137" s="246">
        <v>0.11616169999999999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P160"/>
  <sheetViews>
    <sheetView topLeftCell="A136" workbookViewId="0">
      <selection activeCell="M159" sqref="M159"/>
    </sheetView>
  </sheetViews>
  <sheetFormatPr defaultColWidth="11.5546875" defaultRowHeight="14.4"/>
  <cols>
    <col min="14" max="14" width="12.6640625" customWidth="1"/>
  </cols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MCC_M_RUVY_matrices_mat_level!AR83*MCC_h_RUVY_matrices_mat_level!AR83 /MCC_MW_RUVY_matrices_mat_level!AT18</f>
        <v>-1805833.4604195929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3">
        <f>SUM(AT18:BH18)</f>
        <v>-1805833.4604195929</v>
      </c>
      <c r="BJ18" s="14"/>
      <c r="BK18" s="14"/>
      <c r="BL18" s="134"/>
      <c r="BM18" s="134" t="s">
        <v>333</v>
      </c>
      <c r="BN18" s="256">
        <v>0</v>
      </c>
      <c r="BO18" s="256">
        <v>0</v>
      </c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>
        <v>0</v>
      </c>
      <c r="AU19" s="254">
        <f>MCC_M_RUVY_matrices_mat_level!AS84*MCC_h_RUVY_matrices_mat_level!AS84 /MCC_MW_RUVY_matrices_mat_level!AU19</f>
        <v>-1358344.6214274834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3">
        <f t="shared" ref="BI19:BI53" si="0">SUM(AT19:BH19)</f>
        <v>-1358344.6214274834</v>
      </c>
      <c r="BJ19" s="14"/>
      <c r="BK19" s="14"/>
      <c r="BL19" s="134"/>
      <c r="BM19" s="134" t="s">
        <v>335</v>
      </c>
      <c r="BN19" s="256">
        <v>0</v>
      </c>
      <c r="BO19" s="256">
        <v>0</v>
      </c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>
        <v>0</v>
      </c>
      <c r="AU20" s="254">
        <v>0</v>
      </c>
      <c r="AV20" s="254">
        <f>MCC_M_RUVY_matrices_mat_level!AT85*MCC_h_RUVY_matrices_mat_level!AT85 /MCC_MW_RUVY_matrices_mat_level!AV20</f>
        <v>9908021.6894580107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3">
        <f t="shared" si="0"/>
        <v>9908021.6894580107</v>
      </c>
      <c r="BJ20" s="14"/>
      <c r="BK20" s="14"/>
      <c r="BL20" s="134"/>
      <c r="BM20" s="134" t="s">
        <v>336</v>
      </c>
      <c r="BN20" s="256">
        <v>0</v>
      </c>
      <c r="BO20" s="256">
        <v>0</v>
      </c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MCC_M_RUVY_matrices_mat_level!AR86*MCC_h_RUVY_matrices_mat_level!AR86 /MCC_MW_RUVY_matrices_mat_level!AT21</f>
        <v>0</v>
      </c>
      <c r="AU21" s="254">
        <f>MCC_M_RUVY_matrices_mat_level!AS86*MCC_h_RUVY_matrices_mat_level!AS86 /MCC_MW_RUVY_matrices_mat_level!AU21</f>
        <v>0</v>
      </c>
      <c r="AV21" s="254">
        <f>MCC_M_RUVY_matrices_mat_level!AT86*MCC_h_RUVY_matrices_mat_level!AT86 /MCC_MW_RUVY_matrices_mat_level!AV21</f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f>MCC_M_RUVY_matrices_mat_level!BA86*MCC_h_RUVY_matrices_mat_level!BA86 /MCC_MW_RUVY_matrices_mat_level!BC21</f>
        <v>0</v>
      </c>
      <c r="BD21" s="254">
        <f>MCC_M_RUVY_matrices_mat_level!BB86*MCC_h_RUVY_matrices_mat_level!BB86 /MCC_MW_RUVY_matrices_mat_level!BD21</f>
        <v>0</v>
      </c>
      <c r="BE21" s="254">
        <v>0</v>
      </c>
      <c r="BF21" s="254">
        <v>0</v>
      </c>
      <c r="BG21" s="254">
        <v>0</v>
      </c>
      <c r="BH21" s="254">
        <f>MCC_M_RUVY_matrices_mat_level!BF86*MCC_h_RUVY_matrices_mat_level!BF86 /MCC_MW_RUVY_matrices_mat_level!BH21</f>
        <v>0</v>
      </c>
      <c r="BI21" s="253">
        <f t="shared" si="0"/>
        <v>0</v>
      </c>
      <c r="BJ21" s="14"/>
      <c r="BK21" s="14"/>
      <c r="BL21" s="134"/>
      <c r="BM21" s="134" t="s">
        <v>355</v>
      </c>
      <c r="BN21" s="256">
        <v>0</v>
      </c>
      <c r="BO21" s="256">
        <v>0</v>
      </c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>
        <v>0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f>MCC_M_RUVY_matrices_mat_level!BA87*MCC_h_RUVY_matrices_mat_level!BA87 /MCC_MW_RUVY_matrices_mat_level!BC22</f>
        <v>-174982.33358796954</v>
      </c>
      <c r="BD22" s="254">
        <f>MCC_M_RUVY_matrices_mat_level!BB87*MCC_h_RUVY_matrices_mat_level!BB87 /MCC_MW_RUVY_matrices_mat_level!BD22</f>
        <v>-949206.42548067577</v>
      </c>
      <c r="BE22" s="254">
        <v>0</v>
      </c>
      <c r="BF22" s="254">
        <v>0</v>
      </c>
      <c r="BG22" s="254">
        <v>0</v>
      </c>
      <c r="BH22" s="254">
        <f>MCC_M_RUVY_matrices_mat_level!BF87*MCC_h_RUVY_matrices_mat_level!BF87 /MCC_MW_RUVY_matrices_mat_level!BH22</f>
        <v>-208916.35016621815</v>
      </c>
      <c r="BI22" s="253">
        <f t="shared" si="0"/>
        <v>-1333105.1092348634</v>
      </c>
      <c r="BJ22" s="14"/>
      <c r="BK22" s="14"/>
      <c r="BL22" s="134"/>
      <c r="BM22" s="134" t="s">
        <v>377</v>
      </c>
      <c r="BN22" s="256">
        <v>0</v>
      </c>
      <c r="BO22" s="256">
        <v>0</v>
      </c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MCC_M_RUVY_matrices_mat_level!AR88*MCC_h_RUVY_matrices_mat_level!AR88 /MCC_MW_RUVY_matrices_mat_level!AT23</f>
        <v>88160.656904773379</v>
      </c>
      <c r="AU23" s="254">
        <f>MCC_M_RUVY_matrices_mat_level!AS88*MCC_h_RUVY_matrices_mat_level!AS88 /MCC_MW_RUVY_matrices_mat_level!AU23</f>
        <v>241.59146310558404</v>
      </c>
      <c r="AV23" s="254">
        <f>MCC_M_RUVY_matrices_mat_level!AT88*MCC_h_RUVY_matrices_mat_level!AT88 /MCC_MW_RUVY_matrices_mat_level!AV23</f>
        <v>21827.121921766418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3">
        <f t="shared" si="0"/>
        <v>110229.37028964538</v>
      </c>
      <c r="BJ23" s="14"/>
      <c r="BK23" s="14"/>
      <c r="BL23" s="134"/>
      <c r="BM23" s="134" t="s">
        <v>466</v>
      </c>
      <c r="BN23" s="256">
        <v>0</v>
      </c>
      <c r="BO23" s="256">
        <v>0</v>
      </c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>
        <v>0</v>
      </c>
      <c r="AU24" s="254">
        <f>MCC_M_RUVY_matrices_mat_level!AS89*MCC_h_RUVY_matrices_mat_level!AS89 /MCC_MW_RUVY_matrices_mat_level!AU24</f>
        <v>-1.1322425723331082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3">
        <f t="shared" si="0"/>
        <v>-1.1322425723331082</v>
      </c>
      <c r="BJ24" s="14"/>
      <c r="BK24" s="14"/>
      <c r="BL24" s="134"/>
      <c r="BM24" s="134" t="s">
        <v>467</v>
      </c>
      <c r="BN24" s="256">
        <v>0</v>
      </c>
      <c r="BO24" s="256">
        <v>0</v>
      </c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f>MCC_M_RUVY_matrices_mat_level!BF90*MCC_h_RUVY_matrices_mat_level!BF90 /MCC_MW_RUVY_matrices_mat_level!BH25</f>
        <v>194131.36779323625</v>
      </c>
      <c r="BI25" s="253">
        <f t="shared" si="0"/>
        <v>194131.36779323625</v>
      </c>
      <c r="BJ25" s="14"/>
      <c r="BK25" s="14"/>
      <c r="BL25" s="134"/>
      <c r="BM25" s="134" t="s">
        <v>411</v>
      </c>
      <c r="BN25" s="256">
        <v>0</v>
      </c>
      <c r="BO25" s="256">
        <v>0</v>
      </c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>
        <v>0</v>
      </c>
      <c r="BO26" s="256">
        <v>0</v>
      </c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>
        <v>0</v>
      </c>
      <c r="AU27" s="254">
        <v>0</v>
      </c>
      <c r="AV27" s="254">
        <v>0</v>
      </c>
      <c r="AW27" s="254">
        <f>MCC_M_RUVY_matrices_mat_level!AU92*MCC_h_RUVY_matrices_mat_level!AU92 /MCC_MW_RUVY_matrices_mat_level!AW27</f>
        <v>-1805833.4604195929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3">
        <f t="shared" si="0"/>
        <v>-1805833.4604195929</v>
      </c>
      <c r="BJ27" s="14"/>
      <c r="BK27" s="14"/>
      <c r="BL27" s="232"/>
      <c r="BM27" s="134" t="s">
        <v>442</v>
      </c>
      <c r="BN27" s="256">
        <v>0</v>
      </c>
      <c r="BO27" s="256">
        <v>0</v>
      </c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3">
        <f t="shared" si="0"/>
        <v>0</v>
      </c>
      <c r="BJ28" s="14"/>
      <c r="BK28" s="14"/>
      <c r="BL28" s="134"/>
      <c r="BM28" s="134" t="s">
        <v>409</v>
      </c>
      <c r="BN28" s="256">
        <v>0</v>
      </c>
      <c r="BO28" s="256">
        <f>MCC_M_RUVY_matrices_mat_level!BM93*MCC_h_RUVY_matrices_mat_level!BM93 / MCC_MW_RUVY_matrices_mat_level!BO28</f>
        <v>-29751.885913955852</v>
      </c>
      <c r="BP28" s="253">
        <f t="shared" si="1"/>
        <v>-29751.885913955852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>
        <v>0</v>
      </c>
      <c r="AU29" s="254">
        <v>0</v>
      </c>
      <c r="AV29" s="254">
        <v>0</v>
      </c>
      <c r="AW29" s="254">
        <v>0</v>
      </c>
      <c r="AX29" s="254">
        <f>MCC_M_RUVY_matrices_mat_level!AV94*MCC_h_RUVY_matrices_mat_level!AV94 /MCC_MW_RUVY_matrices_mat_level!AX29</f>
        <v>-1358344.6214274834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3">
        <f t="shared" si="0"/>
        <v>-1358344.6214274834</v>
      </c>
      <c r="BJ29" s="14"/>
      <c r="BK29" s="14"/>
      <c r="BL29" s="232"/>
      <c r="BM29" s="134" t="s">
        <v>412</v>
      </c>
      <c r="BN29" s="256">
        <v>0</v>
      </c>
      <c r="BO29" s="256">
        <v>0</v>
      </c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>
        <v>0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3">
        <f t="shared" si="0"/>
        <v>0</v>
      </c>
      <c r="BJ30" s="14"/>
      <c r="BK30" s="14"/>
      <c r="BL30" s="134"/>
      <c r="BM30" s="134" t="s">
        <v>437</v>
      </c>
      <c r="BN30" s="256">
        <v>0</v>
      </c>
      <c r="BO30" s="256">
        <f>MCC_M_RUVY_matrices_mat_level!BM95*MCC_h_RUVY_matrices_mat_level!BM95 / MCC_MW_RUVY_matrices_mat_level!BO30</f>
        <v>-89.188912462461616</v>
      </c>
      <c r="BP30" s="253">
        <f t="shared" si="1"/>
        <v>-89.188912462461616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f>MCC_M_RUVY_matrices_mat_level!AW96*MCC_h_RUVY_matrices_mat_level!AW96 /MCC_MW_RUVY_matrices_mat_level!AY31</f>
        <v>9908021.6894580107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3">
        <f t="shared" si="0"/>
        <v>9908021.6894580107</v>
      </c>
      <c r="BJ31" s="14"/>
      <c r="BK31" s="14"/>
      <c r="BL31" s="233"/>
      <c r="BM31" s="134" t="s">
        <v>430</v>
      </c>
      <c r="BN31" s="256">
        <v>0</v>
      </c>
      <c r="BO31" s="256">
        <v>0</v>
      </c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3">
        <f t="shared" si="0"/>
        <v>0</v>
      </c>
      <c r="BJ32" s="14"/>
      <c r="BK32" s="14"/>
      <c r="BL32" s="134"/>
      <c r="BM32" s="134" t="s">
        <v>416</v>
      </c>
      <c r="BN32" s="256">
        <v>0</v>
      </c>
      <c r="BO32" s="256">
        <f>MCC_M_RUVY_matrices_mat_level!BM97*MCC_h_RUVY_matrices_mat_level!BM97 / MCC_MW_RUVY_matrices_mat_level!BO32</f>
        <v>-7366.0753452398367</v>
      </c>
      <c r="BP32" s="253">
        <f t="shared" si="1"/>
        <v>-7366.0753452398367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f>MCC_M_RUVY_matrices_mat_level!AX98*MCC_h_RUVY_matrices_mat_level!AX98 /MCC_MW_RUVY_matrices_mat_level!AZ33</f>
        <v>-1805833.4604195929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3">
        <f t="shared" si="0"/>
        <v>-1805833.4604195929</v>
      </c>
      <c r="BJ33" s="14"/>
      <c r="BK33" s="14"/>
      <c r="BL33" s="232"/>
      <c r="BM33" s="134" t="s">
        <v>441</v>
      </c>
      <c r="BN33" s="256">
        <v>0</v>
      </c>
      <c r="BO33" s="256">
        <v>0</v>
      </c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f>MCC_M_RUVY_matrices_mat_level!AY99*MCC_h_RUVY_matrices_mat_level!AY99 /MCC_MW_RUVY_matrices_mat_level!BA34</f>
        <v>-1358344.6214274834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3">
        <f t="shared" si="0"/>
        <v>-1358344.6214274834</v>
      </c>
      <c r="BJ34" s="14"/>
      <c r="BK34" s="14"/>
      <c r="BL34" s="232"/>
      <c r="BM34" s="134" t="s">
        <v>436</v>
      </c>
      <c r="BN34" s="256">
        <v>0</v>
      </c>
      <c r="BO34" s="256">
        <v>0</v>
      </c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f>MCC_M_RUVY_matrices_mat_level!AZ100*MCC_h_RUVY_matrices_mat_level!AZ100 /MCC_MW_RUVY_matrices_mat_level!BB35</f>
        <v>9908021.6894580107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3">
        <f t="shared" si="0"/>
        <v>9908021.6894580107</v>
      </c>
      <c r="BJ35" s="14"/>
      <c r="BK35" s="14"/>
      <c r="BL35" s="232"/>
      <c r="BM35" s="134" t="s">
        <v>433</v>
      </c>
      <c r="BN35" s="256">
        <v>0</v>
      </c>
      <c r="BO35" s="256">
        <v>0</v>
      </c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f>MCC_M_RUVY_matrices_mat_level!BE101*MCC_h_RUVY_matrices_mat_level!BE101 /MCC_MW_RUVY_matrices_mat_level!BG36</f>
        <v>-3854168.2236350928</v>
      </c>
      <c r="BH36" s="254">
        <v>0</v>
      </c>
      <c r="BI36" s="253">
        <f t="shared" si="0"/>
        <v>-3854168.2236350928</v>
      </c>
      <c r="BJ36" s="14"/>
      <c r="BK36" s="14"/>
      <c r="BL36" s="232"/>
      <c r="BM36" s="134" t="s">
        <v>439</v>
      </c>
      <c r="BN36" s="256">
        <v>0</v>
      </c>
      <c r="BO36" s="256">
        <v>0</v>
      </c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>
        <v>0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3">
        <f t="shared" si="0"/>
        <v>0</v>
      </c>
      <c r="BJ37" s="252"/>
      <c r="BK37" s="14"/>
      <c r="BL37" s="233"/>
      <c r="BM37" s="134" t="s">
        <v>438</v>
      </c>
      <c r="BN37" s="256">
        <v>0</v>
      </c>
      <c r="BO37" s="256">
        <f>MCC_M_RUVY_matrices_mat_level!BM102*MCC_h_RUVY_matrices_mat_level!BM102 / MCC_MW_RUVY_matrices_mat_level!BO37</f>
        <v>-59670.230487301538</v>
      </c>
      <c r="BP37" s="253">
        <f t="shared" si="1"/>
        <v>-59670.230487301538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>
        <v>0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f>MCC_M_RUVY_matrices_mat_level!BA103*MCC_h_RUVY_matrices_mat_level!BA103 /MCC_MW_RUVY_matrices_mat_level!BC38</f>
        <v>-1358344.6214274834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3">
        <f t="shared" si="0"/>
        <v>-1358344.6214274834</v>
      </c>
      <c r="BJ38" s="14"/>
      <c r="BK38" s="14"/>
      <c r="BL38" s="233"/>
      <c r="BM38" s="134" t="s">
        <v>424</v>
      </c>
      <c r="BN38" s="256">
        <v>0</v>
      </c>
      <c r="BO38" s="256">
        <v>0</v>
      </c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f>MCC_M_RUVY_matrices_mat_level!BB104*MCC_h_RUVY_matrices_mat_level!BB104 /MCC_MW_RUVY_matrices_mat_level!BD39</f>
        <v>9908021.6894580107</v>
      </c>
      <c r="BE39" s="254">
        <v>0</v>
      </c>
      <c r="BF39" s="254">
        <v>0</v>
      </c>
      <c r="BG39" s="254">
        <v>0</v>
      </c>
      <c r="BH39" s="254">
        <v>0</v>
      </c>
      <c r="BI39" s="253">
        <f t="shared" si="0"/>
        <v>9908021.6894580107</v>
      </c>
      <c r="BJ39" s="14"/>
      <c r="BK39" s="14"/>
      <c r="BL39" s="233"/>
      <c r="BM39" s="134" t="s">
        <v>456</v>
      </c>
      <c r="BN39" s="256">
        <v>0</v>
      </c>
      <c r="BO39" s="256">
        <v>0</v>
      </c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f>MCC_M_RUVY_matrices_mat_level!BE105*MCC_h_RUVY_matrices_mat_level!BE105 /MCC_MW_RUVY_matrices_mat_level!BG40</f>
        <v>-1256817.6045988721</v>
      </c>
      <c r="BH40" s="254">
        <v>0</v>
      </c>
      <c r="BI40" s="253">
        <f t="shared" si="0"/>
        <v>-1256817.6045988721</v>
      </c>
      <c r="BJ40" s="14"/>
      <c r="BK40" s="14"/>
      <c r="BL40" s="233"/>
      <c r="BM40" s="134" t="s">
        <v>425</v>
      </c>
      <c r="BN40" s="256">
        <v>0</v>
      </c>
      <c r="BO40" s="256">
        <v>0</v>
      </c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3">
        <f t="shared" si="0"/>
        <v>0</v>
      </c>
      <c r="BJ41" s="14"/>
      <c r="BK41" s="14"/>
      <c r="BL41" s="233"/>
      <c r="BM41" s="134" t="s">
        <v>427</v>
      </c>
      <c r="BN41" s="256">
        <v>0</v>
      </c>
      <c r="BO41" s="256">
        <f>MCC_M_RUVY_matrices_mat_level!BM106*MCC_h_RUVY_matrices_mat_level!BM106 / MCC_MW_RUVY_matrices_mat_level!BO41</f>
        <v>-74404.460335125405</v>
      </c>
      <c r="BP41" s="253">
        <f t="shared" si="1"/>
        <v>-74404.460335125405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3">
        <f t="shared" si="0"/>
        <v>0</v>
      </c>
      <c r="BJ42" s="14"/>
      <c r="BK42" s="14"/>
      <c r="BL42" s="233"/>
      <c r="BM42" s="134" t="s">
        <v>426</v>
      </c>
      <c r="BN42" s="256">
        <v>0</v>
      </c>
      <c r="BO42" s="256">
        <f>MCC_M_RUVY_matrices_mat_level!BM107*MCC_h_RUVY_matrices_mat_level!BM107 / MCC_MW_RUVY_matrices_mat_level!BO42</f>
        <v>-926617.44372625591</v>
      </c>
      <c r="BP42" s="253">
        <f t="shared" si="1"/>
        <v>-926617.44372625591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f>MCC_M_RUVY_matrices_mat_level!BE108*MCC_h_RUVY_matrices_mat_level!BE108 /MCC_MW_RUVY_matrices_mat_level!BG43</f>
        <v>6114656.4031687425</v>
      </c>
      <c r="BH43" s="254">
        <v>0</v>
      </c>
      <c r="BI43" s="253">
        <f t="shared" si="0"/>
        <v>6114656.4031687425</v>
      </c>
      <c r="BJ43" s="14"/>
      <c r="BK43" s="14"/>
      <c r="BL43" s="233"/>
      <c r="BM43" s="134" t="s">
        <v>484</v>
      </c>
      <c r="BN43" s="256">
        <v>0</v>
      </c>
      <c r="BO43" s="256">
        <v>0</v>
      </c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f>MCC_M_RUVY_matrices_mat_level!BC109*MCC_h_RUVY_matrices_mat_level!BC109 /MCC_MW_RUVY_matrices_mat_level!BE44</f>
        <v>-1963.2609195270718</v>
      </c>
      <c r="BF44" s="254">
        <v>0</v>
      </c>
      <c r="BG44" s="254">
        <v>0</v>
      </c>
      <c r="BH44" s="254">
        <v>0</v>
      </c>
      <c r="BI44" s="253">
        <f t="shared" si="0"/>
        <v>-1963.2609195270718</v>
      </c>
      <c r="BJ44" s="14"/>
      <c r="BK44" s="14"/>
      <c r="BL44" s="247"/>
      <c r="BM44" s="134" t="s">
        <v>422</v>
      </c>
      <c r="BN44" s="256">
        <v>0</v>
      </c>
      <c r="BO44" s="256">
        <v>0</v>
      </c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3">
        <f t="shared" si="0"/>
        <v>0</v>
      </c>
      <c r="BJ45" s="14"/>
      <c r="BK45" s="14"/>
      <c r="BL45" s="233"/>
      <c r="BM45" s="134" t="s">
        <v>552</v>
      </c>
      <c r="BN45" s="256">
        <v>0</v>
      </c>
      <c r="BO45" s="256">
        <f>MCC_M_RUVY_matrices_mat_level!BM110*MCC_h_RUVY_matrices_mat_level!BM110 / MCC_MW_RUVY_matrices_mat_level!BO45</f>
        <v>-266.43836110596726</v>
      </c>
      <c r="BP45" s="253">
        <f t="shared" si="1"/>
        <v>-266.43836110596726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3">
        <f t="shared" si="0"/>
        <v>0</v>
      </c>
      <c r="BJ46" s="14"/>
      <c r="BK46" s="14"/>
      <c r="BL46" s="134"/>
      <c r="BM46" s="134" t="s">
        <v>421</v>
      </c>
      <c r="BN46" s="256">
        <v>0</v>
      </c>
      <c r="BO46" s="256">
        <f>MCC_M_RUVY_matrices_mat_level!BM111*MCC_h_RUVY_matrices_mat_level!BM111 / MCC_MW_RUVY_matrices_mat_level!BO46</f>
        <v>-45260.609166439484</v>
      </c>
      <c r="BP46" s="253">
        <f t="shared" si="1"/>
        <v>-45260.609166439484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3">
        <f t="shared" si="0"/>
        <v>0</v>
      </c>
      <c r="BJ47" s="14"/>
      <c r="BK47" s="14"/>
      <c r="BL47" s="233"/>
      <c r="BM47" s="134" t="s">
        <v>423</v>
      </c>
      <c r="BN47" s="256">
        <v>0</v>
      </c>
      <c r="BO47" s="256">
        <f>MCC_M_RUVY_matrices_mat_level!BM112*MCC_h_RUVY_matrices_mat_level!BM112 / MCC_MW_RUVY_matrices_mat_level!BO47</f>
        <v>-3425108.1424851296</v>
      </c>
      <c r="BP47" s="253">
        <f t="shared" si="1"/>
        <v>-3425108.1424851296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f>MCC_M_RUVY_matrices_mat_level!BD113*MCC_h_RUVY_matrices_mat_level!BD113 /MCC_MW_RUVY_matrices_mat_level!BF48</f>
        <v>-2496.3536922330641</v>
      </c>
      <c r="BG48" s="254">
        <v>0</v>
      </c>
      <c r="BH48" s="254">
        <v>0</v>
      </c>
      <c r="BI48" s="253">
        <f t="shared" si="0"/>
        <v>-2496.3536922330641</v>
      </c>
      <c r="BJ48" s="14"/>
      <c r="BK48" s="14"/>
      <c r="BL48" s="233"/>
      <c r="BM48" s="134" t="s">
        <v>515</v>
      </c>
      <c r="BN48" s="256">
        <v>0</v>
      </c>
      <c r="BO48" s="256">
        <v>0</v>
      </c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f>MCC_M_RUVY_matrices_mat_level!BF114*MCC_h_RUVY_matrices_mat_level!BF114 /MCC_MW_RUVY_matrices_mat_level!BH49</f>
        <v>-1747.4475845631448</v>
      </c>
      <c r="BI49" s="253">
        <f t="shared" si="0"/>
        <v>-1747.4475845631448</v>
      </c>
      <c r="BJ49" s="14"/>
      <c r="BK49" s="14"/>
      <c r="BL49" s="233"/>
      <c r="BM49" s="134" t="s">
        <v>517</v>
      </c>
      <c r="BN49" s="256">
        <f>MCC_M_RUVY_matrices_mat_level!BL114*MCC_h_RUVY_matrices_mat_level!BL114 / MCC_MW_RUVY_matrices_mat_level!BN49</f>
        <v>-748.90610766991904</v>
      </c>
      <c r="BO49" s="256">
        <v>0</v>
      </c>
      <c r="BP49" s="253">
        <f t="shared" si="1"/>
        <v>-748.90610766991904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f>MCC_M_RUVY_matrices_mat_level!BF115*MCC_h_RUVY_matrices_mat_level!BF115 /MCC_MW_RUVY_matrices_mat_level!BH50</f>
        <v>25724654.599848557</v>
      </c>
      <c r="BI50" s="253">
        <f t="shared" si="0"/>
        <v>25724654.599848557</v>
      </c>
      <c r="BJ50" s="14"/>
      <c r="BK50" s="14"/>
      <c r="BL50" s="233"/>
      <c r="BM50" s="134" t="s">
        <v>445</v>
      </c>
      <c r="BN50" s="256">
        <v>0</v>
      </c>
      <c r="BO50" s="256">
        <v>0</v>
      </c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4">
        <v>0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3">
        <f t="shared" si="0"/>
        <v>0</v>
      </c>
      <c r="BJ51" s="14"/>
      <c r="BK51" s="14"/>
      <c r="BL51" s="233"/>
      <c r="BM51" s="134" t="s">
        <v>446</v>
      </c>
      <c r="BN51" s="256">
        <f>MCC_M_RUVY_matrices_mat_level!BL116*MCC_h_RUVY_matrices_mat_level!BL116 / MCC_MW_RUVY_matrices_mat_level!BN51</f>
        <v>0</v>
      </c>
      <c r="BO51" s="256">
        <v>0</v>
      </c>
      <c r="BP51" s="253">
        <f t="shared" si="1"/>
        <v>0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3">
        <f t="shared" si="0"/>
        <v>0</v>
      </c>
      <c r="BJ52" s="14"/>
      <c r="BK52" s="14"/>
      <c r="BL52" s="14"/>
      <c r="BM52" s="262" t="s">
        <v>447</v>
      </c>
      <c r="BN52" s="256">
        <v>0</v>
      </c>
      <c r="BO52" s="256">
        <f>MCC_M_RUVY_matrices_mat_level!BM117*MCC_h_RUVY_matrices_mat_level!BM117 / MCC_MW_RUVY_matrices_mat_level!BO52</f>
        <v>-2331262.748233919</v>
      </c>
      <c r="BP52" s="253">
        <f t="shared" si="1"/>
        <v>-2331262.748233919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3">
        <f t="shared" si="0"/>
        <v>0</v>
      </c>
      <c r="BJ53" s="14"/>
      <c r="BK53" s="14"/>
      <c r="BL53" s="14"/>
      <c r="BM53" s="262" t="s">
        <v>457</v>
      </c>
      <c r="BN53" s="256">
        <v>0</v>
      </c>
      <c r="BO53" s="256">
        <f>MCC_M_RUVY_matrices_mat_level!BM118*MCC_h_RUVY_matrices_mat_level!BM118 / MCC_MW_RUVY_matrices_mat_level!BO53</f>
        <v>-177387.6603372262</v>
      </c>
      <c r="BP53" s="253">
        <f t="shared" si="1"/>
        <v>-177387.6603372262</v>
      </c>
    </row>
    <row r="54" spans="5:68">
      <c r="E54" s="14"/>
      <c r="F54" s="361"/>
      <c r="G54" s="361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58" t="s">
        <v>328</v>
      </c>
      <c r="AU54" s="318"/>
      <c r="AV54" s="318"/>
      <c r="AW54" s="318"/>
      <c r="AX54" s="318"/>
      <c r="AY54" s="318"/>
      <c r="AZ54" s="318"/>
      <c r="BA54" s="318"/>
      <c r="BB54" s="318"/>
      <c r="BC54" s="318"/>
      <c r="BD54" s="318"/>
      <c r="BE54" s="318"/>
      <c r="BF54" s="318"/>
      <c r="BG54" s="318"/>
      <c r="BH54" s="318"/>
      <c r="BI54" s="52" t="s">
        <v>369</v>
      </c>
      <c r="BJ54" s="14"/>
      <c r="BK54" s="14"/>
      <c r="BL54" s="14"/>
      <c r="BM54" s="252"/>
      <c r="BN54" s="360" t="s">
        <v>330</v>
      </c>
      <c r="BO54" s="360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-1717672.8035148196</v>
      </c>
      <c r="AU55" s="266">
        <f t="shared" ref="AU55:BH55" si="2">SUM(AU18:AU53)</f>
        <v>-1358104.1622069501</v>
      </c>
      <c r="AV55" s="266">
        <f t="shared" si="2"/>
        <v>9929848.8113797773</v>
      </c>
      <c r="AW55" s="266">
        <f t="shared" si="2"/>
        <v>-1805833.4604195929</v>
      </c>
      <c r="AX55" s="266">
        <f t="shared" si="2"/>
        <v>-1358344.6214274834</v>
      </c>
      <c r="AY55" s="266">
        <f t="shared" si="2"/>
        <v>9908021.6894580107</v>
      </c>
      <c r="AZ55" s="266">
        <f t="shared" si="2"/>
        <v>-1805833.4604195929</v>
      </c>
      <c r="BA55" s="266">
        <f t="shared" si="2"/>
        <v>-1358344.6214274834</v>
      </c>
      <c r="BB55" s="266">
        <f t="shared" si="2"/>
        <v>9908021.6894580107</v>
      </c>
      <c r="BC55" s="266">
        <f t="shared" si="2"/>
        <v>-1533326.955015453</v>
      </c>
      <c r="BD55" s="266">
        <f>SUM(BD18:BD53)</f>
        <v>8958815.2639773358</v>
      </c>
      <c r="BE55" s="266">
        <f t="shared" si="2"/>
        <v>-1963.2609195270718</v>
      </c>
      <c r="BF55" s="266">
        <f t="shared" si="2"/>
        <v>-2496.3536922330641</v>
      </c>
      <c r="BG55" s="266">
        <f t="shared" si="2"/>
        <v>1003670.5749347778</v>
      </c>
      <c r="BH55" s="266">
        <f t="shared" si="2"/>
        <v>25708122.169891011</v>
      </c>
      <c r="BJ55" s="14"/>
      <c r="BK55" s="14"/>
      <c r="BL55" s="14"/>
      <c r="BM55" s="14"/>
      <c r="BN55" s="252"/>
      <c r="BO55" s="14"/>
    </row>
    <row r="56" spans="5:68">
      <c r="AQ56" s="14"/>
      <c r="AR56" s="14"/>
      <c r="AS56" s="14"/>
      <c r="AT56" s="358" t="s">
        <v>368</v>
      </c>
      <c r="AU56" s="358"/>
      <c r="AV56" s="358"/>
      <c r="AW56" s="358"/>
      <c r="AX56" s="358"/>
      <c r="AY56" s="358"/>
      <c r="AZ56" s="358"/>
      <c r="BA56" s="358"/>
      <c r="BB56" s="358"/>
      <c r="BC56" s="358"/>
      <c r="BD56" s="358"/>
      <c r="BE56" s="358"/>
      <c r="BF56" s="358"/>
      <c r="BG56" s="358"/>
      <c r="BH56" s="358"/>
      <c r="BJ56" s="14"/>
      <c r="BK56" s="14"/>
      <c r="BL56" s="14"/>
      <c r="BM56" s="14"/>
      <c r="BN56" s="252"/>
      <c r="BO56" s="14"/>
    </row>
    <row r="57" spans="5:68" ht="235.95" customHeight="1">
      <c r="E57" s="60"/>
      <c r="F57" s="234" t="s">
        <v>333</v>
      </c>
      <c r="G57" s="234" t="s">
        <v>335</v>
      </c>
      <c r="H57" s="234" t="s">
        <v>336</v>
      </c>
      <c r="I57" s="234" t="s">
        <v>355</v>
      </c>
      <c r="J57" s="234" t="s">
        <v>377</v>
      </c>
      <c r="K57" s="234" t="s">
        <v>466</v>
      </c>
      <c r="L57" s="234" t="s">
        <v>467</v>
      </c>
      <c r="M57" s="234" t="s">
        <v>411</v>
      </c>
      <c r="N57" s="234" t="s">
        <v>459</v>
      </c>
      <c r="O57" s="235" t="s">
        <v>442</v>
      </c>
      <c r="P57" s="234" t="s">
        <v>409</v>
      </c>
      <c r="Q57" s="235" t="s">
        <v>412</v>
      </c>
      <c r="R57" s="234" t="s">
        <v>437</v>
      </c>
      <c r="S57" s="236" t="s">
        <v>430</v>
      </c>
      <c r="T57" s="234" t="s">
        <v>416</v>
      </c>
      <c r="U57" s="235" t="s">
        <v>441</v>
      </c>
      <c r="V57" s="235" t="s">
        <v>436</v>
      </c>
      <c r="W57" s="235" t="s">
        <v>433</v>
      </c>
      <c r="X57" s="235" t="s">
        <v>439</v>
      </c>
      <c r="Y57" s="236" t="s">
        <v>438</v>
      </c>
      <c r="Z57" s="236" t="s">
        <v>424</v>
      </c>
      <c r="AA57" s="236" t="s">
        <v>456</v>
      </c>
      <c r="AB57" s="236" t="s">
        <v>425</v>
      </c>
      <c r="AC57" s="236" t="s">
        <v>427</v>
      </c>
      <c r="AD57" s="236" t="s">
        <v>426</v>
      </c>
      <c r="AE57" s="236" t="s">
        <v>484</v>
      </c>
      <c r="AF57" s="238" t="s">
        <v>422</v>
      </c>
      <c r="AG57" s="238" t="s">
        <v>552</v>
      </c>
      <c r="AH57" s="236" t="s">
        <v>421</v>
      </c>
      <c r="AI57" s="234" t="s">
        <v>423</v>
      </c>
      <c r="AJ57" s="236" t="s">
        <v>515</v>
      </c>
      <c r="AK57" s="236" t="s">
        <v>517</v>
      </c>
      <c r="AL57" s="236" t="s">
        <v>445</v>
      </c>
      <c r="AM57" s="236" t="s">
        <v>446</v>
      </c>
      <c r="AN57" s="236" t="s">
        <v>447</v>
      </c>
      <c r="AO57" s="236" t="s">
        <v>457</v>
      </c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325</v>
      </c>
      <c r="F58" s="237">
        <v>0</v>
      </c>
      <c r="G58" s="237">
        <v>0</v>
      </c>
      <c r="H58" s="237">
        <v>0</v>
      </c>
      <c r="I58" s="237">
        <v>0</v>
      </c>
      <c r="J58" s="237">
        <v>0</v>
      </c>
      <c r="K58" s="237">
        <v>0</v>
      </c>
      <c r="L58" s="237">
        <v>0</v>
      </c>
      <c r="M58" s="237">
        <v>0</v>
      </c>
      <c r="N58" s="237">
        <v>0</v>
      </c>
      <c r="O58" s="237">
        <f>MCC_M_RUVY_matrices_mat_level!L124*MCC_h_RUVY_matrices_mat_level!L123 /MCC_MW_RUVY_matrices_mat_level!O57</f>
        <v>-1805833.4604195929</v>
      </c>
      <c r="P58" s="237">
        <f>MCC_M_RUVY_matrices_mat_level!M124*MCC_h_RUVY_matrices_mat_level!M123 /MCC_MW_RUVY_matrices_mat_level!P57</f>
        <v>-29751.885913955852</v>
      </c>
      <c r="Q58" s="237">
        <v>0</v>
      </c>
      <c r="R58" s="237">
        <v>0</v>
      </c>
      <c r="S58" s="237">
        <v>0</v>
      </c>
      <c r="T58" s="237">
        <v>0</v>
      </c>
      <c r="U58" s="237">
        <v>0</v>
      </c>
      <c r="V58" s="237">
        <v>0</v>
      </c>
      <c r="W58" s="237">
        <v>0</v>
      </c>
      <c r="X58" s="237">
        <v>0</v>
      </c>
      <c r="Y58" s="237">
        <v>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>
        <v>0</v>
      </c>
      <c r="AG58" s="237">
        <v>0</v>
      </c>
      <c r="AH58" s="237">
        <v>0</v>
      </c>
      <c r="AI58" s="237">
        <v>0</v>
      </c>
      <c r="AJ58" s="237">
        <v>0</v>
      </c>
      <c r="AK58" s="237">
        <v>0</v>
      </c>
      <c r="AL58" s="237">
        <v>0</v>
      </c>
      <c r="AM58" s="237">
        <v>0</v>
      </c>
      <c r="AN58" s="237">
        <v>0</v>
      </c>
      <c r="AO58" s="237">
        <v>0</v>
      </c>
      <c r="AP58" s="251">
        <f>SUM(F58:AO58)</f>
        <v>-1835585.3463335487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</row>
    <row r="59" spans="5:68">
      <c r="E59" s="134" t="s">
        <v>326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v>0</v>
      </c>
      <c r="P59" s="237">
        <v>0</v>
      </c>
      <c r="Q59" s="237">
        <f>MCC_M_RUVY_matrices_mat_level!N125*MCC_h_RUVY_matrices_mat_level!N124 /MCC_MW_RUVY_matrices_mat_level!Q58</f>
        <v>-1358344.6214274834</v>
      </c>
      <c r="R59" s="237">
        <f>MCC_M_RUVY_matrices_mat_level!O125*MCC_h_RUVY_matrices_mat_level!O124 /MCC_MW_RUVY_matrices_mat_level!R58</f>
        <v>-89.188912462461616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51">
        <f t="shared" ref="AP59:AP72" si="3">SUM(F59:AO59)</f>
        <v>-1358433.8103399458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327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v>0</v>
      </c>
      <c r="R60" s="237">
        <v>0</v>
      </c>
      <c r="S60" s="237">
        <f>MCC_M_RUVY_matrices_mat_level!P126*MCC_h_RUVY_matrices_mat_level!P125 /MCC_MW_RUVY_matrices_mat_level!S59</f>
        <v>9908021.6894580107</v>
      </c>
      <c r="T60" s="237">
        <f>MCC_M_RUVY_matrices_mat_level!Q126*MCC_h_RUVY_matrices_mat_level!Q125 /MCC_MW_RUVY_matrices_mat_level!T59</f>
        <v>-7366.0753452398367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51">
        <f t="shared" si="3"/>
        <v>9900655.6141127702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455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v>0</v>
      </c>
      <c r="T61" s="237">
        <v>0</v>
      </c>
      <c r="U61" s="237">
        <f>MCC_M_RUVY_matrices_mat_level!R127*MCC_h_RUVY_matrices_mat_level!R126 /MCC_MW_RUVY_matrices_mat_level!U60</f>
        <v>-1805833.4604195929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51">
        <f t="shared" si="3"/>
        <v>-1805833.4604195929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v>0</v>
      </c>
      <c r="V62" s="237">
        <f>MCC_M_RUVY_matrices_mat_level!S128*MCC_h_RUVY_matrices_mat_level!S127 /MCC_MW_RUVY_matrices_mat_level!V61</f>
        <v>-1358344.6214274834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51">
        <f t="shared" si="3"/>
        <v>-1358344.6214274834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434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v>0</v>
      </c>
      <c r="W63" s="237">
        <f>MCC_M_RUVY_matrices_mat_level!T129*MCC_h_RUVY_matrices_mat_level!T128 /MCC_MW_RUVY_matrices_mat_level!W62</f>
        <v>9908021.6894580107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51">
        <f t="shared" si="3"/>
        <v>9908021.6894580107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351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v>0</v>
      </c>
      <c r="X64" s="237">
        <f>MCC_M_RUVY_matrices_mat_level!U130*MCC_h_RUVY_matrices_mat_level!U129 /MCC_MW_RUVY_matrices_mat_level!X63</f>
        <v>-3854168.2236350928</v>
      </c>
      <c r="Y64" s="237">
        <f>MCC_M_RUVY_matrices_mat_level!V130*MCC_h_RUVY_matrices_mat_level!V129 /MCC_MW_RUVY_matrices_mat_level!Y63</f>
        <v>-59670.230487301538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51">
        <f t="shared" si="3"/>
        <v>-3913838.4541223943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348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v>0</v>
      </c>
      <c r="Y65" s="237">
        <v>0</v>
      </c>
      <c r="Z65" s="237">
        <f>MCC_M_RUVY_matrices_mat_level!W131*MCC_h_RUVY_matrices_mat_level!W130 /MCC_MW_RUVY_matrices_mat_level!Z64</f>
        <v>-1358344.6214274834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51">
        <f t="shared" si="3"/>
        <v>-1358344.6214274834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362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v>0</v>
      </c>
      <c r="AA66" s="237">
        <f>MCC_M_RUVY_matrices_mat_level!X132*MCC_h_RUVY_matrices_mat_level!X131 /MCC_MW_RUVY_matrices_mat_level!AA65</f>
        <v>9908021.6894580107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51">
        <f t="shared" si="3"/>
        <v>9908021.6894580107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349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v>0</v>
      </c>
      <c r="AB67" s="237">
        <f>MCC_M_RUVY_matrices_mat_level!Y133*MCC_h_RUVY_matrices_mat_level!Y132 /MCC_MW_RUVY_matrices_mat_level!AB66</f>
        <v>-1256817.6045988721</v>
      </c>
      <c r="AC67" s="237">
        <f>MCC_M_RUVY_matrices_mat_level!Z133*MCC_h_RUVY_matrices_mat_level!Z132 /MCC_MW_RUVY_matrices_mat_level!AC66</f>
        <v>-74404.460335125405</v>
      </c>
      <c r="AD67" s="237">
        <f>MCC_M_RUVY_matrices_mat_level!AA133*MCC_h_RUVY_matrices_mat_level!AA132 /MCC_MW_RUVY_matrices_mat_level!AD66</f>
        <v>-926617.44372625591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51">
        <f t="shared" si="3"/>
        <v>-2257839.5086602536</v>
      </c>
      <c r="AQ67" s="14"/>
      <c r="AR67" s="14"/>
      <c r="AS67" s="14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14"/>
      <c r="BI67" s="14"/>
      <c r="BJ67" s="14"/>
      <c r="BK67" s="14"/>
      <c r="BL67" s="14"/>
      <c r="BM67" s="252"/>
      <c r="BN67" s="252"/>
      <c r="BO67" s="14"/>
    </row>
    <row r="68" spans="5:67">
      <c r="E68" s="134" t="s">
        <v>344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f>(MCC_M_RUVY_matrices_mat_level!AB134*MCC_h_RUVY_matrices_mat_level!AB133) /MCC_MW_RUVY_matrices_mat_level!AE67</f>
        <v>6114656.4031687425</v>
      </c>
      <c r="AF68" s="237">
        <f>(MCC_M_RUVY_matrices_mat_level!AC134*MCC_h_RUVY_matrices_mat_level!AC133) /MCC_MW_RUVY_matrices_mat_level!AF67</f>
        <v>-1963.2609195270718</v>
      </c>
      <c r="AG68" s="237">
        <f>(MCC_M_RUVY_matrices_mat_level!AD134*MCC_h_RUVY_matrices_mat_level!AD133) /MCC_MW_RUVY_matrices_mat_level!AG67</f>
        <v>-266.43836110596726</v>
      </c>
      <c r="AH68" s="237">
        <f>(MCC_M_RUVY_matrices_mat_level!AE134*MCC_h_RUVY_matrices_mat_level!AE133) /MCC_MW_RUVY_matrices_mat_level!AH67</f>
        <v>-45260.609166439484</v>
      </c>
      <c r="AI68" s="237">
        <f>(MCC_M_RUVY_matrices_mat_level!AF134*MCC_h_RUVY_matrices_mat_level!AF133) /MCC_MW_RUVY_matrices_mat_level!AI67</f>
        <v>-3425108.1424851296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51">
        <f>SUM(F68:AO68)</f>
        <v>2642057.9522365406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>
        <v>0</v>
      </c>
      <c r="AG69" s="237">
        <v>0</v>
      </c>
      <c r="AH69" s="237">
        <v>0</v>
      </c>
      <c r="AI69" s="237">
        <v>0</v>
      </c>
      <c r="AJ69" s="237">
        <f>MCC_M_RUVY_matrices_mat_level!AG135*MCC_h_RUVY_matrices_mat_level!AG134 /MCC_MW_RUVY_matrices_mat_level!AJ68</f>
        <v>-2496.3536922330641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51">
        <f t="shared" si="3"/>
        <v>-2496.3536922330641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516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v>0</v>
      </c>
      <c r="AK70" s="237">
        <f>MCC_M_RUVY_matrices_mat_level!AH136*MCC_h_RUVY_matrices_mat_level!AH135 /MCC_MW_RUVY_matrices_mat_level!AK69</f>
        <v>-2496.3536922330641</v>
      </c>
      <c r="AL70" s="237">
        <v>0</v>
      </c>
      <c r="AM70" s="237">
        <v>0</v>
      </c>
      <c r="AN70" s="237">
        <v>0</v>
      </c>
      <c r="AO70" s="237">
        <v>0</v>
      </c>
      <c r="AP70" s="251">
        <f t="shared" si="3"/>
        <v>-2496.3536922330641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76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v>0</v>
      </c>
      <c r="AL71" s="237">
        <f>MCC_M_RUVY_matrices_mat_level!AI137*MCC_h_RUVY_matrices_mat_level!AI136 /MCC_MW_RUVY_matrices_mat_level!AL70</f>
        <v>25724654.599848557</v>
      </c>
      <c r="AM71" s="237">
        <v>0</v>
      </c>
      <c r="AN71" s="237">
        <v>0</v>
      </c>
      <c r="AO71" s="237">
        <v>0</v>
      </c>
      <c r="AP71" s="251">
        <f t="shared" si="3"/>
        <v>25724654.599848557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 t="s">
        <v>337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v>0</v>
      </c>
      <c r="AM72" s="237">
        <f>MCC_M_RUVY_matrices_mat_level!AJ138*MCC_h_RUVY_matrices_mat_level!AJ137 /MCC_MW_RUVY_matrices_mat_level!AM71</f>
        <v>0</v>
      </c>
      <c r="AN72" s="237">
        <f>MCC_M_RUVY_matrices_mat_level!AK138*MCC_h_RUVY_matrices_mat_level!AK137 /MCC_MW_RUVY_matrices_mat_level!AN71</f>
        <v>-2331262.748233919</v>
      </c>
      <c r="AO72" s="237">
        <f>MCC_M_RUVY_matrices_mat_level!AL138*MCC_h_RUVY_matrices_mat_level!AL137 /MCC_MW_RUVY_matrices_mat_level!AO71</f>
        <v>-177387.6603372262</v>
      </c>
      <c r="AP72" s="251">
        <f t="shared" si="3"/>
        <v>-2508650.408571145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360" t="s">
        <v>329</v>
      </c>
      <c r="G73" s="360"/>
      <c r="H73" s="360"/>
      <c r="I73" s="360"/>
      <c r="J73" s="360"/>
      <c r="K73" s="360"/>
      <c r="L73" s="360"/>
      <c r="M73" s="360"/>
      <c r="N73" s="360"/>
      <c r="O73" s="360"/>
      <c r="P73" s="360"/>
      <c r="Q73" s="360"/>
      <c r="R73" s="360"/>
      <c r="S73" s="360"/>
      <c r="T73" s="360"/>
      <c r="U73" s="360"/>
      <c r="V73" s="360"/>
      <c r="W73" s="360"/>
      <c r="X73" s="360"/>
      <c r="Y73" s="360"/>
      <c r="Z73" s="360"/>
      <c r="AA73" s="360"/>
      <c r="AB73" s="360"/>
      <c r="AC73" s="360"/>
      <c r="AD73" s="360"/>
      <c r="AE73" s="360"/>
      <c r="AF73" s="360"/>
      <c r="AG73" s="360"/>
      <c r="AH73" s="360"/>
      <c r="AI73" s="360"/>
      <c r="AJ73" s="360"/>
      <c r="AK73" s="360"/>
      <c r="AL73" s="360"/>
      <c r="AM73" s="360"/>
      <c r="AN73" s="360"/>
      <c r="AO73" s="360"/>
      <c r="AP73" s="252" t="s">
        <v>365</v>
      </c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251">
        <f>SUM(F58:F72)</f>
        <v>0</v>
      </c>
      <c r="G74" s="251">
        <f t="shared" ref="G74:AO74" si="4">SUM(G58:G72)</f>
        <v>0</v>
      </c>
      <c r="H74" s="251">
        <f t="shared" si="4"/>
        <v>0</v>
      </c>
      <c r="I74" s="251">
        <f t="shared" si="4"/>
        <v>0</v>
      </c>
      <c r="J74" s="251">
        <f t="shared" si="4"/>
        <v>0</v>
      </c>
      <c r="K74" s="251">
        <f t="shared" si="4"/>
        <v>0</v>
      </c>
      <c r="L74" s="251">
        <f t="shared" si="4"/>
        <v>0</v>
      </c>
      <c r="M74" s="251">
        <f t="shared" si="4"/>
        <v>0</v>
      </c>
      <c r="N74" s="251">
        <f t="shared" si="4"/>
        <v>0</v>
      </c>
      <c r="O74" s="251">
        <f t="shared" si="4"/>
        <v>-1805833.4604195929</v>
      </c>
      <c r="P74" s="251">
        <f t="shared" si="4"/>
        <v>-29751.885913955852</v>
      </c>
      <c r="Q74" s="251">
        <f t="shared" si="4"/>
        <v>-1358344.6214274834</v>
      </c>
      <c r="R74" s="251">
        <f t="shared" si="4"/>
        <v>-89.188912462461616</v>
      </c>
      <c r="S74" s="251">
        <f t="shared" si="4"/>
        <v>9908021.6894580107</v>
      </c>
      <c r="T74" s="251">
        <f t="shared" si="4"/>
        <v>-7366.0753452398367</v>
      </c>
      <c r="U74" s="251">
        <f t="shared" si="4"/>
        <v>-1805833.4604195929</v>
      </c>
      <c r="V74" s="251">
        <f t="shared" si="4"/>
        <v>-1358344.6214274834</v>
      </c>
      <c r="W74" s="251">
        <f t="shared" si="4"/>
        <v>9908021.6894580107</v>
      </c>
      <c r="X74" s="251">
        <f t="shared" si="4"/>
        <v>-3854168.2236350928</v>
      </c>
      <c r="Y74" s="251">
        <f t="shared" si="4"/>
        <v>-59670.230487301538</v>
      </c>
      <c r="Z74" s="251">
        <f t="shared" si="4"/>
        <v>-1358344.6214274834</v>
      </c>
      <c r="AA74" s="251">
        <f t="shared" si="4"/>
        <v>9908021.6894580107</v>
      </c>
      <c r="AB74" s="251">
        <f t="shared" si="4"/>
        <v>-1256817.6045988721</v>
      </c>
      <c r="AC74" s="251">
        <f t="shared" si="4"/>
        <v>-74404.460335125405</v>
      </c>
      <c r="AD74" s="251">
        <f t="shared" si="4"/>
        <v>-926617.44372625591</v>
      </c>
      <c r="AE74" s="251">
        <f t="shared" si="4"/>
        <v>6114656.4031687425</v>
      </c>
      <c r="AF74" s="251">
        <f t="shared" si="4"/>
        <v>-1963.2609195270718</v>
      </c>
      <c r="AG74" s="251">
        <f t="shared" si="4"/>
        <v>-266.43836110596726</v>
      </c>
      <c r="AH74" s="251">
        <f t="shared" si="4"/>
        <v>-45260.609166439484</v>
      </c>
      <c r="AI74" s="251">
        <f t="shared" si="4"/>
        <v>-3425108.1424851296</v>
      </c>
      <c r="AJ74" s="251">
        <f t="shared" si="4"/>
        <v>-2496.3536922330641</v>
      </c>
      <c r="AK74" s="251">
        <f t="shared" si="4"/>
        <v>-2496.3536922330641</v>
      </c>
      <c r="AL74" s="251">
        <f t="shared" si="4"/>
        <v>25724654.599848557</v>
      </c>
      <c r="AM74" s="251">
        <f t="shared" si="4"/>
        <v>0</v>
      </c>
      <c r="AN74" s="251">
        <f t="shared" si="4"/>
        <v>-2331262.748233919</v>
      </c>
      <c r="AO74" s="251">
        <f t="shared" si="4"/>
        <v>-177387.6603372262</v>
      </c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360" t="s">
        <v>366</v>
      </c>
      <c r="G75" s="360"/>
      <c r="H75" s="360"/>
      <c r="I75" s="360"/>
      <c r="J75" s="360"/>
      <c r="K75" s="360"/>
      <c r="L75" s="360"/>
      <c r="M75" s="360"/>
      <c r="N75" s="360"/>
      <c r="O75" s="360"/>
      <c r="P75" s="360"/>
      <c r="Q75" s="360"/>
      <c r="R75" s="360"/>
      <c r="S75" s="360"/>
      <c r="T75" s="360"/>
      <c r="U75" s="360"/>
      <c r="V75" s="360"/>
      <c r="W75" s="360"/>
      <c r="X75" s="360"/>
      <c r="Y75" s="360"/>
      <c r="Z75" s="360"/>
      <c r="AA75" s="360"/>
      <c r="AB75" s="360"/>
      <c r="AC75" s="360"/>
      <c r="AD75" s="360"/>
      <c r="AE75" s="360"/>
      <c r="AF75" s="360"/>
      <c r="AG75" s="360"/>
      <c r="AH75" s="360"/>
      <c r="AI75" s="360"/>
      <c r="AJ75" s="360"/>
      <c r="AK75" s="360"/>
      <c r="AL75" s="360"/>
      <c r="AM75" s="360"/>
      <c r="AN75" s="360"/>
      <c r="AO75" s="360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>
      <c r="E83" s="13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ht="235.95" customHeight="1">
      <c r="E84" s="134"/>
      <c r="F84" s="234" t="s">
        <v>333</v>
      </c>
      <c r="G84" s="234" t="s">
        <v>335</v>
      </c>
      <c r="H84" s="234" t="s">
        <v>336</v>
      </c>
      <c r="I84" s="234" t="s">
        <v>355</v>
      </c>
      <c r="J84" s="234" t="s">
        <v>377</v>
      </c>
      <c r="K84" s="234" t="s">
        <v>466</v>
      </c>
      <c r="L84" s="234" t="s">
        <v>467</v>
      </c>
      <c r="M84" s="234" t="s">
        <v>411</v>
      </c>
      <c r="N84" s="234" t="s">
        <v>459</v>
      </c>
      <c r="O84" s="235" t="s">
        <v>442</v>
      </c>
      <c r="P84" s="234" t="s">
        <v>409</v>
      </c>
      <c r="Q84" s="235" t="s">
        <v>412</v>
      </c>
      <c r="R84" s="234" t="s">
        <v>437</v>
      </c>
      <c r="S84" s="236" t="s">
        <v>430</v>
      </c>
      <c r="T84" s="234" t="s">
        <v>416</v>
      </c>
      <c r="U84" s="235" t="s">
        <v>441</v>
      </c>
      <c r="V84" s="235" t="s">
        <v>436</v>
      </c>
      <c r="W84" s="235" t="s">
        <v>433</v>
      </c>
      <c r="X84" s="235" t="s">
        <v>439</v>
      </c>
      <c r="Y84" s="236" t="s">
        <v>438</v>
      </c>
      <c r="Z84" s="236" t="s">
        <v>424</v>
      </c>
      <c r="AA84" s="236" t="s">
        <v>456</v>
      </c>
      <c r="AB84" s="236" t="s">
        <v>425</v>
      </c>
      <c r="AC84" s="236" t="s">
        <v>427</v>
      </c>
      <c r="AD84" s="236" t="s">
        <v>426</v>
      </c>
      <c r="AE84" s="236" t="s">
        <v>484</v>
      </c>
      <c r="AF84" s="238" t="s">
        <v>422</v>
      </c>
      <c r="AG84" s="238" t="s">
        <v>552</v>
      </c>
      <c r="AH84" s="236" t="s">
        <v>421</v>
      </c>
      <c r="AI84" s="234" t="s">
        <v>423</v>
      </c>
      <c r="AJ84" s="236" t="s">
        <v>515</v>
      </c>
      <c r="AK84" s="236" t="s">
        <v>517</v>
      </c>
      <c r="AL84" s="236" t="s">
        <v>445</v>
      </c>
      <c r="AM84" s="236" t="s">
        <v>446</v>
      </c>
      <c r="AN84" s="236" t="s">
        <v>447</v>
      </c>
      <c r="AO84" s="236" t="s">
        <v>457</v>
      </c>
      <c r="AP84" s="236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>
      <c r="E85" s="134" t="s">
        <v>332</v>
      </c>
      <c r="F85" s="268">
        <f>MCC_M_RUVY_matrices_mat_level!C153*MCC_h_RUVY_matrices_mat_level!C152 / MCC_MW_RUVY_matrices_mat_level!F84</f>
        <v>-1805833.4604195929</v>
      </c>
      <c r="G85" s="268">
        <v>0</v>
      </c>
      <c r="H85" s="268">
        <v>0</v>
      </c>
      <c r="I85" s="268">
        <v>0</v>
      </c>
      <c r="J85" s="268">
        <v>0</v>
      </c>
      <c r="K85" s="268">
        <v>0</v>
      </c>
      <c r="L85" s="268">
        <v>0</v>
      </c>
      <c r="M85" s="268">
        <v>0</v>
      </c>
      <c r="N85" s="268">
        <v>0</v>
      </c>
      <c r="O85" s="268">
        <v>0</v>
      </c>
      <c r="P85" s="268">
        <v>0</v>
      </c>
      <c r="Q85" s="268">
        <v>0</v>
      </c>
      <c r="R85" s="268">
        <v>0</v>
      </c>
      <c r="S85" s="268">
        <v>0</v>
      </c>
      <c r="T85" s="268">
        <v>0</v>
      </c>
      <c r="U85" s="268">
        <v>0</v>
      </c>
      <c r="V85" s="268">
        <v>0</v>
      </c>
      <c r="W85" s="268">
        <v>0</v>
      </c>
      <c r="X85" s="268">
        <v>0</v>
      </c>
      <c r="Y85" s="268">
        <v>0</v>
      </c>
      <c r="Z85" s="268">
        <v>0</v>
      </c>
      <c r="AA85" s="268">
        <v>0</v>
      </c>
      <c r="AB85" s="268">
        <v>0</v>
      </c>
      <c r="AC85" s="268">
        <v>0</v>
      </c>
      <c r="AD85" s="268">
        <v>0</v>
      </c>
      <c r="AE85" s="268">
        <v>0</v>
      </c>
      <c r="AF85" s="268">
        <v>0</v>
      </c>
      <c r="AG85" s="268">
        <v>0</v>
      </c>
      <c r="AH85" s="268">
        <v>0</v>
      </c>
      <c r="AI85" s="268">
        <v>0</v>
      </c>
      <c r="AJ85" s="268">
        <v>0</v>
      </c>
      <c r="AK85" s="268">
        <v>0</v>
      </c>
      <c r="AL85" s="268">
        <v>0</v>
      </c>
      <c r="AM85" s="268">
        <v>0</v>
      </c>
      <c r="AN85" s="268">
        <v>0</v>
      </c>
      <c r="AO85" s="268">
        <v>0</v>
      </c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ht="16.05" customHeight="1">
      <c r="E86" s="232" t="s">
        <v>413</v>
      </c>
      <c r="F86" s="268">
        <v>0</v>
      </c>
      <c r="G86" s="268">
        <f>MCC_M_RUVY_matrices_mat_level!D154*MCC_h_RUVY_matrices_mat_level!D153 / MCC_MW_RUVY_matrices_mat_level!G85</f>
        <v>-1358344.6214274834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233" t="s">
        <v>356</v>
      </c>
      <c r="F87" s="268">
        <v>0</v>
      </c>
      <c r="G87" s="268">
        <v>0</v>
      </c>
      <c r="H87" s="268">
        <f>MCC_M_RUVY_matrices_mat_level!E155*MCC_h_RUVY_matrices_mat_level!E154 / MCC_MW_RUVY_matrices_mat_level!H86</f>
        <v>9908021.6894580107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>
      <c r="E88" s="134" t="s">
        <v>380</v>
      </c>
      <c r="F88" s="268">
        <v>0</v>
      </c>
      <c r="G88" s="268">
        <v>0</v>
      </c>
      <c r="H88" s="268">
        <v>0</v>
      </c>
      <c r="I88" s="268">
        <f>MCC_M_RUVY_matrices_mat_level!F156*MCC_h_RUVY_matrices_mat_level!F155 / MCC_MW_RUVY_matrices_mat_level!I87</f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376</v>
      </c>
      <c r="F89" s="268">
        <v>0</v>
      </c>
      <c r="G89" s="268">
        <v>0</v>
      </c>
      <c r="H89" s="268">
        <v>0</v>
      </c>
      <c r="I89" s="268">
        <v>0</v>
      </c>
      <c r="J89" s="268">
        <f>MCC_M_RUVY_matrices_mat_level!G157*MCC_h_RUVY_matrices_mat_level!G156 / MCC_MW_RUVY_matrices_mat_level!J88</f>
        <v>-1333105.1092348634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469</v>
      </c>
      <c r="F90" s="268">
        <v>0</v>
      </c>
      <c r="G90" s="268">
        <v>0</v>
      </c>
      <c r="H90" s="268">
        <v>0</v>
      </c>
      <c r="I90" s="268">
        <v>0</v>
      </c>
      <c r="J90" s="268">
        <v>0</v>
      </c>
      <c r="K90" s="268">
        <f>MCC_M_RUVY_matrices_mat_level!H158*MCC_h_RUVY_matrices_mat_level!H157 / MCC_MW_RUVY_matrices_mat_level!K89</f>
        <v>110229.37028964539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14"/>
      <c r="AQ90" s="14"/>
      <c r="AR90" s="14"/>
      <c r="AS90" s="14"/>
      <c r="AT90" s="238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468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v>0</v>
      </c>
      <c r="L91" s="268">
        <f>MCC_M_RUVY_matrices_mat_level!I159*MCC_h_RUVY_matrices_mat_level!I158 / MCC_MW_RUVY_matrices_mat_level!L90</f>
        <v>-1.1322425723331082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410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v>0</v>
      </c>
      <c r="M92" s="268">
        <f>MCC_M_RUVY_matrices_mat_level!J160*MCC_h_RUVY_matrices_mat_level!J159 / MCC_MW_RUVY_matrices_mat_level!M91</f>
        <v>194131.36779323625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34" t="s">
        <v>458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v>0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360" t="s">
        <v>56</v>
      </c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0"/>
      <c r="T94" s="360"/>
      <c r="U94" s="360"/>
      <c r="V94" s="360"/>
      <c r="W94" s="360"/>
      <c r="X94" s="360"/>
      <c r="Y94" s="360"/>
      <c r="Z94" s="360"/>
      <c r="AA94" s="360"/>
      <c r="AB94" s="360"/>
      <c r="AC94" s="360"/>
      <c r="AD94" s="360"/>
      <c r="AE94" s="360"/>
      <c r="AF94" s="360"/>
      <c r="AG94" s="360"/>
      <c r="AH94" s="360"/>
      <c r="AI94" s="360"/>
      <c r="AJ94" s="360"/>
      <c r="AK94" s="360"/>
      <c r="AL94" s="360"/>
      <c r="AM94" s="360"/>
      <c r="AN94" s="360"/>
      <c r="AO94" s="360"/>
      <c r="AP94" s="252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E95" s="14"/>
      <c r="F95" s="251">
        <f>SUM(F85:F93)</f>
        <v>-1805833.4604195929</v>
      </c>
      <c r="G95" s="251">
        <f t="shared" ref="G95:N95" si="5">SUM(G85:G93)</f>
        <v>-1358344.6214274834</v>
      </c>
      <c r="H95" s="251">
        <f t="shared" si="5"/>
        <v>9908021.6894580107</v>
      </c>
      <c r="I95" s="251">
        <f t="shared" si="5"/>
        <v>0</v>
      </c>
      <c r="J95" s="251">
        <f t="shared" si="5"/>
        <v>-1333105.1092348634</v>
      </c>
      <c r="K95" s="251">
        <f t="shared" si="5"/>
        <v>110229.37028964539</v>
      </c>
      <c r="L95" s="251">
        <f t="shared" si="5"/>
        <v>-1.1322425723331082</v>
      </c>
      <c r="M95" s="251">
        <f t="shared" si="5"/>
        <v>194131.36779323625</v>
      </c>
      <c r="N95" s="251">
        <f t="shared" si="5"/>
        <v>0</v>
      </c>
      <c r="O95" s="251">
        <v>0</v>
      </c>
      <c r="P95" s="251">
        <v>0</v>
      </c>
      <c r="Q95" s="251">
        <v>0</v>
      </c>
      <c r="R95" s="251">
        <v>0</v>
      </c>
      <c r="S95" s="251">
        <v>0</v>
      </c>
      <c r="T95" s="251">
        <v>0</v>
      </c>
      <c r="U95" s="251">
        <v>0</v>
      </c>
      <c r="V95" s="251">
        <v>0</v>
      </c>
      <c r="W95" s="251">
        <v>0</v>
      </c>
      <c r="X95" s="251">
        <v>0</v>
      </c>
      <c r="Y95" s="251">
        <v>0</v>
      </c>
      <c r="Z95" s="251">
        <v>0</v>
      </c>
      <c r="AA95" s="251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</row>
    <row r="96" spans="5:67">
      <c r="F96" s="358" t="s">
        <v>367</v>
      </c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  <c r="AA96" s="358"/>
      <c r="AB96" s="358"/>
      <c r="AC96" s="358"/>
      <c r="AD96" s="358"/>
      <c r="AE96" s="358"/>
      <c r="AF96" s="358"/>
      <c r="AG96" s="358"/>
      <c r="AH96" s="358"/>
      <c r="AI96" s="358"/>
      <c r="AJ96" s="358"/>
      <c r="AK96" s="358"/>
      <c r="AL96" s="358"/>
      <c r="AM96" s="358"/>
      <c r="AN96" s="358"/>
      <c r="AO96" s="358"/>
    </row>
    <row r="99" spans="5:14">
      <c r="E99" s="14"/>
      <c r="F99" s="358" t="s">
        <v>512</v>
      </c>
      <c r="G99" s="358"/>
      <c r="H99" s="358"/>
      <c r="I99" s="358"/>
      <c r="J99" s="358"/>
      <c r="K99" s="358"/>
      <c r="L99" s="358"/>
      <c r="M99" s="358"/>
      <c r="N99" s="358"/>
    </row>
    <row r="100" spans="5:14"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5:14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5:14">
      <c r="E102" s="134" t="s">
        <v>333</v>
      </c>
      <c r="F102" s="246">
        <f t="array" ref="F102:F137">TRANSPOSE(F95:AO95)</f>
        <v>-1805833.4604195929</v>
      </c>
      <c r="G102" s="14"/>
      <c r="H102" s="246">
        <f t="array" ref="H102:H137">TRANSPOSE(F74:AO74)</f>
        <v>0</v>
      </c>
      <c r="I102" s="14"/>
      <c r="J102" s="246">
        <f t="shared" ref="J102:J137" si="6">BI18</f>
        <v>-1805833.4604195929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-1358344.6214274834</v>
      </c>
      <c r="G103" s="14"/>
      <c r="H103" s="246">
        <v>0</v>
      </c>
      <c r="I103" s="14"/>
      <c r="J103" s="246">
        <f t="shared" si="6"/>
        <v>-1358344.6214274834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9908021.6894580107</v>
      </c>
      <c r="G104" s="14"/>
      <c r="H104" s="246">
        <v>0</v>
      </c>
      <c r="I104" s="14"/>
      <c r="J104" s="246">
        <f t="shared" si="6"/>
        <v>9908021.6894580107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0</v>
      </c>
      <c r="G105" s="14"/>
      <c r="H105" s="246">
        <v>0</v>
      </c>
      <c r="I105" s="14"/>
      <c r="J105" s="246">
        <f t="shared" si="6"/>
        <v>0</v>
      </c>
      <c r="K105" s="14"/>
      <c r="L105" s="246">
        <v>0</v>
      </c>
      <c r="M105" s="14"/>
      <c r="N105" s="250">
        <f t="shared" si="7"/>
        <v>0</v>
      </c>
    </row>
    <row r="106" spans="5:14">
      <c r="E106" s="134" t="s">
        <v>377</v>
      </c>
      <c r="F106" s="246">
        <v>-1333105.1092348634</v>
      </c>
      <c r="G106" s="14"/>
      <c r="H106" s="246">
        <v>0</v>
      </c>
      <c r="I106" s="14"/>
      <c r="J106" s="246">
        <f t="shared" si="6"/>
        <v>-1333105.1092348634</v>
      </c>
      <c r="K106" s="14"/>
      <c r="L106" s="246">
        <v>0</v>
      </c>
      <c r="M106" s="14"/>
      <c r="N106" s="250">
        <f t="shared" si="7"/>
        <v>0</v>
      </c>
    </row>
    <row r="107" spans="5:14">
      <c r="E107" s="134" t="s">
        <v>407</v>
      </c>
      <c r="F107" s="246">
        <v>110229.37028964539</v>
      </c>
      <c r="G107" s="14"/>
      <c r="H107" s="246">
        <v>0</v>
      </c>
      <c r="I107" s="14"/>
      <c r="J107" s="246">
        <f t="shared" si="6"/>
        <v>110229.37028964538</v>
      </c>
      <c r="K107" s="14"/>
      <c r="L107" s="246">
        <v>0</v>
      </c>
      <c r="M107" s="14"/>
      <c r="N107" s="250">
        <f>ROUND(F107+H107-J107-L107, 10)</f>
        <v>0</v>
      </c>
    </row>
    <row r="108" spans="5:14">
      <c r="E108" s="134" t="s">
        <v>408</v>
      </c>
      <c r="F108" s="246">
        <v>-1.1322425723331082</v>
      </c>
      <c r="G108" s="14"/>
      <c r="H108" s="246">
        <v>0</v>
      </c>
      <c r="I108" s="14"/>
      <c r="J108" s="246">
        <f t="shared" si="6"/>
        <v>-1.1322425723331082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194131.36779323625</v>
      </c>
      <c r="G109" s="14"/>
      <c r="H109" s="246">
        <v>0</v>
      </c>
      <c r="I109" s="14"/>
      <c r="J109" s="246">
        <f t="shared" si="6"/>
        <v>194131.36779323625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-1805833.4604195929</v>
      </c>
      <c r="I111" s="14"/>
      <c r="J111" s="246">
        <f t="shared" si="6"/>
        <v>-1805833.4604195929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-29751.885913955852</v>
      </c>
      <c r="I112" s="14"/>
      <c r="J112" s="246">
        <f t="shared" si="6"/>
        <v>0</v>
      </c>
      <c r="K112" s="14"/>
      <c r="L112" s="246">
        <v>-29751.885913955852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-1358344.6214274834</v>
      </c>
      <c r="I113" s="14"/>
      <c r="J113" s="246">
        <f t="shared" si="6"/>
        <v>-1358344.6214274834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-89.188912462461616</v>
      </c>
      <c r="I114" s="14"/>
      <c r="J114" s="246">
        <f t="shared" si="6"/>
        <v>0</v>
      </c>
      <c r="K114" s="14"/>
      <c r="L114" s="246">
        <v>-89.188912462461616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9908021.6894580107</v>
      </c>
      <c r="I115" s="52" t="s">
        <v>373</v>
      </c>
      <c r="J115" s="246">
        <f t="shared" si="6"/>
        <v>9908021.6894580107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-7366.0753452398367</v>
      </c>
      <c r="I116" s="14"/>
      <c r="J116" s="246">
        <f t="shared" si="6"/>
        <v>0</v>
      </c>
      <c r="K116" s="14"/>
      <c r="L116" s="246">
        <v>-7366.0753452398367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-1805833.4604195929</v>
      </c>
      <c r="I117" s="14"/>
      <c r="J117" s="246">
        <f t="shared" si="6"/>
        <v>-1805833.4604195929</v>
      </c>
      <c r="K117" s="14"/>
      <c r="L117" s="246">
        <v>0</v>
      </c>
      <c r="M117" s="14"/>
      <c r="N117" s="250">
        <f t="shared" si="7"/>
        <v>0</v>
      </c>
    </row>
    <row r="118" spans="5:14" ht="16.05" customHeight="1">
      <c r="E118" s="232" t="s">
        <v>436</v>
      </c>
      <c r="F118" s="246">
        <v>0</v>
      </c>
      <c r="G118" s="14"/>
      <c r="H118" s="246">
        <v>-1358344.6214274834</v>
      </c>
      <c r="I118" s="14"/>
      <c r="J118" s="246">
        <f t="shared" si="6"/>
        <v>-1358344.6214274834</v>
      </c>
      <c r="K118" s="14"/>
      <c r="L118" s="246">
        <v>0</v>
      </c>
      <c r="M118" s="14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14"/>
      <c r="H119" s="246">
        <v>9908021.6894580107</v>
      </c>
      <c r="I119" s="14"/>
      <c r="J119" s="246">
        <f t="shared" si="6"/>
        <v>9908021.6894580107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-3854168.2236350928</v>
      </c>
      <c r="I120" s="14"/>
      <c r="J120" s="246">
        <f t="shared" si="6"/>
        <v>-3854168.2236350928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-59670.230487301538</v>
      </c>
      <c r="I121" s="14"/>
      <c r="J121" s="246">
        <f t="shared" si="6"/>
        <v>0</v>
      </c>
      <c r="K121" s="14"/>
      <c r="L121" s="246">
        <v>-59670.230487301538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-1358344.6214274834</v>
      </c>
      <c r="I122" s="14"/>
      <c r="J122" s="246">
        <f t="shared" si="6"/>
        <v>-1358344.6214274834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9908021.6894580107</v>
      </c>
      <c r="I123" s="14"/>
      <c r="J123" s="246">
        <f t="shared" si="6"/>
        <v>9908021.6894580107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-1256817.6045988721</v>
      </c>
      <c r="I124" s="14"/>
      <c r="J124" s="246">
        <f t="shared" si="6"/>
        <v>-1256817.6045988721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-74404.460335125405</v>
      </c>
      <c r="I125" s="14"/>
      <c r="J125" s="246">
        <f t="shared" si="6"/>
        <v>0</v>
      </c>
      <c r="K125" s="14"/>
      <c r="L125" s="246">
        <v>-74404.460335125405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-926617.44372625591</v>
      </c>
      <c r="I126" s="14"/>
      <c r="J126" s="246">
        <f t="shared" si="6"/>
        <v>0</v>
      </c>
      <c r="K126" s="14"/>
      <c r="L126" s="246">
        <v>-926617.44372625591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6114656.4031687425</v>
      </c>
      <c r="I127" s="14"/>
      <c r="J127" s="246">
        <f t="shared" si="6"/>
        <v>6114656.4031687425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-1963.2609195270718</v>
      </c>
      <c r="I128" s="14"/>
      <c r="J128" s="246">
        <f t="shared" si="6"/>
        <v>-1963.2609195270718</v>
      </c>
      <c r="K128" s="14"/>
      <c r="L128" s="246">
        <v>0</v>
      </c>
      <c r="M128" s="14"/>
      <c r="N128" s="250">
        <f t="shared" si="7"/>
        <v>0</v>
      </c>
    </row>
    <row r="129" spans="5:14" ht="16.05" customHeight="1">
      <c r="E129" s="247" t="s">
        <v>552</v>
      </c>
      <c r="F129" s="246">
        <v>0</v>
      </c>
      <c r="G129" s="14"/>
      <c r="H129" s="246">
        <v>-266.43836110596726</v>
      </c>
      <c r="I129" s="14"/>
      <c r="J129" s="246">
        <f t="shared" si="6"/>
        <v>0</v>
      </c>
      <c r="K129" s="14"/>
      <c r="L129" s="246">
        <v>-266.43836110596726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-45260.609166439484</v>
      </c>
      <c r="I130" s="14"/>
      <c r="J130" s="246">
        <f t="shared" si="6"/>
        <v>0</v>
      </c>
      <c r="K130" s="14"/>
      <c r="L130" s="246">
        <v>-45260.609166439484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-3425108.1424851296</v>
      </c>
      <c r="I131" s="14"/>
      <c r="J131" s="246">
        <f t="shared" si="6"/>
        <v>0</v>
      </c>
      <c r="K131" s="14"/>
      <c r="L131" s="246">
        <v>-3425108.1424851296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-2496.3536922330641</v>
      </c>
      <c r="I132" s="14"/>
      <c r="J132" s="246">
        <f t="shared" si="6"/>
        <v>-2496.3536922330641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-2496.3536922330641</v>
      </c>
      <c r="I133" s="14"/>
      <c r="J133" s="246">
        <f t="shared" si="6"/>
        <v>-1747.4475845631448</v>
      </c>
      <c r="K133" s="14"/>
      <c r="L133" s="246">
        <v>-748.90610766991904</v>
      </c>
      <c r="M133" s="14"/>
      <c r="N133" s="250">
        <f t="shared" si="7"/>
        <v>0</v>
      </c>
    </row>
    <row r="134" spans="5:14">
      <c r="E134" s="233" t="s">
        <v>445</v>
      </c>
      <c r="F134" s="246">
        <v>0</v>
      </c>
      <c r="G134" s="14"/>
      <c r="H134" s="246">
        <v>25724654.599848557</v>
      </c>
      <c r="I134" s="14"/>
      <c r="J134" s="246">
        <f t="shared" si="6"/>
        <v>25724654.599848557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0</v>
      </c>
      <c r="I135" s="14"/>
      <c r="J135" s="246">
        <f t="shared" si="6"/>
        <v>0</v>
      </c>
      <c r="K135" s="14"/>
      <c r="L135" s="246">
        <v>0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-2331262.748233919</v>
      </c>
      <c r="I136" s="14"/>
      <c r="J136" s="246">
        <f t="shared" si="6"/>
        <v>0</v>
      </c>
      <c r="K136" s="14"/>
      <c r="L136" s="246">
        <v>-2331262.748233919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-177387.6603372262</v>
      </c>
      <c r="I137" s="14"/>
      <c r="J137" s="246">
        <f t="shared" si="6"/>
        <v>0</v>
      </c>
      <c r="K137" s="14"/>
      <c r="L137" s="246">
        <v>-177387.6603372262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0</v>
      </c>
    </row>
    <row r="142" spans="5:14">
      <c r="E142" s="14"/>
      <c r="F142" s="360" t="s">
        <v>576</v>
      </c>
      <c r="G142" s="360"/>
      <c r="H142" s="360"/>
      <c r="I142" s="360"/>
      <c r="J142" s="360"/>
      <c r="K142" s="360"/>
      <c r="L142" s="360"/>
    </row>
    <row r="143" spans="5:14">
      <c r="E143" s="14"/>
      <c r="F143" s="14"/>
      <c r="G143" s="14"/>
      <c r="H143" s="14"/>
      <c r="I143" s="14"/>
      <c r="J143" s="14"/>
      <c r="K143" s="14"/>
      <c r="L143" s="14"/>
    </row>
    <row r="144" spans="5:14">
      <c r="E144" s="14"/>
      <c r="F144" s="14"/>
      <c r="G144" s="14"/>
      <c r="H144" s="14"/>
      <c r="I144" s="14"/>
      <c r="J144" s="14"/>
      <c r="K144" s="14"/>
      <c r="L144" s="14"/>
    </row>
    <row r="145" spans="5:13">
      <c r="E145" s="134" t="s">
        <v>325</v>
      </c>
      <c r="F145" s="251">
        <f t="array" ref="F145:F159">TRANSPOSE(AT55:BH55)</f>
        <v>-1717672.8035148196</v>
      </c>
      <c r="G145" s="14"/>
      <c r="H145" s="251">
        <v>0</v>
      </c>
      <c r="I145" s="14"/>
      <c r="J145" s="251">
        <f>AP58</f>
        <v>-1835585.3463335487</v>
      </c>
      <c r="K145" s="14"/>
      <c r="L145" s="271">
        <f>F145+H145-J145</f>
        <v>117912.54281872907</v>
      </c>
    </row>
    <row r="146" spans="5:13">
      <c r="E146" s="134" t="s">
        <v>326</v>
      </c>
      <c r="F146" s="251">
        <v>-1358104.1622069501</v>
      </c>
      <c r="G146" s="14"/>
      <c r="H146" s="251">
        <v>0</v>
      </c>
      <c r="I146" s="14"/>
      <c r="J146" s="251">
        <f t="shared" ref="J146:J159" si="8">AP59</f>
        <v>-1358433.8103399458</v>
      </c>
      <c r="K146" s="14"/>
      <c r="L146" s="271">
        <f t="shared" ref="L146:L159" si="9">F146+H146-J146</f>
        <v>329.64813299570233</v>
      </c>
    </row>
    <row r="147" spans="5:13">
      <c r="E147" s="134" t="s">
        <v>327</v>
      </c>
      <c r="F147" s="251">
        <v>9929848.8113797773</v>
      </c>
      <c r="G147" s="14"/>
      <c r="H147" s="251">
        <f>Ore_to_PI!AC195</f>
        <v>80616.370239891301</v>
      </c>
      <c r="I147" s="14"/>
      <c r="J147" s="251">
        <f t="shared" si="8"/>
        <v>9900655.6141127702</v>
      </c>
      <c r="K147" s="14"/>
      <c r="L147" s="271">
        <f t="shared" si="9"/>
        <v>109809.56750689819</v>
      </c>
    </row>
    <row r="148" spans="5:13">
      <c r="E148" s="134" t="s">
        <v>455</v>
      </c>
      <c r="F148" s="251">
        <v>-1805833.4604195929</v>
      </c>
      <c r="G148" s="14"/>
      <c r="H148" s="251">
        <f>Ore_to_PI!AU28</f>
        <v>609792.2517593482</v>
      </c>
      <c r="I148" s="14"/>
      <c r="J148" s="251">
        <f t="shared" si="8"/>
        <v>-1805833.4604195929</v>
      </c>
      <c r="K148" s="14"/>
      <c r="L148" s="271">
        <f t="shared" si="9"/>
        <v>609792.2517593482</v>
      </c>
    </row>
    <row r="149" spans="5:13">
      <c r="E149" s="134" t="s">
        <v>435</v>
      </c>
      <c r="F149" s="251">
        <v>-1358344.6214274834</v>
      </c>
      <c r="G149" s="14"/>
      <c r="H149" s="251">
        <f>Ore_to_PI!AU113</f>
        <v>2824.8856477449194</v>
      </c>
      <c r="I149" s="14"/>
      <c r="J149" s="251">
        <f t="shared" si="8"/>
        <v>-1358344.6214274834</v>
      </c>
      <c r="K149" s="14"/>
      <c r="L149" s="271">
        <f t="shared" si="9"/>
        <v>2824.8856477448717</v>
      </c>
    </row>
    <row r="150" spans="5:13">
      <c r="E150" s="134" t="s">
        <v>434</v>
      </c>
      <c r="F150" s="251">
        <v>9908021.6894580107</v>
      </c>
      <c r="G150" s="14"/>
      <c r="H150" s="251">
        <f>Ore_to_PI!AU190</f>
        <v>282.1287710315147</v>
      </c>
      <c r="I150" s="14"/>
      <c r="J150" s="251">
        <f t="shared" si="8"/>
        <v>9908021.6894580107</v>
      </c>
      <c r="K150" s="14"/>
      <c r="L150" s="271">
        <f t="shared" si="9"/>
        <v>282.12877103127539</v>
      </c>
    </row>
    <row r="151" spans="5:13">
      <c r="E151" s="134" t="s">
        <v>351</v>
      </c>
      <c r="F151" s="251">
        <v>-1805833.4604195929</v>
      </c>
      <c r="G151" s="14"/>
      <c r="H151" s="251">
        <f>Ore_to_PI!BN35</f>
        <v>12626.098826338684</v>
      </c>
      <c r="I151" s="14"/>
      <c r="J151" s="251">
        <f t="shared" si="8"/>
        <v>-3913838.4541223943</v>
      </c>
      <c r="K151" s="14"/>
      <c r="L151" s="271">
        <f t="shared" si="9"/>
        <v>2120631.0925291404</v>
      </c>
    </row>
    <row r="152" spans="5:13">
      <c r="E152" s="134" t="s">
        <v>348</v>
      </c>
      <c r="F152" s="251">
        <v>-1358344.6214274834</v>
      </c>
      <c r="G152" s="14" t="s">
        <v>371</v>
      </c>
      <c r="H152" s="251">
        <f>Ore_to_PI!BM116</f>
        <v>34.678095164114971</v>
      </c>
      <c r="I152" s="252" t="s">
        <v>378</v>
      </c>
      <c r="J152" s="251">
        <f t="shared" si="8"/>
        <v>-1358344.6214274834</v>
      </c>
      <c r="K152" s="252" t="s">
        <v>374</v>
      </c>
      <c r="L152" s="271">
        <f t="shared" si="9"/>
        <v>34.678095164010301</v>
      </c>
    </row>
    <row r="153" spans="5:13">
      <c r="E153" s="134" t="s">
        <v>362</v>
      </c>
      <c r="F153" s="251">
        <v>9908021.6894580107</v>
      </c>
      <c r="G153" s="14"/>
      <c r="H153" s="251">
        <f>Ore_to_PI!BM195</f>
        <v>50.358084153937838</v>
      </c>
      <c r="I153" s="14"/>
      <c r="J153" s="251">
        <f t="shared" si="8"/>
        <v>9908021.6894580107</v>
      </c>
      <c r="K153" s="14"/>
      <c r="L153" s="271">
        <f t="shared" si="9"/>
        <v>50.35808415338397</v>
      </c>
    </row>
    <row r="154" spans="5:13">
      <c r="E154" s="134" t="s">
        <v>349</v>
      </c>
      <c r="F154" s="251">
        <v>-1533326.955015453</v>
      </c>
      <c r="G154" s="14"/>
      <c r="H154" s="251">
        <v>0</v>
      </c>
      <c r="I154" s="14"/>
      <c r="J154" s="251">
        <f t="shared" si="8"/>
        <v>-2257839.5086602536</v>
      </c>
      <c r="K154" s="14"/>
      <c r="L154" s="271">
        <f t="shared" si="9"/>
        <v>724512.55364480056</v>
      </c>
    </row>
    <row r="155" spans="5:13">
      <c r="E155" s="134" t="s">
        <v>344</v>
      </c>
      <c r="F155" s="251">
        <v>8958815.2639773358</v>
      </c>
      <c r="G155" s="14"/>
      <c r="H155" s="251">
        <v>0</v>
      </c>
      <c r="I155" s="14"/>
      <c r="J155" s="251">
        <f t="shared" si="8"/>
        <v>2642057.9522365406</v>
      </c>
      <c r="K155" s="14"/>
      <c r="L155" s="271">
        <f t="shared" si="9"/>
        <v>6316757.3117407952</v>
      </c>
    </row>
    <row r="156" spans="5:13">
      <c r="E156" s="134" t="s">
        <v>514</v>
      </c>
      <c r="F156" s="251">
        <v>-1963.2609195270718</v>
      </c>
      <c r="G156" s="14"/>
      <c r="H156" s="251">
        <f>Ore_to_PI!DD229</f>
        <v>33191.859393697465</v>
      </c>
      <c r="I156" s="14"/>
      <c r="J156" s="251">
        <f t="shared" si="8"/>
        <v>-2496.3536922330641</v>
      </c>
      <c r="K156" s="14"/>
      <c r="L156" s="271">
        <f t="shared" si="9"/>
        <v>33724.952166403455</v>
      </c>
    </row>
    <row r="157" spans="5:13">
      <c r="E157" s="134" t="s">
        <v>516</v>
      </c>
      <c r="F157" s="251">
        <v>-2496.3536922330641</v>
      </c>
      <c r="G157" s="14"/>
      <c r="H157" s="251">
        <v>0</v>
      </c>
      <c r="I157" s="14"/>
      <c r="J157" s="251">
        <f t="shared" si="8"/>
        <v>-2496.3536922330641</v>
      </c>
      <c r="K157" s="14"/>
      <c r="L157" s="271">
        <f t="shared" si="9"/>
        <v>0</v>
      </c>
    </row>
    <row r="158" spans="5:13">
      <c r="E158" s="134" t="s">
        <v>76</v>
      </c>
      <c r="F158" s="251">
        <v>1003670.5749347778</v>
      </c>
      <c r="G158" s="14"/>
      <c r="H158" s="251">
        <v>0</v>
      </c>
      <c r="I158" s="14"/>
      <c r="J158" s="251">
        <f t="shared" si="8"/>
        <v>25724654.599848557</v>
      </c>
      <c r="K158" s="14"/>
      <c r="L158" s="271">
        <f t="shared" si="9"/>
        <v>-24720984.02491378</v>
      </c>
      <c r="M158" t="s">
        <v>799</v>
      </c>
    </row>
    <row r="159" spans="5:13">
      <c r="E159" s="134" t="s">
        <v>337</v>
      </c>
      <c r="F159" s="251">
        <v>25708122.169891011</v>
      </c>
      <c r="G159" s="14"/>
      <c r="H159" s="253">
        <f>Ore_to_PI!EU117</f>
        <v>318930.1042317453</v>
      </c>
      <c r="I159" s="252"/>
      <c r="J159" s="251">
        <f t="shared" si="8"/>
        <v>-2508650.408571145</v>
      </c>
      <c r="K159" s="14"/>
      <c r="L159" s="271">
        <f t="shared" si="9"/>
        <v>28535702.682693902</v>
      </c>
    </row>
    <row r="160" spans="5:13" ht="16.95" customHeight="1">
      <c r="F160" s="14" t="s">
        <v>577</v>
      </c>
      <c r="G160" s="252"/>
      <c r="H160" s="252" t="s">
        <v>196</v>
      </c>
      <c r="I160" s="252"/>
      <c r="J160" s="52" t="s">
        <v>365</v>
      </c>
      <c r="K160" s="14"/>
      <c r="L160" s="252" t="s">
        <v>578</v>
      </c>
    </row>
  </sheetData>
  <mergeCells count="10">
    <mergeCell ref="F75:AO75"/>
    <mergeCell ref="F94:AO94"/>
    <mergeCell ref="F99:N99"/>
    <mergeCell ref="F142:L142"/>
    <mergeCell ref="F96:AO96"/>
    <mergeCell ref="AT56:BH56"/>
    <mergeCell ref="F54:G54"/>
    <mergeCell ref="AT54:BH54"/>
    <mergeCell ref="BN54:BO54"/>
    <mergeCell ref="F73:AO73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defaultColWidth="11.5546875" defaultRowHeight="14.4"/>
  <cols>
    <col min="5" max="5" width="12" customWidth="1"/>
    <col min="7" max="7" width="12" customWidth="1"/>
    <col min="14" max="15" width="12.109375" customWidth="1"/>
    <col min="20" max="20" width="12.109375" customWidth="1"/>
  </cols>
  <sheetData>
    <row r="3" spans="3:20" ht="16.95" customHeight="1">
      <c r="E3" s="358" t="s">
        <v>279</v>
      </c>
      <c r="F3" s="358"/>
      <c r="G3" s="358"/>
      <c r="L3" s="358" t="s">
        <v>354</v>
      </c>
      <c r="M3" s="358"/>
      <c r="N3" s="358"/>
      <c r="T3" s="52" t="s">
        <v>353</v>
      </c>
    </row>
    <row r="4" spans="3:20" ht="16.05" customHeight="1">
      <c r="E4" s="362" t="s">
        <v>10</v>
      </c>
      <c r="F4" s="362"/>
      <c r="G4" s="362"/>
      <c r="L4" s="362" t="s">
        <v>47</v>
      </c>
      <c r="M4" s="362"/>
      <c r="N4" s="362"/>
      <c r="T4" s="14" t="s">
        <v>47</v>
      </c>
    </row>
    <row r="5" spans="3:20" ht="14.55" customHeight="1">
      <c r="C5" s="364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>
      <c r="C6" s="364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82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6.95" customHeight="1">
      <c r="C7" s="364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6.95" customHeight="1">
      <c r="L9" s="358" t="s">
        <v>354</v>
      </c>
      <c r="M9" s="358"/>
      <c r="N9" s="358"/>
      <c r="O9" s="358"/>
    </row>
    <row r="10" spans="3:20">
      <c r="E10" s="358" t="s">
        <v>279</v>
      </c>
      <c r="F10" s="358"/>
      <c r="L10" s="362" t="s">
        <v>47</v>
      </c>
      <c r="M10" s="362"/>
      <c r="N10" s="362"/>
      <c r="O10" s="362"/>
    </row>
    <row r="11" spans="3:20">
      <c r="E11" s="362" t="s">
        <v>10</v>
      </c>
      <c r="F11" s="362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>
      <c r="C12" s="365" t="s">
        <v>19</v>
      </c>
      <c r="E12" s="272" t="s">
        <v>275</v>
      </c>
      <c r="F12" s="273" t="s">
        <v>276</v>
      </c>
      <c r="K12" s="283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5" customHeight="1">
      <c r="C13" s="365"/>
      <c r="D13" s="50" t="s">
        <v>280</v>
      </c>
      <c r="E13" s="14" t="s">
        <v>91</v>
      </c>
      <c r="F13" s="14">
        <f>Kiln_SolidWaste</f>
        <v>4.9847525450981189</v>
      </c>
    </row>
    <row r="14" spans="3:20" ht="16.95" customHeight="1">
      <c r="C14" s="365"/>
      <c r="D14" s="50" t="s">
        <v>22</v>
      </c>
      <c r="E14" s="14" t="s">
        <v>91</v>
      </c>
      <c r="F14" s="14">
        <f>Kiln_H2OWaste</f>
        <v>84.513558569455128</v>
      </c>
      <c r="L14" s="358" t="s">
        <v>354</v>
      </c>
      <c r="M14" s="358"/>
      <c r="N14" s="358"/>
    </row>
    <row r="15" spans="3:20">
      <c r="C15" s="365"/>
      <c r="D15" s="14" t="s">
        <v>18</v>
      </c>
      <c r="E15" s="18">
        <f>SUM(E13:E14)</f>
        <v>0</v>
      </c>
      <c r="F15" s="18">
        <f>SUM(F13:F14)</f>
        <v>89.498311114553246</v>
      </c>
      <c r="L15" s="362" t="s">
        <v>47</v>
      </c>
      <c r="M15" s="362"/>
      <c r="N15" s="362"/>
    </row>
    <row r="16" spans="3:20">
      <c r="L16" s="277" t="s">
        <v>137</v>
      </c>
      <c r="M16" s="277" t="s">
        <v>129</v>
      </c>
      <c r="N16" s="277" t="s">
        <v>296</v>
      </c>
    </row>
    <row r="17" spans="3:14">
      <c r="K17" s="284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>
      <c r="E18" s="52" t="s">
        <v>279</v>
      </c>
    </row>
    <row r="19" spans="3:14" ht="16.95" customHeight="1">
      <c r="E19" s="58" t="s">
        <v>10</v>
      </c>
      <c r="L19" s="358" t="s">
        <v>354</v>
      </c>
      <c r="M19" s="358"/>
    </row>
    <row r="20" spans="3:14">
      <c r="C20" s="363" t="s">
        <v>278</v>
      </c>
      <c r="E20" s="277" t="s">
        <v>275</v>
      </c>
      <c r="L20" s="362" t="s">
        <v>47</v>
      </c>
      <c r="M20" s="362"/>
    </row>
    <row r="21" spans="3:14" ht="14.55" customHeight="1">
      <c r="C21" s="363"/>
      <c r="D21" s="50" t="s">
        <v>280</v>
      </c>
      <c r="E21" s="14">
        <f>Beneficiation_CoalWaste</f>
        <v>25.253201846716312</v>
      </c>
      <c r="L21" s="278" t="s">
        <v>76</v>
      </c>
      <c r="M21" s="278" t="s">
        <v>277</v>
      </c>
    </row>
    <row r="22" spans="3:14" ht="16.95" customHeight="1">
      <c r="C22" s="363"/>
      <c r="D22" s="50" t="s">
        <v>22</v>
      </c>
      <c r="E22" s="14" t="s">
        <v>91</v>
      </c>
      <c r="K22" s="281" t="s">
        <v>315</v>
      </c>
      <c r="L22" s="14">
        <f>B_lost_mixer</f>
        <v>0</v>
      </c>
      <c r="M22" s="14">
        <f>B_lost_blast_furnace</f>
        <v>472084.51440660493</v>
      </c>
    </row>
    <row r="23" spans="3:14">
      <c r="C23" s="363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B49" zoomScale="111" workbookViewId="0">
      <selection activeCell="N51" sqref="N51:N65"/>
    </sheetView>
  </sheetViews>
  <sheetFormatPr defaultColWidth="11.5546875" defaultRowHeight="14.4"/>
  <cols>
    <col min="3" max="3" width="7.77734375" customWidth="1"/>
    <col min="4" max="4" width="9.44140625" customWidth="1"/>
    <col min="5" max="5" width="10" customWidth="1"/>
  </cols>
  <sheetData>
    <row r="1" spans="1:34" ht="16.95" customHeight="1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>
      <c r="A4" s="289"/>
      <c r="B4" s="290"/>
      <c r="C4" s="290"/>
      <c r="D4" s="318" t="s">
        <v>245</v>
      </c>
      <c r="E4" s="318"/>
      <c r="F4" s="318"/>
      <c r="G4" s="318"/>
      <c r="H4" s="289"/>
      <c r="I4" s="289"/>
      <c r="K4" s="293"/>
      <c r="S4" s="358" t="s">
        <v>601</v>
      </c>
      <c r="T4" s="358"/>
      <c r="U4" s="358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>
      <c r="A5" s="289"/>
      <c r="B5" s="290"/>
      <c r="C5" s="290"/>
      <c r="D5" s="362" t="s">
        <v>77</v>
      </c>
      <c r="E5" s="362"/>
      <c r="F5" s="362"/>
      <c r="G5" s="362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>
      <c r="A6" s="289"/>
      <c r="B6" s="364" t="s">
        <v>4</v>
      </c>
      <c r="C6" s="14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.05" customHeight="1">
      <c r="A7" s="289"/>
      <c r="B7" s="364"/>
      <c r="C7" s="286" t="s">
        <v>266</v>
      </c>
      <c r="D7" s="14">
        <f>Bejan_MEROI_Iron</f>
        <v>0.7073466118498688</v>
      </c>
      <c r="E7" s="14" t="e">
        <f>Bejan_IronExtraction</f>
        <v>#NAME?</v>
      </c>
      <c r="F7" s="14" t="e">
        <f>Bejan_IronHauling</f>
        <v>#NAME?</v>
      </c>
      <c r="G7" s="14" t="e">
        <f>Bejan_IronBeneficiation</f>
        <v>#NAME?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>
      <c r="A8" s="289"/>
      <c r="B8" s="364"/>
      <c r="C8" s="288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>
      <c r="A9" s="289"/>
      <c r="B9" s="364"/>
      <c r="C9" s="287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>
      <c r="A10" s="289"/>
      <c r="C10" s="14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366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366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>
      <c r="A13" s="289"/>
      <c r="B13" s="290"/>
      <c r="C13" s="290"/>
      <c r="D13" s="318" t="s">
        <v>245</v>
      </c>
      <c r="E13" s="318"/>
      <c r="F13" s="318"/>
      <c r="G13" s="318"/>
      <c r="H13" s="318"/>
      <c r="I13" s="289"/>
      <c r="K13" s="293"/>
      <c r="M13" s="289"/>
      <c r="N13" s="289"/>
      <c r="O13" s="289"/>
      <c r="P13" s="289"/>
      <c r="Q13" s="289"/>
      <c r="R13" s="289"/>
      <c r="S13" s="289"/>
      <c r="T13" s="366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>
      <c r="A14" s="289"/>
      <c r="B14" s="290"/>
      <c r="C14" s="290"/>
      <c r="D14" s="362" t="s">
        <v>77</v>
      </c>
      <c r="E14" s="362"/>
      <c r="F14" s="362"/>
      <c r="G14" s="362"/>
      <c r="H14" s="362"/>
      <c r="I14" s="289"/>
      <c r="K14" s="293"/>
      <c r="M14" s="289"/>
      <c r="N14" s="289"/>
      <c r="O14" s="289"/>
      <c r="P14" s="289"/>
      <c r="Q14" s="289"/>
      <c r="R14" s="289"/>
      <c r="S14" s="289"/>
      <c r="T14" s="366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.05" customHeight="1">
      <c r="A15" s="289"/>
      <c r="B15" s="365" t="s">
        <v>19</v>
      </c>
      <c r="C15" s="14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>
      <c r="A16" s="289"/>
      <c r="B16" s="365"/>
      <c r="C16" s="286" t="s">
        <v>266</v>
      </c>
      <c r="D16" s="14">
        <f>Bejan_MEROI_Limestone</f>
        <v>20693.323881806569</v>
      </c>
      <c r="E16" s="14" t="e">
        <f>Bejan_LimeExtraction</f>
        <v>#NAME?</v>
      </c>
      <c r="F16" s="14" t="e">
        <f>Bejan_LimeHauling</f>
        <v>#NAME?</v>
      </c>
      <c r="G16" s="14" t="e">
        <f>Bejan_LimeBeneficiation</f>
        <v>#NAME?</v>
      </c>
      <c r="H16" s="14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>
      <c r="A17" s="289"/>
      <c r="B17" s="365"/>
      <c r="C17" s="288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>
      <c r="A18" s="289"/>
      <c r="B18" s="365"/>
      <c r="C18" s="287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>
      <c r="A19" s="289"/>
      <c r="C19" s="14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>
      <c r="A21" s="289"/>
      <c r="B21" s="290"/>
      <c r="C21" s="290"/>
      <c r="D21" s="318" t="s">
        <v>245</v>
      </c>
      <c r="E21" s="318"/>
      <c r="F21" s="318"/>
      <c r="G21" s="318"/>
      <c r="H21" s="289"/>
      <c r="I21" s="289"/>
      <c r="K21" s="293"/>
      <c r="M21" s="289"/>
      <c r="N21" s="289"/>
      <c r="O21" s="289"/>
      <c r="P21" s="366" t="s">
        <v>56</v>
      </c>
      <c r="Q21" s="294"/>
      <c r="R21" s="289"/>
      <c r="S21" s="367" t="s">
        <v>600</v>
      </c>
      <c r="T21" s="367"/>
      <c r="U21" s="367"/>
      <c r="V21" s="289"/>
      <c r="W21" s="289"/>
      <c r="X21" s="366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>
      <c r="A22" s="289"/>
      <c r="B22" s="290"/>
      <c r="C22" s="290"/>
      <c r="D22" s="362" t="s">
        <v>77</v>
      </c>
      <c r="E22" s="362"/>
      <c r="F22" s="362"/>
      <c r="G22" s="362"/>
      <c r="H22" s="289"/>
      <c r="I22" s="289"/>
      <c r="K22" s="293"/>
      <c r="M22" s="289"/>
      <c r="N22" s="289"/>
      <c r="O22" s="289"/>
      <c r="P22" s="366"/>
      <c r="Q22" s="294"/>
      <c r="R22" s="289"/>
      <c r="S22" s="367"/>
      <c r="T22" s="367"/>
      <c r="U22" s="367"/>
      <c r="V22" s="289"/>
      <c r="X22" s="366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>
      <c r="A23" s="289"/>
      <c r="B23" s="363" t="s">
        <v>278</v>
      </c>
      <c r="C23" s="14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367"/>
      <c r="T23" s="367"/>
      <c r="U23" s="367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>
      <c r="A24" s="289"/>
      <c r="B24" s="363"/>
      <c r="C24" s="286" t="s">
        <v>266</v>
      </c>
      <c r="D24" s="14">
        <f>Bejan_MEROI_Coal</f>
        <v>109.11201209723454</v>
      </c>
      <c r="E24" s="14" t="e">
        <f>Bejan_CoalExtraction</f>
        <v>#NAME?</v>
      </c>
      <c r="F24" s="14" t="e">
        <f>Bejan_CoalHauling</f>
        <v>#NAME?</v>
      </c>
      <c r="G24" s="14" t="e">
        <f>Bejan_Cokeoven</f>
        <v>#NAME?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>
      <c r="A25" s="289"/>
      <c r="B25" s="363"/>
      <c r="C25" s="288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>
      <c r="A26" s="289"/>
      <c r="B26" s="363"/>
      <c r="C26" s="287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366"/>
      <c r="Q30" s="289"/>
      <c r="R30" s="289"/>
      <c r="S30" s="289"/>
      <c r="T30" s="366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366"/>
      <c r="Q31" s="289"/>
      <c r="R31" s="289"/>
      <c r="S31" s="289"/>
      <c r="T31" s="366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>
      <c r="A32" s="289"/>
      <c r="B32" s="368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>
      <c r="A33" s="289"/>
      <c r="B33" s="368"/>
      <c r="C33" s="286" t="s">
        <v>266</v>
      </c>
      <c r="D33" s="14" t="s">
        <v>91</v>
      </c>
      <c r="E33" s="14" t="e">
        <f>Bejan_BF</f>
        <v>#NAME?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>
      <c r="A34" s="289"/>
      <c r="B34" s="368"/>
      <c r="C34" s="288" t="s">
        <v>267</v>
      </c>
      <c r="D34" s="14">
        <f>Rational_mixer</f>
        <v>0.99174963463121601</v>
      </c>
      <c r="E34" s="14">
        <f>Rational_BF</f>
        <v>0.37943022424115741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>
      <c r="A35" s="289"/>
      <c r="B35" s="368"/>
      <c r="C35" s="287" t="s">
        <v>318</v>
      </c>
      <c r="D35" s="14">
        <f>Resource_Mixer</f>
        <v>0.99174963463121601</v>
      </c>
      <c r="E35" s="14">
        <f>Resource_BF</f>
        <v>0.34074255379728524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6.95" customHeight="1">
      <c r="C41" s="14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>
      <c r="B42" s="292" t="s">
        <v>487</v>
      </c>
      <c r="C42" s="14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ht="83.4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>
      <c r="C50" s="134" t="s">
        <v>631</v>
      </c>
      <c r="D50" s="134" t="s">
        <v>632</v>
      </c>
      <c r="K50" s="293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>
      <c r="B51" s="134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3"/>
      <c r="L51" s="134" t="s">
        <v>325</v>
      </c>
      <c r="M51" s="134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'MCC_hM_RUVY_matrices_mat_level '!L145</f>
        <v>117912.54281872907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117912.54281872907</v>
      </c>
      <c r="AA51" s="134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>
      <c r="B52" s="134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3"/>
      <c r="L52" s="134" t="s">
        <v>326</v>
      </c>
      <c r="M52" s="134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'MCC_hM_RUVY_matrices_mat_level '!L146</f>
        <v>329.64813299570233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329.64813299570233</v>
      </c>
      <c r="AA52" s="134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>
      <c r="B53" s="134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3"/>
      <c r="L53" s="134" t="s">
        <v>327</v>
      </c>
      <c r="M53" s="134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'MCC_hM_RUVY_matrices_mat_level '!L147</f>
        <v>109809.56750689819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109809.56750689819</v>
      </c>
      <c r="AA53" s="134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>
      <c r="B54" s="134" t="s">
        <v>455</v>
      </c>
      <c r="C54" s="14">
        <f>Rational_IronHauling</f>
        <v>0.15068009543796188</v>
      </c>
      <c r="D54" s="14">
        <f>Resource_IronHauling</f>
        <v>0.12723325256465715</v>
      </c>
      <c r="K54" s="293"/>
      <c r="L54" s="134" t="s">
        <v>455</v>
      </c>
      <c r="M54" s="134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'MCC_hM_RUVY_matrices_mat_level '!L148</f>
        <v>609792.2517593482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609792.2517593482</v>
      </c>
      <c r="AA54" s="134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>
      <c r="B55" s="134" t="s">
        <v>435</v>
      </c>
      <c r="C55" s="14">
        <f>Rational_LimeHauling</f>
        <v>0.89954868347015648</v>
      </c>
      <c r="D55" s="14">
        <f>Resource_LimeHauling</f>
        <v>0.78181642740498758</v>
      </c>
      <c r="K55" s="293"/>
      <c r="L55" s="134" t="s">
        <v>435</v>
      </c>
      <c r="M55" s="134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'MCC_hM_RUVY_matrices_mat_level '!L149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4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>
      <c r="B56" s="134" t="s">
        <v>434</v>
      </c>
      <c r="C56" s="14">
        <f>Rational_CoalHauling</f>
        <v>0.99996814295200787</v>
      </c>
      <c r="D56" s="14">
        <f>Resource_CoalHauling</f>
        <v>0.9994246250143145</v>
      </c>
      <c r="K56" s="293"/>
      <c r="L56" s="134" t="s">
        <v>434</v>
      </c>
      <c r="M56" s="134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'MCC_hM_RUVY_matrices_mat_level '!L150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4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>
      <c r="B57" s="134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3"/>
      <c r="L57" s="134" t="s">
        <v>351</v>
      </c>
      <c r="M57" s="134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'MCC_hM_RUVY_matrices_mat_level '!L151</f>
        <v>2120631.0925291404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2120631.0925291404</v>
      </c>
      <c r="AA57" s="134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>
      <c r="B58" s="134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3"/>
      <c r="L58" s="134" t="s">
        <v>348</v>
      </c>
      <c r="M58" s="134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'MCC_hM_RUVY_matrices_mat_level '!L152</f>
        <v>34.678095164010301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34.678095164010301</v>
      </c>
      <c r="AA58" s="134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>
      <c r="B59" s="134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3"/>
      <c r="L59" s="134" t="s">
        <v>362</v>
      </c>
      <c r="M59" s="134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'MCC_hM_RUVY_matrices_mat_level '!L153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4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>
      <c r="B60" s="134" t="s">
        <v>349</v>
      </c>
      <c r="C60" s="14">
        <f>Rational_Kiln</f>
        <v>0.17027276068302746</v>
      </c>
      <c r="D60" s="14">
        <f>Resource_Kiln</f>
        <v>0.1222893219234706</v>
      </c>
      <c r="K60" s="293"/>
      <c r="L60" s="134" t="s">
        <v>349</v>
      </c>
      <c r="M60" s="134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'MCC_hM_RUVY_matrices_mat_level '!L154</f>
        <v>724512.55364480056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724512.55364480056</v>
      </c>
      <c r="AA60" s="134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>
      <c r="B61" s="134" t="s">
        <v>344</v>
      </c>
      <c r="C61" s="14">
        <f>Rational_Cokeoven</f>
        <v>0.60155306227269634</v>
      </c>
      <c r="D61" s="14">
        <f>Resource_Cokeoven</f>
        <v>0.32940597812032246</v>
      </c>
      <c r="K61" s="293"/>
      <c r="L61" s="134" t="s">
        <v>344</v>
      </c>
      <c r="M61" s="134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'MCC_hM_RUVY_matrices_mat_level '!L155</f>
        <v>6316757.3117407952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6316757.3117407952</v>
      </c>
      <c r="AA61" s="134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>
      <c r="B62" s="134" t="s">
        <v>514</v>
      </c>
      <c r="C62" s="14">
        <f>Rational_COGtreatment</f>
        <v>0.9960578434433518</v>
      </c>
      <c r="D62" s="14">
        <f>Resource_COGtreatment</f>
        <v>0.18236833377116268</v>
      </c>
      <c r="K62" s="293"/>
      <c r="L62" s="134" t="s">
        <v>514</v>
      </c>
      <c r="M62" s="134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'MCC_hM_RUVY_matrices_mat_level '!L156</f>
        <v>33724.952166403455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33724.952166403455</v>
      </c>
      <c r="AA62" s="134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>
      <c r="B63" s="134" t="s">
        <v>516</v>
      </c>
      <c r="C63" s="14">
        <f>Rational_COGdistribution</f>
        <v>1</v>
      </c>
      <c r="D63" s="14">
        <f>Resource_COGdistribution</f>
        <v>1</v>
      </c>
      <c r="K63" s="293"/>
      <c r="L63" s="134" t="s">
        <v>516</v>
      </c>
      <c r="M63" s="134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'MCC_hM_RUVY_matrices_mat_level '!L157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4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>
      <c r="B64" s="134" t="s">
        <v>76</v>
      </c>
      <c r="C64" s="14">
        <f>Rational_mixer</f>
        <v>0.99174963463121601</v>
      </c>
      <c r="D64" s="14">
        <f>Resource_Mixer</f>
        <v>0.99174963463121601</v>
      </c>
      <c r="K64" s="293"/>
      <c r="L64" s="134" t="s">
        <v>76</v>
      </c>
      <c r="M64" s="134">
        <f>MCC_B_RUVY_matrices_mat_level!J229</f>
        <v>55594.067320963368</v>
      </c>
      <c r="N64" s="14" t="e">
        <f>#REF!</f>
        <v>#REF!</v>
      </c>
      <c r="O64" s="14">
        <f>MCC_B_RUVY_matrices_mat_level!J229</f>
        <v>55594.067320963368</v>
      </c>
      <c r="P64" s="14">
        <f>'MCC_hM_RUVY_matrices_mat_level '!L158</f>
        <v>-24720984.02491378</v>
      </c>
      <c r="Q64">
        <f>mass_bal_Mixer</f>
        <v>0</v>
      </c>
      <c r="S64" t="str">
        <f t="shared" si="9"/>
        <v>Mixer</v>
      </c>
      <c r="T64">
        <f t="shared" si="10"/>
        <v>55594.067320963368</v>
      </c>
      <c r="U64" t="e">
        <f t="shared" si="11"/>
        <v>#REF!</v>
      </c>
      <c r="V64">
        <f t="shared" si="12"/>
        <v>55594.067320963368</v>
      </c>
      <c r="X64" t="str">
        <f t="shared" si="13"/>
        <v>Mixer</v>
      </c>
      <c r="Y64">
        <f t="shared" si="4"/>
        <v>-24720984.02491378</v>
      </c>
      <c r="AA64" s="134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>
      <c r="B65" s="134" t="s">
        <v>337</v>
      </c>
      <c r="C65" s="14">
        <f>Rational_BF</f>
        <v>0.37943022424115741</v>
      </c>
      <c r="D65" s="14">
        <f>Resource_BF</f>
        <v>0.34074255379728524</v>
      </c>
      <c r="K65" s="293"/>
      <c r="L65" s="134" t="s">
        <v>337</v>
      </c>
      <c r="M65" s="134">
        <f>MCC_B_RUVY_matrices_mat_level!J230</f>
        <v>7572474.0694727181</v>
      </c>
      <c r="N65" s="14" t="e">
        <f>#REF!</f>
        <v>#REF!</v>
      </c>
      <c r="O65" s="14">
        <f>MCC_B_RUVY_matrices_mat_level!J230</f>
        <v>7572474.0694727181</v>
      </c>
      <c r="P65" s="14">
        <f>'MCC_hM_RUVY_matrices_mat_level '!L159</f>
        <v>28535702.682693902</v>
      </c>
      <c r="Q65">
        <f>mass_bal_BF</f>
        <v>0</v>
      </c>
      <c r="S65" t="str">
        <f t="shared" si="9"/>
        <v>Blast furnace</v>
      </c>
      <c r="T65">
        <f t="shared" si="10"/>
        <v>7572474.0694727181</v>
      </c>
      <c r="U65" t="e">
        <f t="shared" si="11"/>
        <v>#REF!</v>
      </c>
      <c r="V65">
        <f t="shared" si="12"/>
        <v>7572474.0694727181</v>
      </c>
      <c r="X65" t="str">
        <f t="shared" si="13"/>
        <v>Blast furnace</v>
      </c>
      <c r="Y65">
        <f t="shared" si="4"/>
        <v>28535702.682693902</v>
      </c>
      <c r="AA65" s="134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31:34"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31:34"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31:34"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31:34"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31:34"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31:34"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31:34"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31:34"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31:34"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31:34"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31:34"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31:34"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31:34"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31:34"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31:34"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31:34"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31:34"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31:34"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31:34"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31:34"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31:34"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31:34"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31:34"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31:34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31:34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31:34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31:34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31:34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31:34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31:34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31:34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T30:T31"/>
    <mergeCell ref="S4:U4"/>
    <mergeCell ref="X21:X22"/>
    <mergeCell ref="S21:U23"/>
    <mergeCell ref="P11:P12"/>
    <mergeCell ref="P21:P22"/>
    <mergeCell ref="P30:P31"/>
    <mergeCell ref="T13:T14"/>
  </mergeCells>
  <pageMargins left="0.7" right="0.7" top="0.75" bottom="0.75" header="0.3" footer="0.3"/>
  <pageSetup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1" zoomScale="111" workbookViewId="0">
      <selection activeCell="F61" sqref="F61"/>
    </sheetView>
  </sheetViews>
  <sheetFormatPr defaultColWidth="11.5546875" defaultRowHeight="14.4"/>
  <cols>
    <col min="9" max="9" width="12.109375" customWidth="1"/>
  </cols>
  <sheetData>
    <row r="2" spans="2:22">
      <c r="C2" s="358" t="s">
        <v>612</v>
      </c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</row>
    <row r="3" spans="2:22" ht="18" customHeight="1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>
      <c r="B4" s="21" t="s">
        <v>40</v>
      </c>
      <c r="C4" s="1" t="s">
        <v>82</v>
      </c>
      <c r="D4" s="21" t="s">
        <v>213</v>
      </c>
      <c r="E4" s="139" t="s">
        <v>84</v>
      </c>
      <c r="F4" s="139" t="s">
        <v>80</v>
      </c>
      <c r="G4" s="1" t="s">
        <v>89</v>
      </c>
      <c r="H4" s="139" t="s">
        <v>89</v>
      </c>
      <c r="I4" s="139" t="s">
        <v>24</v>
      </c>
      <c r="J4" s="139" t="s">
        <v>91</v>
      </c>
      <c r="K4" s="139" t="s">
        <v>89</v>
      </c>
      <c r="L4" s="139" t="s">
        <v>89</v>
      </c>
      <c r="M4" s="139" t="s">
        <v>88</v>
      </c>
      <c r="N4" s="139" t="s">
        <v>86</v>
      </c>
      <c r="R4" s="370" t="s">
        <v>349</v>
      </c>
      <c r="S4" s="370"/>
      <c r="T4" s="370"/>
      <c r="U4" s="370"/>
      <c r="V4" s="370"/>
    </row>
    <row r="5" spans="2:22" ht="19.05" customHeight="1">
      <c r="B5" s="144" t="s">
        <v>254</v>
      </c>
      <c r="C5" s="144">
        <f>Limestone_for_BF</f>
        <v>198.12782320839224</v>
      </c>
      <c r="D5" s="144">
        <v>0.95</v>
      </c>
      <c r="E5" s="144">
        <f>MW_CaCO3</f>
        <v>0.1000872</v>
      </c>
      <c r="F5" s="144">
        <f>C5/E5</f>
        <v>1979.5520626852608</v>
      </c>
      <c r="G5" s="144">
        <f>h_CaCO3</f>
        <v>-1207.5999999999999</v>
      </c>
      <c r="H5" s="144">
        <f>b_ch_CaCO3</f>
        <v>11.256799999999885</v>
      </c>
      <c r="I5" s="144">
        <f>F5/F7</f>
        <v>0.94119632891260407</v>
      </c>
      <c r="J5" s="144">
        <f>LN(I5)</f>
        <v>-6.0603522569383693E-2</v>
      </c>
      <c r="K5" s="144">
        <f>RT0*J5</f>
        <v>-0.15014959061927308</v>
      </c>
      <c r="L5" s="144">
        <f>K5+H5</f>
        <v>11.106650409380611</v>
      </c>
      <c r="M5" s="144">
        <f>L5*I5</f>
        <v>10.453538591824703</v>
      </c>
      <c r="N5" s="144">
        <f>M5*F7</f>
        <v>21986.192727413487</v>
      </c>
      <c r="R5" s="370"/>
      <c r="S5" s="370"/>
      <c r="T5" s="370"/>
      <c r="U5" s="370"/>
      <c r="V5" s="370"/>
    </row>
    <row r="6" spans="2:22" ht="18" customHeight="1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0" t="s">
        <v>265</v>
      </c>
    </row>
    <row r="7" spans="2:22" ht="16.05" customHeight="1">
      <c r="B7" s="144" t="s">
        <v>18</v>
      </c>
      <c r="C7" s="144">
        <f>SUM(C5:C6)</f>
        <v>208.55560337725498</v>
      </c>
      <c r="D7" s="144">
        <f>SUM(D5:D6)</f>
        <v>1</v>
      </c>
      <c r="E7" s="144">
        <f>SUM(E5:E6)</f>
        <v>0.18440139999999999</v>
      </c>
      <c r="F7" s="144">
        <f>SUM(F5:F6)</f>
        <v>2103.2296895721047</v>
      </c>
      <c r="G7" s="18">
        <f t="array" ref="G7">SUM(C5:C6*G5:G6) / C7</f>
        <v>-1202.01</v>
      </c>
      <c r="H7" s="144"/>
      <c r="I7" s="144">
        <f>SUM(I5:I6)</f>
        <v>1</v>
      </c>
      <c r="J7" s="215"/>
      <c r="K7" s="215"/>
      <c r="L7" s="215"/>
      <c r="M7" s="144">
        <f>SUM(M5:M6)</f>
        <v>12.027717183038042</v>
      </c>
      <c r="N7" s="144">
        <f>SUM(N5:N6)</f>
        <v>25297.051877142174</v>
      </c>
      <c r="T7" s="216" t="s">
        <v>62</v>
      </c>
    </row>
    <row r="8" spans="2:22" ht="19.05" customHeight="1">
      <c r="B8" s="27"/>
      <c r="C8" s="27" t="s">
        <v>252</v>
      </c>
      <c r="D8" s="27"/>
      <c r="E8" s="203" t="s">
        <v>258</v>
      </c>
      <c r="F8" s="203" t="s">
        <v>259</v>
      </c>
      <c r="G8" s="1" t="s">
        <v>510</v>
      </c>
      <c r="H8" s="27"/>
      <c r="I8" s="27"/>
      <c r="J8" s="203"/>
      <c r="K8" s="203"/>
      <c r="L8" s="203"/>
      <c r="M8" s="203" t="s">
        <v>260</v>
      </c>
      <c r="N8" s="27" t="s">
        <v>253</v>
      </c>
      <c r="T8" s="217">
        <v>1173.1500000000001</v>
      </c>
    </row>
    <row r="15" spans="2:22" ht="21" customHeight="1">
      <c r="C15" s="369" t="s">
        <v>611</v>
      </c>
      <c r="D15" s="369"/>
      <c r="E15" s="369"/>
      <c r="F15" s="369"/>
    </row>
    <row r="16" spans="2:22" ht="18" customHeight="1">
      <c r="B16" s="14"/>
      <c r="C16" s="298" t="s">
        <v>581</v>
      </c>
      <c r="D16" s="298" t="s">
        <v>582</v>
      </c>
      <c r="E16" s="14" t="s">
        <v>583</v>
      </c>
      <c r="F16" s="1" t="s">
        <v>584</v>
      </c>
    </row>
    <row r="17" spans="2:9" ht="16.95" customHeight="1">
      <c r="B17" s="14"/>
      <c r="C17" s="298" t="s">
        <v>57</v>
      </c>
      <c r="D17" s="298" t="s">
        <v>57</v>
      </c>
      <c r="E17" s="14" t="s">
        <v>62</v>
      </c>
      <c r="F17" s="298" t="s">
        <v>57</v>
      </c>
    </row>
    <row r="18" spans="2:9" ht="18" customHeight="1">
      <c r="B18" s="144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>
      <c r="B20" s="299"/>
      <c r="C20" s="299"/>
      <c r="D20" s="299"/>
      <c r="E20" s="299"/>
      <c r="F20" s="299"/>
    </row>
    <row r="22" spans="2:9" ht="21" customHeight="1">
      <c r="C22" s="300" t="s">
        <v>610</v>
      </c>
    </row>
    <row r="23" spans="2:9" ht="18" customHeight="1">
      <c r="C23" s="139" t="s">
        <v>89</v>
      </c>
    </row>
    <row r="24" spans="2:9" ht="18" customHeight="1">
      <c r="B24" s="144" t="s">
        <v>254</v>
      </c>
      <c r="C24" s="144">
        <f>b_ch_CaCO3</f>
        <v>11.256799999999885</v>
      </c>
    </row>
    <row r="25" spans="2:9" ht="18" customHeight="1">
      <c r="B25" s="27" t="s">
        <v>257</v>
      </c>
      <c r="C25" s="27">
        <f>b_ch_MgCO3</f>
        <v>33.790400000000034</v>
      </c>
    </row>
    <row r="26" spans="2:9">
      <c r="B26" s="299"/>
      <c r="C26" s="299"/>
    </row>
    <row r="28" spans="2:9" ht="21" customHeight="1">
      <c r="C28" s="369" t="s">
        <v>613</v>
      </c>
      <c r="D28" s="369"/>
      <c r="E28" s="369"/>
      <c r="F28" s="369"/>
      <c r="G28" s="369"/>
      <c r="H28" s="369"/>
      <c r="I28" s="369"/>
    </row>
    <row r="29" spans="2:9" ht="18" customHeight="1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>
      <c r="C30" s="1" t="s">
        <v>82</v>
      </c>
      <c r="D30" s="21" t="s">
        <v>213</v>
      </c>
      <c r="E30" s="139" t="s">
        <v>84</v>
      </c>
      <c r="F30" s="139" t="s">
        <v>80</v>
      </c>
      <c r="G30" s="139" t="s">
        <v>24</v>
      </c>
      <c r="H30" s="139" t="s">
        <v>91</v>
      </c>
      <c r="I30" s="139" t="s">
        <v>89</v>
      </c>
    </row>
    <row r="31" spans="2:9" ht="18" customHeight="1">
      <c r="B31" s="144" t="s">
        <v>254</v>
      </c>
      <c r="C31" s="144">
        <f>Limestone_for_BF</f>
        <v>198.12782320839224</v>
      </c>
      <c r="D31" s="144">
        <v>0.95</v>
      </c>
      <c r="E31" s="144">
        <f>MW_CaCO3</f>
        <v>0.1000872</v>
      </c>
      <c r="F31" s="144">
        <f>C31/E31</f>
        <v>1979.5520626852608</v>
      </c>
      <c r="G31" s="144">
        <f>D31/D33</f>
        <v>0.95</v>
      </c>
      <c r="H31" s="144">
        <f>LN(G31)</f>
        <v>-5.1293294387550578E-2</v>
      </c>
      <c r="I31" s="144">
        <f>RT0*H31</f>
        <v>-0.12708282996235246</v>
      </c>
    </row>
    <row r="32" spans="2:9" ht="18" customHeight="1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.05" customHeight="1">
      <c r="B33" s="299"/>
      <c r="C33" s="144">
        <f>SUM(C31:C32)</f>
        <v>208.55560337725498</v>
      </c>
      <c r="D33" s="144">
        <f>SUM(D31:D32)</f>
        <v>1</v>
      </c>
      <c r="E33" s="144">
        <f>SUM(E31:E32)</f>
        <v>0.18440139999999999</v>
      </c>
      <c r="F33" s="144">
        <f>SUM(F31:F32)</f>
        <v>2103.2296895721047</v>
      </c>
      <c r="G33" s="144">
        <f>SUM(G31:G32)</f>
        <v>1</v>
      </c>
      <c r="H33" s="215"/>
      <c r="I33" s="215"/>
    </row>
    <row r="34" spans="2:9" ht="18" customHeight="1">
      <c r="C34" s="27" t="s">
        <v>252</v>
      </c>
      <c r="D34" s="27"/>
      <c r="E34" s="203" t="s">
        <v>258</v>
      </c>
      <c r="F34" s="203" t="s">
        <v>259</v>
      </c>
    </row>
    <row r="40" spans="2:9" ht="21" customHeight="1">
      <c r="C40" s="369" t="s">
        <v>614</v>
      </c>
      <c r="D40" s="369"/>
      <c r="E40" s="369"/>
      <c r="F40" s="369"/>
      <c r="G40" s="369"/>
      <c r="H40" s="369"/>
      <c r="I40" s="369"/>
    </row>
    <row r="41" spans="2:9" ht="16.95" customHeight="1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>
      <c r="B43" s="144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>
      <c r="B45" s="18"/>
      <c r="C45" s="18"/>
      <c r="D45" s="18"/>
      <c r="E45" s="18"/>
      <c r="F45" s="18"/>
      <c r="G45" s="18"/>
      <c r="H45" s="18"/>
      <c r="I45" s="18"/>
    </row>
    <row r="48" spans="2:9" ht="21" customHeight="1">
      <c r="C48" s="369" t="s">
        <v>615</v>
      </c>
      <c r="D48" s="369"/>
      <c r="E48" s="369"/>
      <c r="F48" s="369"/>
      <c r="G48" s="369"/>
      <c r="H48" s="369"/>
      <c r="I48" s="301"/>
    </row>
    <row r="49" spans="2:8" ht="18" customHeight="1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>
      <c r="C50" s="139" t="s">
        <v>24</v>
      </c>
      <c r="D50" s="139" t="s">
        <v>88</v>
      </c>
      <c r="E50" s="139" t="s">
        <v>88</v>
      </c>
      <c r="F50" s="139" t="s">
        <v>88</v>
      </c>
      <c r="G50" s="139" t="s">
        <v>88</v>
      </c>
      <c r="H50" s="139" t="s">
        <v>88</v>
      </c>
    </row>
    <row r="51" spans="2:8" ht="18" customHeight="1">
      <c r="B51" s="144" t="s">
        <v>254</v>
      </c>
      <c r="C51" s="144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.05" customHeight="1">
      <c r="B53" s="299"/>
      <c r="C53" s="144">
        <f>SUM(C51:C52)</f>
        <v>1</v>
      </c>
      <c r="D53" s="144">
        <f t="shared" ref="D53:F53" si="0">SUM(D51:D52)</f>
        <v>35.506552109896553</v>
      </c>
      <c r="E53" s="144">
        <f t="shared" si="0"/>
        <v>12.581858402814841</v>
      </c>
      <c r="F53" s="144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>
      <c r="C55" s="318"/>
      <c r="D55" s="318"/>
      <c r="E55" s="318"/>
    </row>
    <row r="56" spans="2:8" ht="18" customHeight="1">
      <c r="C56" s="1" t="s">
        <v>599</v>
      </c>
      <c r="D56" s="1" t="s">
        <v>598</v>
      </c>
      <c r="E56" s="1" t="s">
        <v>620</v>
      </c>
    </row>
    <row r="57" spans="2:8" ht="18" customHeight="1">
      <c r="C57" s="139" t="s">
        <v>88</v>
      </c>
      <c r="D57" s="139" t="s">
        <v>88</v>
      </c>
      <c r="E57" s="14" t="s">
        <v>91</v>
      </c>
    </row>
    <row r="58" spans="2:8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145"/>
  <sheetViews>
    <sheetView workbookViewId="0"/>
  </sheetViews>
  <sheetFormatPr defaultColWidth="11.5546875" defaultRowHeight="14.4"/>
  <cols>
    <col min="2" max="37" width="7.6640625" customWidth="1"/>
    <col min="41" max="55" width="7.6640625" customWidth="1"/>
    <col min="59" max="73" width="7.6640625" customWidth="1"/>
  </cols>
  <sheetData>
    <row r="1" spans="1:73" ht="109.8">
      <c r="A1" s="303" t="s">
        <v>641</v>
      </c>
      <c r="B1" s="234" t="s">
        <v>706</v>
      </c>
      <c r="AN1" s="303" t="s">
        <v>641</v>
      </c>
      <c r="AO1" s="234" t="s">
        <v>683</v>
      </c>
      <c r="AP1" s="234" t="s">
        <v>684</v>
      </c>
      <c r="AQ1" s="234" t="s">
        <v>685</v>
      </c>
      <c r="AR1" s="234" t="s">
        <v>686</v>
      </c>
      <c r="AS1" s="234" t="s">
        <v>687</v>
      </c>
      <c r="AT1" s="234" t="s">
        <v>688</v>
      </c>
      <c r="AU1" s="234" t="s">
        <v>689</v>
      </c>
      <c r="AV1" s="234" t="s">
        <v>690</v>
      </c>
      <c r="AW1" s="234" t="s">
        <v>691</v>
      </c>
      <c r="AX1" s="234" t="s">
        <v>692</v>
      </c>
      <c r="AY1" s="234" t="s">
        <v>693</v>
      </c>
      <c r="AZ1" s="234" t="s">
        <v>694</v>
      </c>
      <c r="BA1" s="234" t="s">
        <v>695</v>
      </c>
      <c r="BB1" s="234" t="s">
        <v>696</v>
      </c>
      <c r="BC1" s="234" t="s">
        <v>697</v>
      </c>
      <c r="BF1" s="303" t="s">
        <v>641</v>
      </c>
      <c r="BG1" s="234" t="s">
        <v>683</v>
      </c>
      <c r="BH1" s="234" t="s">
        <v>684</v>
      </c>
      <c r="BI1" s="234" t="s">
        <v>685</v>
      </c>
      <c r="BJ1" s="234" t="s">
        <v>686</v>
      </c>
      <c r="BK1" s="234" t="s">
        <v>687</v>
      </c>
      <c r="BL1" s="234" t="s">
        <v>688</v>
      </c>
      <c r="BM1" s="234" t="s">
        <v>689</v>
      </c>
      <c r="BN1" s="234" t="s">
        <v>690</v>
      </c>
      <c r="BO1" s="234" t="s">
        <v>691</v>
      </c>
      <c r="BP1" s="234" t="s">
        <v>692</v>
      </c>
      <c r="BQ1" s="234" t="s">
        <v>693</v>
      </c>
      <c r="BR1" s="234" t="s">
        <v>694</v>
      </c>
      <c r="BS1" s="234" t="s">
        <v>695</v>
      </c>
      <c r="BT1" s="234" t="s">
        <v>696</v>
      </c>
      <c r="BU1" s="234" t="s">
        <v>697</v>
      </c>
    </row>
    <row r="2" spans="1:73">
      <c r="A2" s="304" t="s">
        <v>642</v>
      </c>
      <c r="B2" s="306">
        <v>1</v>
      </c>
      <c r="AN2" s="304" t="s">
        <v>642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F2" s="304" t="s">
        <v>642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</row>
    <row r="3" spans="1:73">
      <c r="A3" s="304" t="s">
        <v>643</v>
      </c>
      <c r="B3" s="306">
        <v>1</v>
      </c>
      <c r="AN3" s="304" t="s">
        <v>643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F3" s="304" t="s">
        <v>643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</row>
    <row r="4" spans="1:73">
      <c r="A4" s="304" t="s">
        <v>644</v>
      </c>
      <c r="B4" s="306">
        <v>1</v>
      </c>
      <c r="AN4" s="304" t="s">
        <v>644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F4" s="304" t="s">
        <v>644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</row>
    <row r="5" spans="1:73">
      <c r="A5" s="304" t="s">
        <v>645</v>
      </c>
      <c r="B5" s="306">
        <v>1</v>
      </c>
      <c r="AN5" s="304" t="s">
        <v>645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F5" s="304" t="s">
        <v>645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</row>
    <row r="6" spans="1:73">
      <c r="A6" s="304" t="s">
        <v>646</v>
      </c>
      <c r="B6" s="306">
        <v>1</v>
      </c>
      <c r="AN6" s="304" t="s">
        <v>646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F6" s="304" t="s">
        <v>646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</row>
    <row r="7" spans="1:73">
      <c r="A7" s="304" t="s">
        <v>647</v>
      </c>
      <c r="B7" s="306">
        <v>1</v>
      </c>
      <c r="AN7" s="304" t="s">
        <v>647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F7" s="304" t="s">
        <v>647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</row>
    <row r="8" spans="1:73">
      <c r="A8" s="304" t="s">
        <v>648</v>
      </c>
      <c r="B8" s="306">
        <v>1</v>
      </c>
      <c r="AN8" s="304" t="s">
        <v>648</v>
      </c>
      <c r="AO8" s="306">
        <v>0</v>
      </c>
      <c r="AP8" s="306">
        <v>0</v>
      </c>
      <c r="AQ8" s="306">
        <v>0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F8" s="304" t="s">
        <v>648</v>
      </c>
      <c r="BG8" s="306">
        <v>0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</row>
    <row r="9" spans="1:73">
      <c r="A9" s="304" t="s">
        <v>649</v>
      </c>
      <c r="B9" s="306">
        <v>1</v>
      </c>
      <c r="AN9" s="304" t="s">
        <v>649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F9" s="304" t="s">
        <v>649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</row>
    <row r="10" spans="1:73">
      <c r="A10" s="304" t="s">
        <v>650</v>
      </c>
      <c r="B10" s="306">
        <v>1</v>
      </c>
      <c r="AN10" s="304" t="s">
        <v>650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F10" s="304" t="s">
        <v>650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</row>
    <row r="11" spans="1:73">
      <c r="A11" s="304" t="s">
        <v>651</v>
      </c>
      <c r="B11" s="306">
        <v>1</v>
      </c>
      <c r="AN11" s="304" t="s">
        <v>651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F11" s="304" t="s">
        <v>651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</row>
    <row r="12" spans="1:73">
      <c r="A12" s="304" t="s">
        <v>652</v>
      </c>
      <c r="B12" s="306">
        <v>1</v>
      </c>
      <c r="AN12" s="304" t="s">
        <v>652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F12" s="304" t="s">
        <v>652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</row>
    <row r="13" spans="1:73">
      <c r="A13" s="304" t="s">
        <v>653</v>
      </c>
      <c r="B13" s="306">
        <v>1</v>
      </c>
      <c r="AN13" s="304" t="s">
        <v>653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F13" s="304" t="s">
        <v>653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</row>
    <row r="14" spans="1:73">
      <c r="A14" s="304" t="s">
        <v>654</v>
      </c>
      <c r="B14" s="306">
        <v>1</v>
      </c>
      <c r="AN14" s="304" t="s">
        <v>654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F14" s="304" t="s">
        <v>654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</row>
    <row r="15" spans="1:73">
      <c r="A15" s="304" t="s">
        <v>655</v>
      </c>
      <c r="B15" s="306">
        <v>1</v>
      </c>
      <c r="AN15" s="304" t="s">
        <v>655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F15" s="304" t="s">
        <v>655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</row>
    <row r="16" spans="1:73">
      <c r="A16" s="304" t="s">
        <v>656</v>
      </c>
      <c r="B16" s="306">
        <v>1</v>
      </c>
      <c r="AN16" s="304" t="s">
        <v>656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F16" s="304" t="s">
        <v>656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</row>
    <row r="17" spans="1:73">
      <c r="A17" s="304" t="s">
        <v>657</v>
      </c>
      <c r="B17" s="306">
        <v>1</v>
      </c>
      <c r="AN17" s="304" t="s">
        <v>657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F17" s="304" t="s">
        <v>657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</row>
    <row r="18" spans="1:73">
      <c r="A18" s="304" t="s">
        <v>658</v>
      </c>
      <c r="B18" s="306">
        <v>1</v>
      </c>
      <c r="AN18" s="304" t="s">
        <v>658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F18" s="304" t="s">
        <v>658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</row>
    <row r="19" spans="1:73">
      <c r="A19" s="304" t="s">
        <v>659</v>
      </c>
      <c r="B19" s="306">
        <v>1</v>
      </c>
      <c r="AN19" s="304" t="s">
        <v>659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F19" s="304" t="s">
        <v>659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</row>
    <row r="20" spans="1:73">
      <c r="A20" s="304" t="s">
        <v>660</v>
      </c>
      <c r="B20" s="306">
        <v>1</v>
      </c>
      <c r="AN20" s="304" t="s">
        <v>660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F20" s="304" t="s">
        <v>660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</row>
    <row r="21" spans="1:73">
      <c r="A21" s="304" t="s">
        <v>661</v>
      </c>
      <c r="B21" s="306">
        <v>1</v>
      </c>
      <c r="AN21" s="304" t="s">
        <v>661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F21" s="304" t="s">
        <v>661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</row>
    <row r="22" spans="1:73">
      <c r="A22" s="304" t="s">
        <v>662</v>
      </c>
      <c r="B22" s="306">
        <v>1</v>
      </c>
      <c r="AN22" s="304" t="s">
        <v>662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F22" s="304" t="s">
        <v>662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</row>
    <row r="23" spans="1:73">
      <c r="A23" s="304" t="s">
        <v>663</v>
      </c>
      <c r="B23" s="306">
        <v>1</v>
      </c>
      <c r="AN23" s="304" t="s">
        <v>663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F23" s="304" t="s">
        <v>663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</row>
    <row r="24" spans="1:73">
      <c r="A24" s="304" t="s">
        <v>664</v>
      </c>
      <c r="B24" s="306">
        <v>1</v>
      </c>
      <c r="AN24" s="304" t="s">
        <v>664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F24" s="304" t="s">
        <v>664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</row>
    <row r="25" spans="1:73">
      <c r="A25" s="304" t="s">
        <v>665</v>
      </c>
      <c r="B25" s="306">
        <v>1</v>
      </c>
      <c r="AN25" s="304" t="s">
        <v>665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F25" s="304" t="s">
        <v>665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</row>
    <row r="26" spans="1:73">
      <c r="A26" s="304" t="s">
        <v>666</v>
      </c>
      <c r="B26" s="306">
        <v>1</v>
      </c>
      <c r="AN26" s="304" t="s">
        <v>666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F26" s="304" t="s">
        <v>666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</row>
    <row r="27" spans="1:73">
      <c r="A27" s="304" t="s">
        <v>667</v>
      </c>
      <c r="B27" s="306">
        <v>1</v>
      </c>
      <c r="AN27" s="304" t="s">
        <v>667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F27" s="304" t="s">
        <v>667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</row>
    <row r="28" spans="1:73">
      <c r="A28" s="304" t="s">
        <v>668</v>
      </c>
      <c r="B28" s="306">
        <v>1</v>
      </c>
      <c r="AN28" s="304" t="s">
        <v>668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F28" s="304" t="s">
        <v>668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</row>
    <row r="29" spans="1:73">
      <c r="A29" s="304" t="s">
        <v>669</v>
      </c>
      <c r="B29" s="306">
        <v>1</v>
      </c>
      <c r="AN29" s="304" t="s">
        <v>669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F29" s="304" t="s">
        <v>669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</row>
    <row r="30" spans="1:73">
      <c r="A30" s="304" t="s">
        <v>670</v>
      </c>
      <c r="B30" s="306">
        <v>1</v>
      </c>
      <c r="AN30" s="304" t="s">
        <v>670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F30" s="304" t="s">
        <v>670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</row>
    <row r="31" spans="1:73">
      <c r="A31" s="304" t="s">
        <v>671</v>
      </c>
      <c r="B31" s="306">
        <v>1</v>
      </c>
      <c r="AN31" s="304" t="s">
        <v>671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F31" s="304" t="s">
        <v>671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</row>
    <row r="32" spans="1:73">
      <c r="A32" s="304" t="s">
        <v>672</v>
      </c>
      <c r="B32" s="306">
        <v>1</v>
      </c>
      <c r="AN32" s="304" t="s">
        <v>672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F32" s="304" t="s">
        <v>672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</row>
    <row r="33" spans="1:73">
      <c r="A33" s="304" t="s">
        <v>673</v>
      </c>
      <c r="B33" s="306">
        <v>1</v>
      </c>
      <c r="AN33" s="304" t="s">
        <v>673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F33" s="304" t="s">
        <v>673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</row>
    <row r="34" spans="1:73">
      <c r="A34" s="304" t="s">
        <v>674</v>
      </c>
      <c r="B34" s="306">
        <v>1</v>
      </c>
      <c r="AN34" s="304" t="s">
        <v>674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F34" s="304" t="s">
        <v>674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</row>
    <row r="35" spans="1:73">
      <c r="A35" s="304" t="s">
        <v>675</v>
      </c>
      <c r="B35" s="306">
        <v>1</v>
      </c>
      <c r="AN35" s="304" t="s">
        <v>675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F35" s="304" t="s">
        <v>675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</row>
    <row r="36" spans="1:73">
      <c r="A36" s="304" t="s">
        <v>676</v>
      </c>
      <c r="B36" s="306">
        <v>1</v>
      </c>
      <c r="AN36" s="304" t="s">
        <v>676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F36" s="304" t="s">
        <v>676</v>
      </c>
      <c r="BG36" s="306">
        <v>0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</row>
    <row r="37" spans="1:73">
      <c r="A37" s="304" t="s">
        <v>677</v>
      </c>
      <c r="B37" s="306">
        <v>1</v>
      </c>
      <c r="AN37" s="304" t="s">
        <v>677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F37" s="304" t="s">
        <v>677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</row>
    <row r="38" spans="1:73">
      <c r="A38" s="304"/>
      <c r="B38" s="358" t="s">
        <v>707</v>
      </c>
      <c r="AN38" s="304"/>
      <c r="AO38" s="358" t="s">
        <v>704</v>
      </c>
      <c r="AP38" s="371"/>
      <c r="AQ38" s="371"/>
      <c r="AR38" s="371"/>
      <c r="AS38" s="371"/>
      <c r="AT38" s="371"/>
      <c r="AU38" s="371"/>
      <c r="AV38" s="371"/>
      <c r="AW38" s="371"/>
      <c r="AX38" s="371"/>
      <c r="AY38" s="371"/>
      <c r="AZ38" s="371"/>
      <c r="BA38" s="371"/>
      <c r="BB38" s="371"/>
      <c r="BC38" s="371"/>
      <c r="BF38" s="304"/>
      <c r="BG38" s="358" t="s">
        <v>703</v>
      </c>
      <c r="BH38" s="371"/>
      <c r="BI38" s="371"/>
      <c r="BJ38" s="371"/>
      <c r="BK38" s="371"/>
      <c r="BL38" s="371"/>
      <c r="BM38" s="371"/>
      <c r="BN38" s="371"/>
      <c r="BO38" s="371"/>
      <c r="BP38" s="371"/>
      <c r="BQ38" s="371"/>
      <c r="BR38" s="371"/>
      <c r="BS38" s="371"/>
      <c r="BT38" s="371"/>
      <c r="BU38" s="371"/>
    </row>
    <row r="41" spans="1:73" ht="109.8">
      <c r="AN41" s="303" t="s">
        <v>641</v>
      </c>
      <c r="AO41" s="234" t="s">
        <v>683</v>
      </c>
      <c r="AP41" s="234" t="s">
        <v>684</v>
      </c>
      <c r="AQ41" s="234" t="s">
        <v>685</v>
      </c>
      <c r="AR41" s="234" t="s">
        <v>686</v>
      </c>
      <c r="AS41" s="234" t="s">
        <v>687</v>
      </c>
      <c r="AT41" s="234" t="s">
        <v>688</v>
      </c>
      <c r="AU41" s="234" t="s">
        <v>689</v>
      </c>
      <c r="AV41" s="234" t="s">
        <v>690</v>
      </c>
      <c r="AW41" s="234" t="s">
        <v>691</v>
      </c>
      <c r="AX41" s="234" t="s">
        <v>692</v>
      </c>
      <c r="AY41" s="234" t="s">
        <v>693</v>
      </c>
      <c r="AZ41" s="234" t="s">
        <v>694</v>
      </c>
      <c r="BA41" s="234" t="s">
        <v>695</v>
      </c>
      <c r="BB41" s="234" t="s">
        <v>696</v>
      </c>
      <c r="BC41" s="234" t="s">
        <v>697</v>
      </c>
    </row>
    <row r="42" spans="1:73">
      <c r="AN42" s="304" t="s">
        <v>642</v>
      </c>
      <c r="AO42" s="306">
        <v>0</v>
      </c>
      <c r="AP42" s="306">
        <v>0</v>
      </c>
      <c r="AQ42" s="306">
        <v>0</v>
      </c>
      <c r="AR42" s="306">
        <v>0</v>
      </c>
      <c r="AS42" s="306">
        <v>0</v>
      </c>
      <c r="AT42" s="306">
        <v>0</v>
      </c>
      <c r="AU42" s="306">
        <v>0</v>
      </c>
      <c r="AV42" s="306">
        <v>0</v>
      </c>
      <c r="AW42" s="306">
        <v>0</v>
      </c>
      <c r="AX42" s="306">
        <v>0</v>
      </c>
      <c r="AY42" s="306">
        <v>0</v>
      </c>
      <c r="AZ42" s="306">
        <v>0</v>
      </c>
      <c r="BA42" s="306">
        <v>0</v>
      </c>
      <c r="BB42" s="306">
        <v>6408288.6211381704</v>
      </c>
      <c r="BC42" s="306">
        <v>0</v>
      </c>
    </row>
    <row r="43" spans="1:73">
      <c r="AN43" s="304" t="s">
        <v>643</v>
      </c>
      <c r="AO43" s="306">
        <v>0</v>
      </c>
      <c r="AP43" s="306">
        <v>0</v>
      </c>
      <c r="AQ43" s="306">
        <v>0</v>
      </c>
      <c r="AR43" s="306">
        <v>0</v>
      </c>
      <c r="AS43" s="306">
        <v>0</v>
      </c>
      <c r="AT43" s="306">
        <v>0</v>
      </c>
      <c r="AU43" s="306">
        <v>0</v>
      </c>
      <c r="AV43" s="306">
        <v>0</v>
      </c>
      <c r="AW43" s="306">
        <v>0</v>
      </c>
      <c r="AX43" s="306">
        <v>0</v>
      </c>
      <c r="AY43" s="306">
        <v>0</v>
      </c>
      <c r="AZ43" s="306">
        <v>0</v>
      </c>
      <c r="BA43" s="306">
        <v>0</v>
      </c>
      <c r="BB43" s="306">
        <v>0</v>
      </c>
      <c r="BC43" s="306">
        <v>0</v>
      </c>
    </row>
    <row r="44" spans="1:73">
      <c r="AN44" s="304" t="s">
        <v>644</v>
      </c>
      <c r="AO44" s="306">
        <v>0</v>
      </c>
      <c r="AP44" s="306">
        <v>0</v>
      </c>
      <c r="AQ44" s="306">
        <v>0</v>
      </c>
      <c r="AR44" s="306">
        <v>0</v>
      </c>
      <c r="AS44" s="306">
        <v>0</v>
      </c>
      <c r="AT44" s="306">
        <v>0</v>
      </c>
      <c r="AU44" s="306">
        <v>0</v>
      </c>
      <c r="AV44" s="306">
        <v>0</v>
      </c>
      <c r="AW44" s="306">
        <v>0</v>
      </c>
      <c r="AX44" s="306">
        <v>0</v>
      </c>
      <c r="AY44" s="306">
        <v>0</v>
      </c>
      <c r="AZ44" s="306">
        <v>0</v>
      </c>
      <c r="BA44" s="306">
        <v>0</v>
      </c>
      <c r="BB44" s="306">
        <v>0</v>
      </c>
      <c r="BC44" s="306">
        <v>0</v>
      </c>
    </row>
    <row r="45" spans="1:73">
      <c r="AN45" s="304" t="s">
        <v>645</v>
      </c>
      <c r="AO45" s="306">
        <v>6682782.3361421302</v>
      </c>
      <c r="AP45" s="306">
        <v>0</v>
      </c>
      <c r="AQ45" s="306">
        <v>0</v>
      </c>
      <c r="AR45" s="306">
        <v>0</v>
      </c>
      <c r="AS45" s="306">
        <v>0</v>
      </c>
      <c r="AT45" s="306">
        <v>0</v>
      </c>
      <c r="AU45" s="306">
        <v>0</v>
      </c>
      <c r="AV45" s="306">
        <v>0</v>
      </c>
      <c r="AW45" s="306">
        <v>0</v>
      </c>
      <c r="AX45" s="306">
        <v>0</v>
      </c>
      <c r="AY45" s="306">
        <v>0</v>
      </c>
      <c r="AZ45" s="306">
        <v>0</v>
      </c>
      <c r="BA45" s="306">
        <v>0</v>
      </c>
      <c r="BB45" s="306">
        <v>0</v>
      </c>
      <c r="BC45" s="306">
        <v>0</v>
      </c>
    </row>
    <row r="46" spans="1:73">
      <c r="AN46" s="304" t="s">
        <v>646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8855804.3203369807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</row>
    <row r="47" spans="1:73">
      <c r="AN47" s="304" t="s">
        <v>647</v>
      </c>
      <c r="AO47" s="306">
        <v>0</v>
      </c>
      <c r="AP47" s="306">
        <v>0</v>
      </c>
      <c r="AQ47" s="306">
        <v>0</v>
      </c>
      <c r="AR47" s="306">
        <v>8855804.3203369807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</row>
    <row r="48" spans="1:73">
      <c r="AN48" s="304" t="s">
        <v>648</v>
      </c>
      <c r="AO48" s="306">
        <v>0</v>
      </c>
      <c r="AP48" s="306">
        <v>8855804.3203369807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</row>
    <row r="49" spans="40:55">
      <c r="AN49" s="304" t="s">
        <v>649</v>
      </c>
      <c r="AO49" s="306">
        <v>0</v>
      </c>
      <c r="AP49" s="306">
        <v>0</v>
      </c>
      <c r="AQ49" s="306">
        <v>8850991.3601140399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</row>
    <row r="50" spans="40:55">
      <c r="AN50" s="304" t="s">
        <v>650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4026178.1360752499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</row>
    <row r="51" spans="40:55">
      <c r="AN51" s="304" t="s">
        <v>651</v>
      </c>
      <c r="AO51" s="306">
        <v>11826.742854693801</v>
      </c>
      <c r="AP51" s="306">
        <v>0</v>
      </c>
      <c r="AQ51" s="306">
        <v>30.954464502133501</v>
      </c>
      <c r="AR51" s="306">
        <v>0</v>
      </c>
      <c r="AS51" s="306">
        <v>0</v>
      </c>
      <c r="AT51" s="306">
        <v>0</v>
      </c>
      <c r="AU51" s="306">
        <v>14491.848717543</v>
      </c>
      <c r="AV51" s="306">
        <v>0</v>
      </c>
      <c r="AW51" s="306">
        <v>125.026374728874</v>
      </c>
      <c r="AX51" s="306">
        <v>0</v>
      </c>
      <c r="AY51" s="306">
        <v>0</v>
      </c>
      <c r="AZ51" s="306">
        <v>0.374842703513311</v>
      </c>
      <c r="BA51" s="306">
        <v>0</v>
      </c>
      <c r="BB51" s="306">
        <v>0</v>
      </c>
      <c r="BC51" s="306">
        <v>2671.5132120132398</v>
      </c>
    </row>
    <row r="52" spans="40:55">
      <c r="AN52" s="304" t="s">
        <v>652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</row>
    <row r="53" spans="40:55">
      <c r="AN53" s="304" t="s">
        <v>653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</row>
    <row r="54" spans="40:55">
      <c r="AN54" s="304" t="s">
        <v>654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</row>
    <row r="55" spans="40:55">
      <c r="AN55" s="304" t="s">
        <v>655</v>
      </c>
      <c r="AO55" s="306">
        <v>0</v>
      </c>
      <c r="AP55" s="306">
        <v>0</v>
      </c>
      <c r="AQ55" s="306">
        <v>0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</row>
    <row r="56" spans="40:55">
      <c r="AN56" s="304" t="s">
        <v>656</v>
      </c>
      <c r="AO56" s="306">
        <v>318930.104231745</v>
      </c>
      <c r="AP56" s="306">
        <v>50.358084153937803</v>
      </c>
      <c r="AQ56" s="306">
        <v>80616.370239891301</v>
      </c>
      <c r="AR56" s="306">
        <v>282.12877103151499</v>
      </c>
      <c r="AS56" s="306">
        <v>0</v>
      </c>
      <c r="AT56" s="306">
        <v>33191.859393697501</v>
      </c>
      <c r="AU56" s="306">
        <v>0</v>
      </c>
      <c r="AV56" s="306">
        <v>12626.098826338701</v>
      </c>
      <c r="AW56" s="306">
        <v>0</v>
      </c>
      <c r="AX56" s="306">
        <v>609792.25175934797</v>
      </c>
      <c r="AY56" s="306">
        <v>34.678095164115</v>
      </c>
      <c r="AZ56" s="306">
        <v>0</v>
      </c>
      <c r="BA56" s="306">
        <v>2824.8856477449199</v>
      </c>
      <c r="BB56" s="306">
        <v>0</v>
      </c>
      <c r="BC56" s="306">
        <v>0</v>
      </c>
    </row>
    <row r="57" spans="40:55">
      <c r="AN57" s="304" t="s">
        <v>657</v>
      </c>
      <c r="AO57" s="306">
        <v>29112.263489807599</v>
      </c>
      <c r="AP57" s="306">
        <v>0</v>
      </c>
      <c r="AQ57" s="306">
        <v>0</v>
      </c>
      <c r="AR57" s="306">
        <v>0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</row>
    <row r="58" spans="40:55">
      <c r="AN58" s="304" t="s">
        <v>658</v>
      </c>
      <c r="AO58" s="306">
        <v>0</v>
      </c>
      <c r="AP58" s="306">
        <v>0</v>
      </c>
      <c r="AQ58" s="306">
        <v>23309.045257575199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94146.207140653802</v>
      </c>
      <c r="AX58" s="306">
        <v>0</v>
      </c>
      <c r="AY58" s="306">
        <v>0</v>
      </c>
      <c r="AZ58" s="306">
        <v>257.99399332425401</v>
      </c>
      <c r="BA58" s="306">
        <v>0</v>
      </c>
      <c r="BB58" s="306">
        <v>0</v>
      </c>
      <c r="BC58" s="306">
        <v>0</v>
      </c>
    </row>
    <row r="59" spans="40:55">
      <c r="AN59" s="304" t="s">
        <v>659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88071.706245154506</v>
      </c>
      <c r="BC59" s="306">
        <v>0</v>
      </c>
    </row>
    <row r="60" spans="40:55">
      <c r="AN60" s="304" t="s">
        <v>660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108184.85967288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</row>
    <row r="61" spans="40:55">
      <c r="AN61" s="304" t="s">
        <v>661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108184.85967288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</row>
    <row r="62" spans="40:55">
      <c r="AN62" s="304" t="s">
        <v>662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108184.85967288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</row>
    <row r="63" spans="40:55">
      <c r="AN63" s="304" t="s">
        <v>663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</row>
    <row r="64" spans="40:55">
      <c r="AN64" s="304" t="s">
        <v>664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</row>
    <row r="65" spans="40:55">
      <c r="AN65" s="304" t="s">
        <v>665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25297.051877142199</v>
      </c>
    </row>
    <row r="66" spans="40:55">
      <c r="AN66" s="304" t="s">
        <v>666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0</v>
      </c>
      <c r="BA66" s="306">
        <v>25297.051877142199</v>
      </c>
      <c r="BB66" s="306">
        <v>0</v>
      </c>
      <c r="BC66" s="306">
        <v>0</v>
      </c>
    </row>
    <row r="67" spans="40:55">
      <c r="AN67" s="304" t="s">
        <v>667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25297.051877142199</v>
      </c>
      <c r="AZ67" s="306">
        <v>0</v>
      </c>
      <c r="BA67" s="306">
        <v>0</v>
      </c>
      <c r="BB67" s="306">
        <v>0</v>
      </c>
      <c r="BC67" s="306">
        <v>0</v>
      </c>
    </row>
    <row r="68" spans="40:55">
      <c r="AN68" s="304" t="s">
        <v>668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25297.051877142199</v>
      </c>
      <c r="BA68" s="306">
        <v>0</v>
      </c>
      <c r="BB68" s="306">
        <v>0</v>
      </c>
      <c r="BC68" s="306">
        <v>0</v>
      </c>
    </row>
    <row r="69" spans="40:55">
      <c r="AN69" s="304" t="s">
        <v>669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</row>
    <row r="70" spans="40:55">
      <c r="AN70" s="304" t="s">
        <v>670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24.076233417548501</v>
      </c>
      <c r="BA70" s="306">
        <v>0</v>
      </c>
      <c r="BB70" s="306">
        <v>0</v>
      </c>
      <c r="BC70" s="306">
        <v>0</v>
      </c>
    </row>
    <row r="71" spans="40:55">
      <c r="AN71" s="304" t="s">
        <v>671</v>
      </c>
      <c r="AO71" s="306">
        <v>2329445.30922601</v>
      </c>
      <c r="AP71" s="306">
        <v>0</v>
      </c>
      <c r="AQ71" s="306">
        <v>0</v>
      </c>
      <c r="AR71" s="306">
        <v>0</v>
      </c>
      <c r="AS71" s="306">
        <v>0</v>
      </c>
      <c r="AT71" s="306">
        <v>0</v>
      </c>
      <c r="AU71" s="306">
        <v>10583778.883576799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1951076.47558275</v>
      </c>
    </row>
    <row r="72" spans="40:55">
      <c r="AN72" s="304" t="s">
        <v>672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</row>
    <row r="73" spans="40:55">
      <c r="AN73" s="304" t="s">
        <v>673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</row>
    <row r="74" spans="40:55">
      <c r="AN74" s="304" t="s">
        <v>674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242016.07607977401</v>
      </c>
      <c r="BC74" s="306">
        <v>0</v>
      </c>
    </row>
    <row r="75" spans="40:55">
      <c r="AN75" s="304" t="s">
        <v>675</v>
      </c>
      <c r="AO75" s="306">
        <v>0</v>
      </c>
      <c r="AP75" s="306">
        <v>0</v>
      </c>
      <c r="AQ75" s="306">
        <v>0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</row>
    <row r="76" spans="40:55">
      <c r="AN76" s="304" t="s">
        <v>676</v>
      </c>
      <c r="AO76" s="306">
        <v>2830357.1263978099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</row>
    <row r="77" spans="40:55">
      <c r="AN77" s="304" t="s">
        <v>677</v>
      </c>
      <c r="AO77" s="306">
        <v>0</v>
      </c>
      <c r="AP77" s="306">
        <v>0</v>
      </c>
      <c r="AQ77" s="306">
        <v>0</v>
      </c>
      <c r="AR77" s="306">
        <v>0</v>
      </c>
      <c r="AS77" s="306">
        <v>4043367.3234254499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</row>
    <row r="78" spans="40:55">
      <c r="AN78" s="304"/>
      <c r="AO78" s="358" t="s">
        <v>705</v>
      </c>
      <c r="AP78" s="371"/>
      <c r="AQ78" s="371"/>
      <c r="AR78" s="371"/>
      <c r="AS78" s="371"/>
      <c r="AT78" s="371"/>
      <c r="AU78" s="371"/>
      <c r="AV78" s="371"/>
      <c r="AW78" s="371"/>
      <c r="AX78" s="371"/>
      <c r="AY78" s="371"/>
      <c r="AZ78" s="371"/>
      <c r="BA78" s="371"/>
      <c r="BB78" s="371"/>
      <c r="BC78" s="371"/>
    </row>
    <row r="81" spans="40:60" ht="109.8">
      <c r="AN81" s="303" t="s">
        <v>641</v>
      </c>
      <c r="AO81" s="234" t="s">
        <v>683</v>
      </c>
      <c r="AP81" s="234" t="s">
        <v>684</v>
      </c>
      <c r="AQ81" s="234" t="s">
        <v>685</v>
      </c>
      <c r="AR81" s="234" t="s">
        <v>686</v>
      </c>
      <c r="AS81" s="234" t="s">
        <v>687</v>
      </c>
      <c r="AT81" s="234" t="s">
        <v>688</v>
      </c>
      <c r="AU81" s="234" t="s">
        <v>689</v>
      </c>
      <c r="AV81" s="234" t="s">
        <v>690</v>
      </c>
      <c r="AW81" s="234" t="s">
        <v>691</v>
      </c>
      <c r="AX81" s="234" t="s">
        <v>692</v>
      </c>
      <c r="AY81" s="234" t="s">
        <v>693</v>
      </c>
      <c r="AZ81" s="234" t="s">
        <v>694</v>
      </c>
      <c r="BA81" s="234" t="s">
        <v>695</v>
      </c>
      <c r="BB81" s="234" t="s">
        <v>696</v>
      </c>
      <c r="BC81" s="234" t="s">
        <v>697</v>
      </c>
      <c r="BF81" s="303" t="s">
        <v>641</v>
      </c>
      <c r="BG81" s="234" t="s">
        <v>700</v>
      </c>
      <c r="BH81" s="234" t="s">
        <v>701</v>
      </c>
    </row>
    <row r="82" spans="40:60">
      <c r="AN82" s="304" t="s">
        <v>642</v>
      </c>
      <c r="AO82" s="305">
        <v>0</v>
      </c>
      <c r="AP82" s="305">
        <v>0</v>
      </c>
      <c r="AQ82" s="305">
        <v>0</v>
      </c>
      <c r="AR82" s="305">
        <v>0</v>
      </c>
      <c r="AS82" s="305">
        <v>0</v>
      </c>
      <c r="AT82" s="305">
        <v>0</v>
      </c>
      <c r="AU82" s="305">
        <v>0</v>
      </c>
      <c r="AV82" s="305">
        <v>0</v>
      </c>
      <c r="AW82" s="305">
        <v>0</v>
      </c>
      <c r="AX82" s="305">
        <v>0</v>
      </c>
      <c r="AY82" s="305">
        <v>0</v>
      </c>
      <c r="AZ82" s="305">
        <v>0</v>
      </c>
      <c r="BA82" s="305">
        <v>0</v>
      </c>
      <c r="BB82" s="305">
        <v>6408288.6211381704</v>
      </c>
      <c r="BC82" s="305">
        <v>0</v>
      </c>
      <c r="BF82" s="304" t="s">
        <v>642</v>
      </c>
      <c r="BG82" s="302">
        <v>0</v>
      </c>
      <c r="BH82" s="302">
        <v>0</v>
      </c>
    </row>
    <row r="83" spans="40:60">
      <c r="AN83" s="304" t="s">
        <v>643</v>
      </c>
      <c r="AO83" s="305">
        <v>0</v>
      </c>
      <c r="AP83" s="305">
        <v>0</v>
      </c>
      <c r="AQ83" s="305">
        <v>0</v>
      </c>
      <c r="AR83" s="305">
        <v>0</v>
      </c>
      <c r="AS83" s="305">
        <v>0</v>
      </c>
      <c r="AT83" s="305">
        <v>0</v>
      </c>
      <c r="AU83" s="305">
        <v>0</v>
      </c>
      <c r="AV83" s="305">
        <v>0</v>
      </c>
      <c r="AW83" s="305">
        <v>0</v>
      </c>
      <c r="AX83" s="305">
        <v>0</v>
      </c>
      <c r="AY83" s="305">
        <v>0</v>
      </c>
      <c r="AZ83" s="305">
        <v>0</v>
      </c>
      <c r="BA83" s="305">
        <v>0</v>
      </c>
      <c r="BB83" s="305">
        <v>0</v>
      </c>
      <c r="BC83" s="305">
        <v>0</v>
      </c>
      <c r="BF83" s="304" t="s">
        <v>643</v>
      </c>
      <c r="BG83" s="302">
        <v>0</v>
      </c>
      <c r="BH83" s="302">
        <v>8991.6203231094005</v>
      </c>
    </row>
    <row r="84" spans="40:60">
      <c r="AN84" s="304" t="s">
        <v>644</v>
      </c>
      <c r="AO84" s="305">
        <v>0</v>
      </c>
      <c r="AP84" s="305">
        <v>0</v>
      </c>
      <c r="AQ84" s="305">
        <v>0</v>
      </c>
      <c r="AR84" s="305">
        <v>0</v>
      </c>
      <c r="AS84" s="305">
        <v>0</v>
      </c>
      <c r="AT84" s="305">
        <v>0</v>
      </c>
      <c r="AU84" s="305">
        <v>0</v>
      </c>
      <c r="AV84" s="305">
        <v>0</v>
      </c>
      <c r="AW84" s="305">
        <v>0</v>
      </c>
      <c r="AX84" s="305">
        <v>0</v>
      </c>
      <c r="AY84" s="305">
        <v>0</v>
      </c>
      <c r="AZ84" s="305">
        <v>0</v>
      </c>
      <c r="BA84" s="305">
        <v>0</v>
      </c>
      <c r="BB84" s="305">
        <v>0</v>
      </c>
      <c r="BC84" s="305">
        <v>0</v>
      </c>
      <c r="BF84" s="304" t="s">
        <v>644</v>
      </c>
      <c r="BG84" s="302">
        <v>0</v>
      </c>
      <c r="BH84" s="302">
        <v>404209.15818875801</v>
      </c>
    </row>
    <row r="85" spans="40:60">
      <c r="AN85" s="304" t="s">
        <v>645</v>
      </c>
      <c r="AO85" s="305">
        <v>6682782.3361421302</v>
      </c>
      <c r="AP85" s="305">
        <v>0</v>
      </c>
      <c r="AQ85" s="305">
        <v>0</v>
      </c>
      <c r="AR85" s="305">
        <v>0</v>
      </c>
      <c r="AS85" s="305">
        <v>0</v>
      </c>
      <c r="AT85" s="305">
        <v>0</v>
      </c>
      <c r="AU85" s="305">
        <v>0</v>
      </c>
      <c r="AV85" s="305">
        <v>0</v>
      </c>
      <c r="AW85" s="305">
        <v>0</v>
      </c>
      <c r="AX85" s="305">
        <v>0</v>
      </c>
      <c r="AY85" s="305">
        <v>0</v>
      </c>
      <c r="AZ85" s="305">
        <v>0</v>
      </c>
      <c r="BA85" s="305">
        <v>0</v>
      </c>
      <c r="BB85" s="305">
        <v>0</v>
      </c>
      <c r="BC85" s="305">
        <v>0</v>
      </c>
      <c r="BF85" s="304" t="s">
        <v>645</v>
      </c>
      <c r="BG85" s="302">
        <v>0</v>
      </c>
      <c r="BH85" s="302">
        <v>0</v>
      </c>
    </row>
    <row r="86" spans="40:60">
      <c r="AN86" s="304" t="s">
        <v>646</v>
      </c>
      <c r="AO86" s="305">
        <v>0</v>
      </c>
      <c r="AP86" s="305">
        <v>0</v>
      </c>
      <c r="AQ86" s="305">
        <v>0</v>
      </c>
      <c r="AR86" s="305">
        <v>0</v>
      </c>
      <c r="AS86" s="305">
        <v>0</v>
      </c>
      <c r="AT86" s="305">
        <v>0</v>
      </c>
      <c r="AU86" s="305">
        <v>8855804.3203369807</v>
      </c>
      <c r="AV86" s="305">
        <v>0</v>
      </c>
      <c r="AW86" s="305">
        <v>0</v>
      </c>
      <c r="AX86" s="305">
        <v>0</v>
      </c>
      <c r="AY86" s="305">
        <v>0</v>
      </c>
      <c r="AZ86" s="305">
        <v>0</v>
      </c>
      <c r="BA86" s="305">
        <v>0</v>
      </c>
      <c r="BB86" s="305">
        <v>0</v>
      </c>
      <c r="BC86" s="305">
        <v>0</v>
      </c>
      <c r="BF86" s="304" t="s">
        <v>646</v>
      </c>
      <c r="BG86" s="302">
        <v>0</v>
      </c>
      <c r="BH86" s="302">
        <v>0</v>
      </c>
    </row>
    <row r="87" spans="40:60">
      <c r="AN87" s="304" t="s">
        <v>647</v>
      </c>
      <c r="AO87" s="305">
        <v>0</v>
      </c>
      <c r="AP87" s="305">
        <v>0</v>
      </c>
      <c r="AQ87" s="305">
        <v>0</v>
      </c>
      <c r="AR87" s="305">
        <v>8855804.3203369807</v>
      </c>
      <c r="AS87" s="305">
        <v>0</v>
      </c>
      <c r="AT87" s="305">
        <v>0</v>
      </c>
      <c r="AU87" s="305">
        <v>0</v>
      </c>
      <c r="AV87" s="305">
        <v>0</v>
      </c>
      <c r="AW87" s="305">
        <v>0</v>
      </c>
      <c r="AX87" s="305">
        <v>0</v>
      </c>
      <c r="AY87" s="305">
        <v>0</v>
      </c>
      <c r="AZ87" s="305">
        <v>0</v>
      </c>
      <c r="BA87" s="305">
        <v>0</v>
      </c>
      <c r="BB87" s="305">
        <v>0</v>
      </c>
      <c r="BC87" s="305">
        <v>0</v>
      </c>
      <c r="BF87" s="304" t="s">
        <v>647</v>
      </c>
      <c r="BG87" s="302">
        <v>0</v>
      </c>
      <c r="BH87" s="302">
        <v>0</v>
      </c>
    </row>
    <row r="88" spans="40:60">
      <c r="AN88" s="304" t="s">
        <v>648</v>
      </c>
      <c r="AO88" s="305">
        <v>0</v>
      </c>
      <c r="AP88" s="305">
        <v>8855804.3203369807</v>
      </c>
      <c r="AQ88" s="305">
        <v>0</v>
      </c>
      <c r="AR88" s="305">
        <v>0</v>
      </c>
      <c r="AS88" s="305">
        <v>0</v>
      </c>
      <c r="AT88" s="305">
        <v>0</v>
      </c>
      <c r="AU88" s="305">
        <v>0</v>
      </c>
      <c r="AV88" s="305">
        <v>0</v>
      </c>
      <c r="AW88" s="305">
        <v>0</v>
      </c>
      <c r="AX88" s="305">
        <v>0</v>
      </c>
      <c r="AY88" s="305">
        <v>0</v>
      </c>
      <c r="AZ88" s="305">
        <v>0</v>
      </c>
      <c r="BA88" s="305">
        <v>0</v>
      </c>
      <c r="BB88" s="305">
        <v>0</v>
      </c>
      <c r="BC88" s="305">
        <v>0</v>
      </c>
      <c r="BF88" s="304" t="s">
        <v>648</v>
      </c>
      <c r="BG88" s="302">
        <v>0</v>
      </c>
      <c r="BH88" s="302">
        <v>0</v>
      </c>
    </row>
    <row r="89" spans="40:60">
      <c r="AN89" s="304" t="s">
        <v>649</v>
      </c>
      <c r="AO89" s="305">
        <v>0</v>
      </c>
      <c r="AP89" s="305">
        <v>0</v>
      </c>
      <c r="AQ89" s="305">
        <v>8850991.3601140399</v>
      </c>
      <c r="AR89" s="305">
        <v>0</v>
      </c>
      <c r="AS89" s="305">
        <v>0</v>
      </c>
      <c r="AT89" s="305">
        <v>0</v>
      </c>
      <c r="AU89" s="305">
        <v>0</v>
      </c>
      <c r="AV89" s="305">
        <v>0</v>
      </c>
      <c r="AW89" s="305">
        <v>0</v>
      </c>
      <c r="AX89" s="305">
        <v>0</v>
      </c>
      <c r="AY89" s="305">
        <v>0</v>
      </c>
      <c r="AZ89" s="305">
        <v>0</v>
      </c>
      <c r="BA89" s="305">
        <v>0</v>
      </c>
      <c r="BB89" s="305">
        <v>0</v>
      </c>
      <c r="BC89" s="305">
        <v>0</v>
      </c>
      <c r="BF89" s="304" t="s">
        <v>649</v>
      </c>
      <c r="BG89" s="302">
        <v>0</v>
      </c>
      <c r="BH89" s="302">
        <v>0</v>
      </c>
    </row>
    <row r="90" spans="40:60">
      <c r="AN90" s="304" t="s">
        <v>650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4026178.1360752499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F90" s="304" t="s">
        <v>650</v>
      </c>
      <c r="BG90" s="302">
        <v>0</v>
      </c>
      <c r="BH90" s="302">
        <v>0</v>
      </c>
    </row>
    <row r="91" spans="40:60">
      <c r="AN91" s="304" t="s">
        <v>651</v>
      </c>
      <c r="AO91" s="305">
        <v>11826.742854693801</v>
      </c>
      <c r="AP91" s="305">
        <v>0</v>
      </c>
      <c r="AQ91" s="305">
        <v>30.954464502133501</v>
      </c>
      <c r="AR91" s="305">
        <v>0</v>
      </c>
      <c r="AS91" s="305">
        <v>0</v>
      </c>
      <c r="AT91" s="305">
        <v>0</v>
      </c>
      <c r="AU91" s="305">
        <v>14491.848717543</v>
      </c>
      <c r="AV91" s="305">
        <v>0</v>
      </c>
      <c r="AW91" s="305">
        <v>125.026374728874</v>
      </c>
      <c r="AX91" s="305">
        <v>0</v>
      </c>
      <c r="AY91" s="305">
        <v>0</v>
      </c>
      <c r="AZ91" s="305">
        <v>0.374842703513311</v>
      </c>
      <c r="BA91" s="305">
        <v>0</v>
      </c>
      <c r="BB91" s="305">
        <v>0</v>
      </c>
      <c r="BC91" s="305">
        <v>2671.5132120132398</v>
      </c>
      <c r="BF91" s="304" t="s">
        <v>651</v>
      </c>
      <c r="BG91" s="302">
        <v>0</v>
      </c>
      <c r="BH91" s="302">
        <v>0</v>
      </c>
    </row>
    <row r="92" spans="40:60">
      <c r="AN92" s="304" t="s">
        <v>652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F92" s="304" t="s">
        <v>652</v>
      </c>
      <c r="BG92" s="302">
        <v>0</v>
      </c>
      <c r="BH92" s="302">
        <v>555.77441893806395</v>
      </c>
    </row>
    <row r="93" spans="40:60">
      <c r="AN93" s="304" t="s">
        <v>653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F93" s="304" t="s">
        <v>653</v>
      </c>
      <c r="BG93" s="302">
        <v>0</v>
      </c>
      <c r="BH93" s="302">
        <v>303788.26554911397</v>
      </c>
    </row>
    <row r="94" spans="40:60">
      <c r="AN94" s="304" t="s">
        <v>654</v>
      </c>
      <c r="AO94" s="305">
        <v>0</v>
      </c>
      <c r="AP94" s="305">
        <v>0</v>
      </c>
      <c r="AQ94" s="305">
        <v>0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F94" s="304" t="s">
        <v>654</v>
      </c>
      <c r="BG94" s="302">
        <v>0</v>
      </c>
      <c r="BH94" s="302">
        <v>2244.7960862667501</v>
      </c>
    </row>
    <row r="95" spans="40:60">
      <c r="AN95" s="304" t="s">
        <v>655</v>
      </c>
      <c r="AO95" s="305">
        <v>0</v>
      </c>
      <c r="AP95" s="305">
        <v>0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F95" s="304" t="s">
        <v>655</v>
      </c>
      <c r="BG95" s="302">
        <v>0</v>
      </c>
      <c r="BH95" s="302">
        <v>6.7177820097776797</v>
      </c>
    </row>
    <row r="96" spans="40:60">
      <c r="AN96" s="304" t="s">
        <v>656</v>
      </c>
      <c r="AO96" s="305">
        <v>318930.104231745</v>
      </c>
      <c r="AP96" s="305">
        <v>50.358084153937803</v>
      </c>
      <c r="AQ96" s="305">
        <v>80616.370239891301</v>
      </c>
      <c r="AR96" s="305">
        <v>282.12877103151499</v>
      </c>
      <c r="AS96" s="305">
        <v>0</v>
      </c>
      <c r="AT96" s="305">
        <v>33191.859393697501</v>
      </c>
      <c r="AU96" s="305">
        <v>0</v>
      </c>
      <c r="AV96" s="305">
        <v>12626.098826338701</v>
      </c>
      <c r="AW96" s="305">
        <v>0</v>
      </c>
      <c r="AX96" s="305">
        <v>609792.25175934797</v>
      </c>
      <c r="AY96" s="305">
        <v>34.678095164115</v>
      </c>
      <c r="AZ96" s="305">
        <v>0</v>
      </c>
      <c r="BA96" s="305">
        <v>2824.8856477449199</v>
      </c>
      <c r="BB96" s="305">
        <v>0</v>
      </c>
      <c r="BC96" s="305">
        <v>0</v>
      </c>
      <c r="BF96" s="304" t="s">
        <v>656</v>
      </c>
      <c r="BG96" s="302">
        <v>0</v>
      </c>
      <c r="BH96" s="302">
        <v>0</v>
      </c>
    </row>
    <row r="97" spans="40:60">
      <c r="AN97" s="304" t="s">
        <v>657</v>
      </c>
      <c r="AO97" s="305">
        <v>29112.263489807599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F97" s="304" t="s">
        <v>657</v>
      </c>
      <c r="BG97" s="302">
        <v>0</v>
      </c>
      <c r="BH97" s="302">
        <v>0</v>
      </c>
    </row>
    <row r="98" spans="40:60">
      <c r="AN98" s="304" t="s">
        <v>658</v>
      </c>
      <c r="AO98" s="305">
        <v>0</v>
      </c>
      <c r="AP98" s="305">
        <v>0</v>
      </c>
      <c r="AQ98" s="305">
        <v>23309.045257575199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94146.207140653802</v>
      </c>
      <c r="AX98" s="305">
        <v>0</v>
      </c>
      <c r="AY98" s="305">
        <v>0</v>
      </c>
      <c r="AZ98" s="305">
        <v>257.99399332425401</v>
      </c>
      <c r="BA98" s="305">
        <v>0</v>
      </c>
      <c r="BB98" s="305">
        <v>0</v>
      </c>
      <c r="BC98" s="305">
        <v>0</v>
      </c>
      <c r="BF98" s="304" t="s">
        <v>658</v>
      </c>
      <c r="BG98" s="302">
        <v>0</v>
      </c>
      <c r="BH98" s="302">
        <v>0</v>
      </c>
    </row>
    <row r="99" spans="40:60">
      <c r="AN99" s="304" t="s">
        <v>659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88071.706245154506</v>
      </c>
      <c r="BC99" s="305">
        <v>0</v>
      </c>
      <c r="BF99" s="304" t="s">
        <v>659</v>
      </c>
      <c r="BG99" s="302">
        <v>0</v>
      </c>
      <c r="BH99" s="302">
        <v>0</v>
      </c>
    </row>
    <row r="100" spans="40:60">
      <c r="AN100" s="304" t="s">
        <v>660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108184.85967288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F100" s="304" t="s">
        <v>660</v>
      </c>
      <c r="BG100" s="302">
        <v>0</v>
      </c>
      <c r="BH100" s="302">
        <v>0</v>
      </c>
    </row>
    <row r="101" spans="40:60">
      <c r="AN101" s="304" t="s">
        <v>661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108184.85967288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F101" s="304" t="s">
        <v>661</v>
      </c>
      <c r="BG101" s="302">
        <v>0</v>
      </c>
      <c r="BH101" s="302">
        <v>0</v>
      </c>
    </row>
    <row r="102" spans="40:60">
      <c r="AN102" s="304" t="s">
        <v>662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108184.85967288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F102" s="304" t="s">
        <v>662</v>
      </c>
      <c r="BG102" s="302">
        <v>0</v>
      </c>
      <c r="BH102" s="302">
        <v>0</v>
      </c>
    </row>
    <row r="103" spans="40:60">
      <c r="AN103" s="304" t="s">
        <v>663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F103" s="304" t="s">
        <v>663</v>
      </c>
      <c r="BG103" s="302">
        <v>0</v>
      </c>
      <c r="BH103" s="302">
        <v>21722.892325740399</v>
      </c>
    </row>
    <row r="104" spans="40:60">
      <c r="AN104" s="304" t="s">
        <v>664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F104" s="304" t="s">
        <v>664</v>
      </c>
      <c r="BG104" s="302">
        <v>0</v>
      </c>
      <c r="BH104" s="302">
        <v>87222.135331413898</v>
      </c>
    </row>
    <row r="105" spans="40:60">
      <c r="AN105" s="304" t="s">
        <v>665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25297.051877142199</v>
      </c>
      <c r="BF105" s="304" t="s">
        <v>665</v>
      </c>
      <c r="BG105" s="302">
        <v>0</v>
      </c>
      <c r="BH105" s="302">
        <v>0</v>
      </c>
    </row>
    <row r="106" spans="40:60">
      <c r="AN106" s="304" t="s">
        <v>666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25297.051877142199</v>
      </c>
      <c r="BB106" s="305">
        <v>0</v>
      </c>
      <c r="BC106" s="305">
        <v>0</v>
      </c>
      <c r="BF106" s="304" t="s">
        <v>666</v>
      </c>
      <c r="BG106" s="302">
        <v>0</v>
      </c>
      <c r="BH106" s="302">
        <v>0</v>
      </c>
    </row>
    <row r="107" spans="40:60">
      <c r="AN107" s="304" t="s">
        <v>667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25297.051877142199</v>
      </c>
      <c r="AZ107" s="305">
        <v>0</v>
      </c>
      <c r="BA107" s="305">
        <v>0</v>
      </c>
      <c r="BB107" s="305">
        <v>0</v>
      </c>
      <c r="BC107" s="305">
        <v>0</v>
      </c>
      <c r="BF107" s="304" t="s">
        <v>667</v>
      </c>
      <c r="BG107" s="302">
        <v>0</v>
      </c>
      <c r="BH107" s="302">
        <v>0</v>
      </c>
    </row>
    <row r="108" spans="40:60">
      <c r="AN108" s="304" t="s">
        <v>668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25297.051877142199</v>
      </c>
      <c r="BA108" s="305">
        <v>0</v>
      </c>
      <c r="BB108" s="305">
        <v>0</v>
      </c>
      <c r="BC108" s="305">
        <v>0</v>
      </c>
      <c r="BF108" s="304" t="s">
        <v>668</v>
      </c>
      <c r="BG108" s="302">
        <v>0</v>
      </c>
      <c r="BH108" s="302">
        <v>0</v>
      </c>
    </row>
    <row r="109" spans="40:60">
      <c r="AN109" s="304" t="s">
        <v>669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F109" s="304" t="s">
        <v>669</v>
      </c>
      <c r="BG109" s="302">
        <v>0</v>
      </c>
      <c r="BH109" s="302">
        <v>7739.25118007116</v>
      </c>
    </row>
    <row r="110" spans="40:60">
      <c r="AN110" s="304" t="s">
        <v>670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24.076233417548501</v>
      </c>
      <c r="BA110" s="305">
        <v>0</v>
      </c>
      <c r="BB110" s="305">
        <v>0</v>
      </c>
      <c r="BC110" s="305">
        <v>0</v>
      </c>
      <c r="BF110" s="304" t="s">
        <v>670</v>
      </c>
      <c r="BG110" s="302">
        <v>0</v>
      </c>
      <c r="BH110" s="302">
        <v>0</v>
      </c>
    </row>
    <row r="111" spans="40:60">
      <c r="AN111" s="304" t="s">
        <v>671</v>
      </c>
      <c r="AO111" s="305">
        <v>2329445.30922601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10583778.883576799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1951076.47558275</v>
      </c>
      <c r="BF111" s="304" t="s">
        <v>671</v>
      </c>
      <c r="BG111" s="302">
        <v>0</v>
      </c>
      <c r="BH111" s="302">
        <v>0</v>
      </c>
    </row>
    <row r="112" spans="40:60">
      <c r="AN112" s="304" t="s">
        <v>672</v>
      </c>
      <c r="AO112" s="305">
        <v>0</v>
      </c>
      <c r="AP112" s="305">
        <v>0</v>
      </c>
      <c r="AQ112" s="305">
        <v>0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F112" s="304" t="s">
        <v>672</v>
      </c>
      <c r="BG112" s="302">
        <v>4157895.2984628798</v>
      </c>
      <c r="BH112" s="302">
        <v>0</v>
      </c>
    </row>
    <row r="113" spans="1:60">
      <c r="AN113" s="304" t="s">
        <v>673</v>
      </c>
      <c r="AO113" s="305">
        <v>0</v>
      </c>
      <c r="AP113" s="305">
        <v>0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F113" s="304" t="s">
        <v>673</v>
      </c>
      <c r="BG113" s="302">
        <v>0</v>
      </c>
      <c r="BH113" s="302">
        <v>67875.356217847497</v>
      </c>
    </row>
    <row r="114" spans="1:60">
      <c r="AN114" s="304" t="s">
        <v>674</v>
      </c>
      <c r="AO114" s="305">
        <v>0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242016.07607977401</v>
      </c>
      <c r="BC114" s="305">
        <v>0</v>
      </c>
      <c r="BF114" s="304" t="s">
        <v>674</v>
      </c>
      <c r="BG114" s="302">
        <v>0</v>
      </c>
      <c r="BH114" s="302">
        <v>0</v>
      </c>
    </row>
    <row r="115" spans="1:60">
      <c r="AN115" s="304" t="s">
        <v>675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F115" s="304" t="s">
        <v>675</v>
      </c>
      <c r="BG115" s="302">
        <v>0</v>
      </c>
      <c r="BH115" s="302">
        <v>955411.77850757004</v>
      </c>
    </row>
    <row r="116" spans="1:60">
      <c r="AN116" s="304" t="s">
        <v>676</v>
      </c>
      <c r="AO116" s="305">
        <v>2830357.1263978099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F116" s="304" t="s">
        <v>676</v>
      </c>
      <c r="BG116" s="302">
        <v>1213010.1970276299</v>
      </c>
      <c r="BH116" s="302">
        <v>0</v>
      </c>
    </row>
    <row r="117" spans="1:60">
      <c r="AN117" s="304" t="s">
        <v>677</v>
      </c>
      <c r="AO117" s="305">
        <v>0</v>
      </c>
      <c r="AP117" s="305">
        <v>0</v>
      </c>
      <c r="AQ117" s="305">
        <v>0</v>
      </c>
      <c r="AR117" s="305">
        <v>0</v>
      </c>
      <c r="AS117" s="305">
        <v>4043367.3234254499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F117" s="304" t="s">
        <v>677</v>
      </c>
      <c r="BG117" s="302">
        <v>0</v>
      </c>
      <c r="BH117" s="302">
        <v>0</v>
      </c>
    </row>
    <row r="118" spans="1:60">
      <c r="AN118" s="304"/>
      <c r="AO118" s="358" t="s">
        <v>698</v>
      </c>
      <c r="AP118" s="371"/>
      <c r="AQ118" s="371"/>
      <c r="AR118" s="371"/>
      <c r="AS118" s="371"/>
      <c r="AT118" s="371"/>
      <c r="AU118" s="371"/>
      <c r="AV118" s="371"/>
      <c r="AW118" s="371"/>
      <c r="AX118" s="371"/>
      <c r="AY118" s="371"/>
      <c r="AZ118" s="371"/>
      <c r="BA118" s="371"/>
      <c r="BB118" s="371"/>
      <c r="BC118" s="371"/>
      <c r="BF118" s="304"/>
      <c r="BG118" s="358" t="s">
        <v>702</v>
      </c>
      <c r="BH118" s="371"/>
    </row>
    <row r="121" spans="1:60" ht="228">
      <c r="A121" s="303" t="s">
        <v>641</v>
      </c>
      <c r="B121" s="234" t="s">
        <v>642</v>
      </c>
      <c r="C121" s="234" t="s">
        <v>643</v>
      </c>
      <c r="D121" s="234" t="s">
        <v>644</v>
      </c>
      <c r="E121" s="234" t="s">
        <v>645</v>
      </c>
      <c r="F121" s="234" t="s">
        <v>646</v>
      </c>
      <c r="G121" s="234" t="s">
        <v>647</v>
      </c>
      <c r="H121" s="234" t="s">
        <v>648</v>
      </c>
      <c r="I121" s="234" t="s">
        <v>649</v>
      </c>
      <c r="J121" s="234" t="s">
        <v>650</v>
      </c>
      <c r="K121" s="234" t="s">
        <v>651</v>
      </c>
      <c r="L121" s="234" t="s">
        <v>652</v>
      </c>
      <c r="M121" s="234" t="s">
        <v>653</v>
      </c>
      <c r="N121" s="234" t="s">
        <v>654</v>
      </c>
      <c r="O121" s="234" t="s">
        <v>655</v>
      </c>
      <c r="P121" s="234" t="s">
        <v>656</v>
      </c>
      <c r="Q121" s="234" t="s">
        <v>657</v>
      </c>
      <c r="R121" s="234" t="s">
        <v>658</v>
      </c>
      <c r="S121" s="234" t="s">
        <v>659</v>
      </c>
      <c r="T121" s="234" t="s">
        <v>660</v>
      </c>
      <c r="U121" s="234" t="s">
        <v>661</v>
      </c>
      <c r="V121" s="234" t="s">
        <v>662</v>
      </c>
      <c r="W121" s="234" t="s">
        <v>663</v>
      </c>
      <c r="X121" s="234" t="s">
        <v>664</v>
      </c>
      <c r="Y121" s="234" t="s">
        <v>665</v>
      </c>
      <c r="Z121" s="234" t="s">
        <v>666</v>
      </c>
      <c r="AA121" s="234" t="s">
        <v>667</v>
      </c>
      <c r="AB121" s="234" t="s">
        <v>668</v>
      </c>
      <c r="AC121" s="234" t="s">
        <v>669</v>
      </c>
      <c r="AD121" s="234" t="s">
        <v>670</v>
      </c>
      <c r="AE121" s="234" t="s">
        <v>671</v>
      </c>
      <c r="AF121" s="234" t="s">
        <v>672</v>
      </c>
      <c r="AG121" s="234" t="s">
        <v>673</v>
      </c>
      <c r="AH121" s="234" t="s">
        <v>674</v>
      </c>
      <c r="AI121" s="234" t="s">
        <v>675</v>
      </c>
      <c r="AJ121" s="234" t="s">
        <v>676</v>
      </c>
      <c r="AK121" s="234" t="s">
        <v>677</v>
      </c>
    </row>
    <row r="122" spans="1:60">
      <c r="A122" s="304" t="s">
        <v>683</v>
      </c>
      <c r="B122" s="305">
        <v>0</v>
      </c>
      <c r="C122" s="305">
        <v>0</v>
      </c>
      <c r="D122" s="305">
        <v>404209.15818875801</v>
      </c>
      <c r="E122" s="305">
        <v>0</v>
      </c>
      <c r="F122" s="305">
        <v>0</v>
      </c>
      <c r="G122" s="305">
        <v>0</v>
      </c>
      <c r="H122" s="305">
        <v>0</v>
      </c>
      <c r="I122" s="305">
        <v>0</v>
      </c>
      <c r="J122" s="305">
        <v>0</v>
      </c>
      <c r="K122" s="305">
        <v>0</v>
      </c>
      <c r="L122" s="305">
        <v>0</v>
      </c>
      <c r="M122" s="305">
        <v>0</v>
      </c>
      <c r="N122" s="305">
        <v>0</v>
      </c>
      <c r="O122" s="305">
        <v>0</v>
      </c>
      <c r="P122" s="305">
        <v>0</v>
      </c>
      <c r="Q122" s="305">
        <v>0</v>
      </c>
      <c r="R122" s="305">
        <v>0</v>
      </c>
      <c r="S122" s="305">
        <v>0</v>
      </c>
      <c r="T122" s="305">
        <v>0</v>
      </c>
      <c r="U122" s="305">
        <v>0</v>
      </c>
      <c r="V122" s="305">
        <v>0</v>
      </c>
      <c r="W122" s="305">
        <v>0</v>
      </c>
      <c r="X122" s="305">
        <v>0</v>
      </c>
      <c r="Y122" s="305">
        <v>0</v>
      </c>
      <c r="Z122" s="305">
        <v>0</v>
      </c>
      <c r="AA122" s="305">
        <v>0</v>
      </c>
      <c r="AB122" s="305">
        <v>0</v>
      </c>
      <c r="AC122" s="305">
        <v>0</v>
      </c>
      <c r="AD122" s="305">
        <v>0</v>
      </c>
      <c r="AE122" s="305">
        <v>0</v>
      </c>
      <c r="AF122" s="305">
        <v>4157895.2984628798</v>
      </c>
      <c r="AG122" s="305">
        <v>67875.356217847497</v>
      </c>
      <c r="AH122" s="305">
        <v>0</v>
      </c>
      <c r="AI122" s="305">
        <v>0</v>
      </c>
      <c r="AJ122" s="305">
        <v>0</v>
      </c>
      <c r="AK122" s="305">
        <v>0</v>
      </c>
    </row>
    <row r="123" spans="1:60">
      <c r="A123" s="304" t="s">
        <v>684</v>
      </c>
      <c r="B123" s="305">
        <v>0</v>
      </c>
      <c r="C123" s="305">
        <v>0</v>
      </c>
      <c r="D123" s="305">
        <v>0</v>
      </c>
      <c r="E123" s="305">
        <v>0</v>
      </c>
      <c r="F123" s="305">
        <v>8855804.3203369807</v>
      </c>
      <c r="G123" s="305">
        <v>0</v>
      </c>
      <c r="H123" s="305">
        <v>0</v>
      </c>
      <c r="I123" s="305">
        <v>0</v>
      </c>
      <c r="J123" s="305">
        <v>0</v>
      </c>
      <c r="K123" s="305">
        <v>0</v>
      </c>
      <c r="L123" s="305">
        <v>0</v>
      </c>
      <c r="M123" s="305">
        <v>0</v>
      </c>
      <c r="N123" s="305">
        <v>0</v>
      </c>
      <c r="O123" s="305">
        <v>0</v>
      </c>
      <c r="P123" s="305">
        <v>0</v>
      </c>
      <c r="Q123" s="305">
        <v>0</v>
      </c>
      <c r="R123" s="305">
        <v>0</v>
      </c>
      <c r="S123" s="305">
        <v>0</v>
      </c>
      <c r="T123" s="305">
        <v>0</v>
      </c>
      <c r="U123" s="305">
        <v>0</v>
      </c>
      <c r="V123" s="305">
        <v>0</v>
      </c>
      <c r="W123" s="305">
        <v>0</v>
      </c>
      <c r="X123" s="305">
        <v>0</v>
      </c>
      <c r="Y123" s="305">
        <v>0</v>
      </c>
      <c r="Z123" s="305">
        <v>0</v>
      </c>
      <c r="AA123" s="305">
        <v>0</v>
      </c>
      <c r="AB123" s="305">
        <v>0</v>
      </c>
      <c r="AC123" s="305">
        <v>0</v>
      </c>
      <c r="AD123" s="305">
        <v>0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0</v>
      </c>
    </row>
    <row r="124" spans="1:60">
      <c r="A124" s="304" t="s">
        <v>685</v>
      </c>
      <c r="B124" s="305">
        <v>0</v>
      </c>
      <c r="C124" s="305">
        <v>0</v>
      </c>
      <c r="D124" s="305">
        <v>0</v>
      </c>
      <c r="E124" s="305">
        <v>0</v>
      </c>
      <c r="F124" s="305">
        <v>0</v>
      </c>
      <c r="G124" s="305">
        <v>8855804.3203369807</v>
      </c>
      <c r="H124" s="305">
        <v>0</v>
      </c>
      <c r="I124" s="305">
        <v>0</v>
      </c>
      <c r="J124" s="305">
        <v>0</v>
      </c>
      <c r="K124" s="305">
        <v>0</v>
      </c>
      <c r="L124" s="305">
        <v>555.77441893806395</v>
      </c>
      <c r="M124" s="305">
        <v>0</v>
      </c>
      <c r="N124" s="305">
        <v>0</v>
      </c>
      <c r="O124" s="305">
        <v>0</v>
      </c>
      <c r="P124" s="305">
        <v>0</v>
      </c>
      <c r="Q124" s="305">
        <v>0</v>
      </c>
      <c r="R124" s="305">
        <v>0</v>
      </c>
      <c r="S124" s="305">
        <v>0</v>
      </c>
      <c r="T124" s="305">
        <v>0</v>
      </c>
      <c r="U124" s="305">
        <v>0</v>
      </c>
      <c r="V124" s="305">
        <v>0</v>
      </c>
      <c r="W124" s="305">
        <v>0</v>
      </c>
      <c r="X124" s="305">
        <v>0</v>
      </c>
      <c r="Y124" s="305">
        <v>0</v>
      </c>
      <c r="Z124" s="305">
        <v>0</v>
      </c>
      <c r="AA124" s="305">
        <v>0</v>
      </c>
      <c r="AB124" s="305">
        <v>0</v>
      </c>
      <c r="AC124" s="305">
        <v>0</v>
      </c>
      <c r="AD124" s="305">
        <v>0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</row>
    <row r="125" spans="1:60">
      <c r="A125" s="304" t="s">
        <v>686</v>
      </c>
      <c r="B125" s="305">
        <v>0</v>
      </c>
      <c r="C125" s="305">
        <v>0</v>
      </c>
      <c r="D125" s="305">
        <v>0</v>
      </c>
      <c r="E125" s="305">
        <v>0</v>
      </c>
      <c r="F125" s="305">
        <v>0</v>
      </c>
      <c r="G125" s="305">
        <v>0</v>
      </c>
      <c r="H125" s="305">
        <v>8855804.3203369807</v>
      </c>
      <c r="I125" s="305">
        <v>0</v>
      </c>
      <c r="J125" s="305">
        <v>0</v>
      </c>
      <c r="K125" s="305">
        <v>0</v>
      </c>
      <c r="L125" s="305">
        <v>0</v>
      </c>
      <c r="M125" s="305">
        <v>0</v>
      </c>
      <c r="N125" s="305">
        <v>0</v>
      </c>
      <c r="O125" s="305">
        <v>0</v>
      </c>
      <c r="P125" s="305">
        <v>0</v>
      </c>
      <c r="Q125" s="305">
        <v>0</v>
      </c>
      <c r="R125" s="305">
        <v>0</v>
      </c>
      <c r="S125" s="305">
        <v>0</v>
      </c>
      <c r="T125" s="305">
        <v>0</v>
      </c>
      <c r="U125" s="305">
        <v>0</v>
      </c>
      <c r="V125" s="305">
        <v>0</v>
      </c>
      <c r="W125" s="305">
        <v>0</v>
      </c>
      <c r="X125" s="305">
        <v>0</v>
      </c>
      <c r="Y125" s="305">
        <v>0</v>
      </c>
      <c r="Z125" s="305">
        <v>0</v>
      </c>
      <c r="AA125" s="305">
        <v>0</v>
      </c>
      <c r="AB125" s="305">
        <v>0</v>
      </c>
      <c r="AC125" s="305">
        <v>0</v>
      </c>
      <c r="AD125" s="305">
        <v>0</v>
      </c>
      <c r="AE125" s="305">
        <v>0</v>
      </c>
      <c r="AF125" s="305">
        <v>0</v>
      </c>
      <c r="AG125" s="305">
        <v>0</v>
      </c>
      <c r="AH125" s="305">
        <v>0</v>
      </c>
      <c r="AI125" s="305">
        <v>0</v>
      </c>
      <c r="AJ125" s="305">
        <v>0</v>
      </c>
      <c r="AK125" s="305">
        <v>0</v>
      </c>
    </row>
    <row r="126" spans="1:60">
      <c r="A126" s="304" t="s">
        <v>687</v>
      </c>
      <c r="B126" s="305">
        <v>0</v>
      </c>
      <c r="C126" s="305">
        <v>0</v>
      </c>
      <c r="D126" s="305">
        <v>0</v>
      </c>
      <c r="E126" s="305">
        <v>0</v>
      </c>
      <c r="F126" s="305">
        <v>0</v>
      </c>
      <c r="G126" s="305">
        <v>0</v>
      </c>
      <c r="H126" s="305">
        <v>0</v>
      </c>
      <c r="I126" s="305">
        <v>0</v>
      </c>
      <c r="J126" s="305">
        <v>0</v>
      </c>
      <c r="K126" s="305">
        <v>0</v>
      </c>
      <c r="L126" s="305">
        <v>0</v>
      </c>
      <c r="M126" s="305">
        <v>0</v>
      </c>
      <c r="N126" s="305">
        <v>0</v>
      </c>
      <c r="O126" s="305">
        <v>0</v>
      </c>
      <c r="P126" s="305">
        <v>0</v>
      </c>
      <c r="Q126" s="305">
        <v>0</v>
      </c>
      <c r="R126" s="305">
        <v>0</v>
      </c>
      <c r="S126" s="305">
        <v>0</v>
      </c>
      <c r="T126" s="305">
        <v>0</v>
      </c>
      <c r="U126" s="305">
        <v>0</v>
      </c>
      <c r="V126" s="305">
        <v>0</v>
      </c>
      <c r="W126" s="305">
        <v>0</v>
      </c>
      <c r="X126" s="305">
        <v>0</v>
      </c>
      <c r="Y126" s="305">
        <v>0</v>
      </c>
      <c r="Z126" s="305">
        <v>0</v>
      </c>
      <c r="AA126" s="305">
        <v>0</v>
      </c>
      <c r="AB126" s="305">
        <v>0</v>
      </c>
      <c r="AC126" s="305">
        <v>0</v>
      </c>
      <c r="AD126" s="305">
        <v>0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4043367.3234254499</v>
      </c>
      <c r="AK126" s="305">
        <v>0</v>
      </c>
    </row>
    <row r="127" spans="1:60">
      <c r="A127" s="304" t="s">
        <v>688</v>
      </c>
      <c r="B127" s="305">
        <v>0</v>
      </c>
      <c r="C127" s="305">
        <v>0</v>
      </c>
      <c r="D127" s="305">
        <v>0</v>
      </c>
      <c r="E127" s="305">
        <v>0</v>
      </c>
      <c r="F127" s="305">
        <v>0</v>
      </c>
      <c r="G127" s="305">
        <v>0</v>
      </c>
      <c r="H127" s="305">
        <v>0</v>
      </c>
      <c r="I127" s="305">
        <v>0</v>
      </c>
      <c r="J127" s="305">
        <v>0</v>
      </c>
      <c r="K127" s="305">
        <v>0</v>
      </c>
      <c r="L127" s="305">
        <v>0</v>
      </c>
      <c r="M127" s="305">
        <v>0</v>
      </c>
      <c r="N127" s="305">
        <v>0</v>
      </c>
      <c r="O127" s="305">
        <v>0</v>
      </c>
      <c r="P127" s="305">
        <v>0</v>
      </c>
      <c r="Q127" s="305">
        <v>0</v>
      </c>
      <c r="R127" s="305">
        <v>0</v>
      </c>
      <c r="S127" s="305">
        <v>0</v>
      </c>
      <c r="T127" s="305">
        <v>0</v>
      </c>
      <c r="U127" s="305">
        <v>0</v>
      </c>
      <c r="V127" s="305">
        <v>0</v>
      </c>
      <c r="W127" s="305">
        <v>0</v>
      </c>
      <c r="X127" s="305">
        <v>0</v>
      </c>
      <c r="Y127" s="305">
        <v>0</v>
      </c>
      <c r="Z127" s="305">
        <v>0</v>
      </c>
      <c r="AA127" s="305">
        <v>0</v>
      </c>
      <c r="AB127" s="305">
        <v>0</v>
      </c>
      <c r="AC127" s="305">
        <v>0</v>
      </c>
      <c r="AD127" s="305">
        <v>0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4043367.3234254499</v>
      </c>
    </row>
    <row r="128" spans="1:60">
      <c r="A128" s="304" t="s">
        <v>689</v>
      </c>
      <c r="B128" s="305">
        <v>6408288.6211381704</v>
      </c>
      <c r="C128" s="305">
        <v>8991.6203231094005</v>
      </c>
      <c r="D128" s="305">
        <v>0</v>
      </c>
      <c r="E128" s="305">
        <v>0</v>
      </c>
      <c r="F128" s="305">
        <v>0</v>
      </c>
      <c r="G128" s="305">
        <v>0</v>
      </c>
      <c r="H128" s="305">
        <v>0</v>
      </c>
      <c r="I128" s="305">
        <v>0</v>
      </c>
      <c r="J128" s="305">
        <v>4026178.1360752499</v>
      </c>
      <c r="K128" s="305">
        <v>0</v>
      </c>
      <c r="L128" s="305">
        <v>0</v>
      </c>
      <c r="M128" s="305">
        <v>303788.26554911397</v>
      </c>
      <c r="N128" s="305">
        <v>0</v>
      </c>
      <c r="O128" s="305">
        <v>0</v>
      </c>
      <c r="P128" s="305">
        <v>0</v>
      </c>
      <c r="Q128" s="305">
        <v>0</v>
      </c>
      <c r="R128" s="305">
        <v>0</v>
      </c>
      <c r="S128" s="305">
        <v>0</v>
      </c>
      <c r="T128" s="305">
        <v>0</v>
      </c>
      <c r="U128" s="305">
        <v>0</v>
      </c>
      <c r="V128" s="305">
        <v>0</v>
      </c>
      <c r="W128" s="305">
        <v>0</v>
      </c>
      <c r="X128" s="305">
        <v>0</v>
      </c>
      <c r="Y128" s="305">
        <v>0</v>
      </c>
      <c r="Z128" s="305">
        <v>0</v>
      </c>
      <c r="AA128" s="305">
        <v>0</v>
      </c>
      <c r="AB128" s="305">
        <v>0</v>
      </c>
      <c r="AC128" s="305">
        <v>0</v>
      </c>
      <c r="AD128" s="305">
        <v>0</v>
      </c>
      <c r="AE128" s="305">
        <v>0</v>
      </c>
      <c r="AF128" s="305">
        <v>0</v>
      </c>
      <c r="AG128" s="305">
        <v>0</v>
      </c>
      <c r="AH128" s="305">
        <v>0</v>
      </c>
      <c r="AI128" s="305">
        <v>955411.77850757004</v>
      </c>
      <c r="AJ128" s="305">
        <v>0</v>
      </c>
      <c r="AK128" s="305">
        <v>0</v>
      </c>
    </row>
    <row r="129" spans="1:37">
      <c r="A129" s="304" t="s">
        <v>690</v>
      </c>
      <c r="B129" s="305">
        <v>0</v>
      </c>
      <c r="C129" s="305">
        <v>0</v>
      </c>
      <c r="D129" s="305">
        <v>0</v>
      </c>
      <c r="E129" s="305">
        <v>0</v>
      </c>
      <c r="F129" s="305">
        <v>0</v>
      </c>
      <c r="G129" s="305">
        <v>0</v>
      </c>
      <c r="H129" s="305">
        <v>0</v>
      </c>
      <c r="I129" s="305">
        <v>0</v>
      </c>
      <c r="J129" s="305">
        <v>0</v>
      </c>
      <c r="K129" s="305">
        <v>0</v>
      </c>
      <c r="L129" s="305">
        <v>0</v>
      </c>
      <c r="M129" s="305">
        <v>0</v>
      </c>
      <c r="N129" s="305">
        <v>0</v>
      </c>
      <c r="O129" s="305">
        <v>0</v>
      </c>
      <c r="P129" s="305">
        <v>0</v>
      </c>
      <c r="Q129" s="305">
        <v>0</v>
      </c>
      <c r="R129" s="305">
        <v>0</v>
      </c>
      <c r="S129" s="305">
        <v>88071.706245154506</v>
      </c>
      <c r="T129" s="305">
        <v>0</v>
      </c>
      <c r="U129" s="305">
        <v>0</v>
      </c>
      <c r="V129" s="305">
        <v>0</v>
      </c>
      <c r="W129" s="305">
        <v>21722.892325740399</v>
      </c>
      <c r="X129" s="305">
        <v>0</v>
      </c>
      <c r="Y129" s="305">
        <v>0</v>
      </c>
      <c r="Z129" s="305">
        <v>0</v>
      </c>
      <c r="AA129" s="305">
        <v>0</v>
      </c>
      <c r="AB129" s="305">
        <v>0</v>
      </c>
      <c r="AC129" s="305">
        <v>0</v>
      </c>
      <c r="AD129" s="305">
        <v>0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</row>
    <row r="130" spans="1:37">
      <c r="A130" s="304" t="s">
        <v>691</v>
      </c>
      <c r="B130" s="305">
        <v>0</v>
      </c>
      <c r="C130" s="305">
        <v>0</v>
      </c>
      <c r="D130" s="305">
        <v>0</v>
      </c>
      <c r="E130" s="305">
        <v>0</v>
      </c>
      <c r="F130" s="305">
        <v>0</v>
      </c>
      <c r="G130" s="305">
        <v>0</v>
      </c>
      <c r="H130" s="305">
        <v>0</v>
      </c>
      <c r="I130" s="305">
        <v>0</v>
      </c>
      <c r="J130" s="305">
        <v>0</v>
      </c>
      <c r="K130" s="305">
        <v>0</v>
      </c>
      <c r="L130" s="305">
        <v>0</v>
      </c>
      <c r="M130" s="305">
        <v>0</v>
      </c>
      <c r="N130" s="305">
        <v>2244.7960862667501</v>
      </c>
      <c r="O130" s="305">
        <v>0</v>
      </c>
      <c r="P130" s="305">
        <v>0</v>
      </c>
      <c r="Q130" s="305">
        <v>0</v>
      </c>
      <c r="R130" s="305">
        <v>0</v>
      </c>
      <c r="S130" s="305">
        <v>0</v>
      </c>
      <c r="T130" s="305">
        <v>108184.85967288</v>
      </c>
      <c r="U130" s="305">
        <v>0</v>
      </c>
      <c r="V130" s="305">
        <v>0</v>
      </c>
      <c r="W130" s="305">
        <v>0</v>
      </c>
      <c r="X130" s="305">
        <v>0</v>
      </c>
      <c r="Y130" s="305">
        <v>0</v>
      </c>
      <c r="Z130" s="305">
        <v>0</v>
      </c>
      <c r="AA130" s="305">
        <v>0</v>
      </c>
      <c r="AB130" s="305">
        <v>0</v>
      </c>
      <c r="AC130" s="305">
        <v>0</v>
      </c>
      <c r="AD130" s="305">
        <v>0</v>
      </c>
      <c r="AE130" s="305">
        <v>0</v>
      </c>
      <c r="AF130" s="305">
        <v>0</v>
      </c>
      <c r="AG130" s="305">
        <v>0</v>
      </c>
      <c r="AH130" s="305">
        <v>0</v>
      </c>
      <c r="AI130" s="305">
        <v>0</v>
      </c>
      <c r="AJ130" s="305">
        <v>0</v>
      </c>
      <c r="AK130" s="305">
        <v>0</v>
      </c>
    </row>
    <row r="131" spans="1:37">
      <c r="A131" s="304" t="s">
        <v>692</v>
      </c>
      <c r="B131" s="305">
        <v>0</v>
      </c>
      <c r="C131" s="305">
        <v>0</v>
      </c>
      <c r="D131" s="305">
        <v>0</v>
      </c>
      <c r="E131" s="305">
        <v>0</v>
      </c>
      <c r="F131" s="305">
        <v>0</v>
      </c>
      <c r="G131" s="305">
        <v>0</v>
      </c>
      <c r="H131" s="305">
        <v>0</v>
      </c>
      <c r="I131" s="305">
        <v>0</v>
      </c>
      <c r="J131" s="305">
        <v>0</v>
      </c>
      <c r="K131" s="305">
        <v>0</v>
      </c>
      <c r="L131" s="305">
        <v>0</v>
      </c>
      <c r="M131" s="305">
        <v>0</v>
      </c>
      <c r="N131" s="305">
        <v>0</v>
      </c>
      <c r="O131" s="305">
        <v>0</v>
      </c>
      <c r="P131" s="305">
        <v>0</v>
      </c>
      <c r="Q131" s="305">
        <v>0</v>
      </c>
      <c r="R131" s="305">
        <v>0</v>
      </c>
      <c r="S131" s="305">
        <v>0</v>
      </c>
      <c r="T131" s="305">
        <v>0</v>
      </c>
      <c r="U131" s="305">
        <v>108184.85967288</v>
      </c>
      <c r="V131" s="305">
        <v>0</v>
      </c>
      <c r="W131" s="305">
        <v>0</v>
      </c>
      <c r="X131" s="305">
        <v>0</v>
      </c>
      <c r="Y131" s="305">
        <v>0</v>
      </c>
      <c r="Z131" s="305">
        <v>0</v>
      </c>
      <c r="AA131" s="305">
        <v>0</v>
      </c>
      <c r="AB131" s="305">
        <v>0</v>
      </c>
      <c r="AC131" s="305">
        <v>0</v>
      </c>
      <c r="AD131" s="305">
        <v>0</v>
      </c>
      <c r="AE131" s="305">
        <v>0</v>
      </c>
      <c r="AF131" s="305">
        <v>0</v>
      </c>
      <c r="AG131" s="305">
        <v>0</v>
      </c>
      <c r="AH131" s="305">
        <v>0</v>
      </c>
      <c r="AI131" s="305">
        <v>0</v>
      </c>
      <c r="AJ131" s="305">
        <v>0</v>
      </c>
      <c r="AK131" s="305">
        <v>0</v>
      </c>
    </row>
    <row r="132" spans="1:37">
      <c r="A132" s="304" t="s">
        <v>693</v>
      </c>
      <c r="B132" s="305">
        <v>0</v>
      </c>
      <c r="C132" s="305">
        <v>0</v>
      </c>
      <c r="D132" s="305">
        <v>0</v>
      </c>
      <c r="E132" s="305">
        <v>0</v>
      </c>
      <c r="F132" s="305">
        <v>0</v>
      </c>
      <c r="G132" s="305">
        <v>0</v>
      </c>
      <c r="H132" s="305">
        <v>0</v>
      </c>
      <c r="I132" s="305">
        <v>0</v>
      </c>
      <c r="J132" s="305">
        <v>0</v>
      </c>
      <c r="K132" s="305">
        <v>0</v>
      </c>
      <c r="L132" s="305">
        <v>0</v>
      </c>
      <c r="M132" s="305">
        <v>0</v>
      </c>
      <c r="N132" s="305">
        <v>0</v>
      </c>
      <c r="O132" s="305">
        <v>0</v>
      </c>
      <c r="P132" s="305">
        <v>0</v>
      </c>
      <c r="Q132" s="305">
        <v>0</v>
      </c>
      <c r="R132" s="305">
        <v>0</v>
      </c>
      <c r="S132" s="305">
        <v>0</v>
      </c>
      <c r="T132" s="305">
        <v>0</v>
      </c>
      <c r="U132" s="305">
        <v>0</v>
      </c>
      <c r="V132" s="305">
        <v>0</v>
      </c>
      <c r="W132" s="305">
        <v>0</v>
      </c>
      <c r="X132" s="305">
        <v>0</v>
      </c>
      <c r="Y132" s="305">
        <v>25297.051877142199</v>
      </c>
      <c r="Z132" s="305">
        <v>0</v>
      </c>
      <c r="AA132" s="305">
        <v>0</v>
      </c>
      <c r="AB132" s="305">
        <v>0</v>
      </c>
      <c r="AC132" s="305">
        <v>0</v>
      </c>
      <c r="AD132" s="305">
        <v>0</v>
      </c>
      <c r="AE132" s="305">
        <v>0</v>
      </c>
      <c r="AF132" s="305">
        <v>0</v>
      </c>
      <c r="AG132" s="305">
        <v>0</v>
      </c>
      <c r="AH132" s="305">
        <v>0</v>
      </c>
      <c r="AI132" s="305">
        <v>0</v>
      </c>
      <c r="AJ132" s="305">
        <v>0</v>
      </c>
      <c r="AK132" s="305">
        <v>0</v>
      </c>
    </row>
    <row r="133" spans="1:37">
      <c r="A133" s="304" t="s">
        <v>694</v>
      </c>
      <c r="B133" s="305">
        <v>0</v>
      </c>
      <c r="C133" s="305">
        <v>0</v>
      </c>
      <c r="D133" s="305">
        <v>0</v>
      </c>
      <c r="E133" s="305">
        <v>0</v>
      </c>
      <c r="F133" s="305">
        <v>0</v>
      </c>
      <c r="G133" s="305">
        <v>0</v>
      </c>
      <c r="H133" s="305">
        <v>0</v>
      </c>
      <c r="I133" s="305">
        <v>0</v>
      </c>
      <c r="J133" s="305">
        <v>0</v>
      </c>
      <c r="K133" s="305">
        <v>0</v>
      </c>
      <c r="L133" s="305">
        <v>0</v>
      </c>
      <c r="M133" s="305">
        <v>0</v>
      </c>
      <c r="N133" s="305">
        <v>0</v>
      </c>
      <c r="O133" s="305">
        <v>6.7177820097776797</v>
      </c>
      <c r="P133" s="305">
        <v>0</v>
      </c>
      <c r="Q133" s="305">
        <v>0</v>
      </c>
      <c r="R133" s="305">
        <v>0</v>
      </c>
      <c r="S133" s="305">
        <v>0</v>
      </c>
      <c r="T133" s="305">
        <v>0</v>
      </c>
      <c r="U133" s="305">
        <v>0</v>
      </c>
      <c r="V133" s="305">
        <v>0</v>
      </c>
      <c r="W133" s="305">
        <v>0</v>
      </c>
      <c r="X133" s="305">
        <v>0</v>
      </c>
      <c r="Y133" s="305">
        <v>0</v>
      </c>
      <c r="Z133" s="305">
        <v>25297.051877142199</v>
      </c>
      <c r="AA133" s="305">
        <v>0</v>
      </c>
      <c r="AB133" s="305">
        <v>0</v>
      </c>
      <c r="AC133" s="305">
        <v>0</v>
      </c>
      <c r="AD133" s="305">
        <v>0</v>
      </c>
      <c r="AE133" s="305">
        <v>0</v>
      </c>
      <c r="AF133" s="305">
        <v>0</v>
      </c>
      <c r="AG133" s="305">
        <v>0</v>
      </c>
      <c r="AH133" s="305">
        <v>0</v>
      </c>
      <c r="AI133" s="305">
        <v>0</v>
      </c>
      <c r="AJ133" s="305">
        <v>0</v>
      </c>
      <c r="AK133" s="305">
        <v>0</v>
      </c>
    </row>
    <row r="134" spans="1:37">
      <c r="A134" s="304" t="s">
        <v>695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0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25297.051877142199</v>
      </c>
      <c r="AB134" s="305">
        <v>0</v>
      </c>
      <c r="AC134" s="305">
        <v>0</v>
      </c>
      <c r="AD134" s="305">
        <v>0</v>
      </c>
      <c r="AE134" s="305">
        <v>0</v>
      </c>
      <c r="AF134" s="305">
        <v>0</v>
      </c>
      <c r="AG134" s="305">
        <v>0</v>
      </c>
      <c r="AH134" s="305">
        <v>0</v>
      </c>
      <c r="AI134" s="305">
        <v>0</v>
      </c>
      <c r="AJ134" s="305">
        <v>0</v>
      </c>
      <c r="AK134" s="305">
        <v>0</v>
      </c>
    </row>
    <row r="135" spans="1:37">
      <c r="A135" s="304" t="s">
        <v>696</v>
      </c>
      <c r="B135" s="305">
        <v>0</v>
      </c>
      <c r="C135" s="305">
        <v>0</v>
      </c>
      <c r="D135" s="305">
        <v>0</v>
      </c>
      <c r="E135" s="305">
        <v>6682782.3361421302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0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  <c r="AB135" s="305">
        <v>0</v>
      </c>
      <c r="AC135" s="305">
        <v>0</v>
      </c>
      <c r="AD135" s="305">
        <v>0</v>
      </c>
      <c r="AE135" s="305">
        <v>0</v>
      </c>
      <c r="AF135" s="305">
        <v>0</v>
      </c>
      <c r="AG135" s="305">
        <v>0</v>
      </c>
      <c r="AH135" s="305">
        <v>0</v>
      </c>
      <c r="AI135" s="305">
        <v>0</v>
      </c>
      <c r="AJ135" s="305">
        <v>0</v>
      </c>
      <c r="AK135" s="305">
        <v>0</v>
      </c>
    </row>
    <row r="136" spans="1:37">
      <c r="A136" s="304" t="s">
        <v>697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0</v>
      </c>
      <c r="U136" s="305">
        <v>0</v>
      </c>
      <c r="V136" s="305">
        <v>0</v>
      </c>
      <c r="W136" s="305">
        <v>0</v>
      </c>
      <c r="X136" s="305">
        <v>87222.135331413898</v>
      </c>
      <c r="Y136" s="305">
        <v>0</v>
      </c>
      <c r="Z136" s="305">
        <v>0</v>
      </c>
      <c r="AA136" s="305">
        <v>0</v>
      </c>
      <c r="AB136" s="305">
        <v>0</v>
      </c>
      <c r="AC136" s="305">
        <v>7739.25118007116</v>
      </c>
      <c r="AD136" s="305">
        <v>0</v>
      </c>
      <c r="AE136" s="305">
        <v>0</v>
      </c>
      <c r="AF136" s="305">
        <v>0</v>
      </c>
      <c r="AG136" s="305">
        <v>0</v>
      </c>
      <c r="AH136" s="305">
        <v>242016.07607977401</v>
      </c>
      <c r="AI136" s="305">
        <v>0</v>
      </c>
      <c r="AJ136" s="305">
        <v>0</v>
      </c>
      <c r="AK136" s="305">
        <v>0</v>
      </c>
    </row>
    <row r="137" spans="1:37">
      <c r="A137" s="304"/>
      <c r="B137" s="358" t="s">
        <v>699</v>
      </c>
      <c r="C137" s="371"/>
      <c r="D137" s="371"/>
      <c r="E137" s="371"/>
      <c r="F137" s="371"/>
      <c r="G137" s="371"/>
      <c r="H137" s="371"/>
      <c r="I137" s="371"/>
      <c r="J137" s="371"/>
      <c r="K137" s="371"/>
      <c r="L137" s="371"/>
      <c r="M137" s="371"/>
      <c r="N137" s="371"/>
      <c r="O137" s="371"/>
      <c r="P137" s="371"/>
      <c r="Q137" s="371"/>
      <c r="R137" s="371"/>
      <c r="S137" s="371"/>
      <c r="T137" s="371"/>
      <c r="U137" s="371"/>
      <c r="V137" s="371"/>
      <c r="W137" s="371"/>
      <c r="X137" s="371"/>
      <c r="Y137" s="371"/>
      <c r="Z137" s="371"/>
      <c r="AA137" s="371"/>
      <c r="AB137" s="371"/>
      <c r="AC137" s="371"/>
      <c r="AD137" s="371"/>
      <c r="AE137" s="371"/>
      <c r="AF137" s="371"/>
      <c r="AG137" s="371"/>
      <c r="AH137" s="371"/>
      <c r="AI137" s="371"/>
      <c r="AJ137" s="371"/>
      <c r="AK137" s="371"/>
    </row>
    <row r="140" spans="1:37" ht="228">
      <c r="A140" s="303" t="s">
        <v>641</v>
      </c>
      <c r="B140" s="234" t="s">
        <v>642</v>
      </c>
      <c r="C140" s="234" t="s">
        <v>643</v>
      </c>
      <c r="D140" s="234" t="s">
        <v>644</v>
      </c>
      <c r="E140" s="234" t="s">
        <v>645</v>
      </c>
      <c r="F140" s="234" t="s">
        <v>646</v>
      </c>
      <c r="G140" s="234" t="s">
        <v>647</v>
      </c>
      <c r="H140" s="234" t="s">
        <v>648</v>
      </c>
      <c r="I140" s="234" t="s">
        <v>649</v>
      </c>
      <c r="J140" s="234" t="s">
        <v>650</v>
      </c>
      <c r="K140" s="234" t="s">
        <v>651</v>
      </c>
      <c r="L140" s="234" t="s">
        <v>652</v>
      </c>
      <c r="M140" s="234" t="s">
        <v>653</v>
      </c>
      <c r="N140" s="234" t="s">
        <v>654</v>
      </c>
      <c r="O140" s="234" t="s">
        <v>655</v>
      </c>
      <c r="P140" s="234" t="s">
        <v>656</v>
      </c>
      <c r="Q140" s="234" t="s">
        <v>657</v>
      </c>
      <c r="R140" s="234" t="s">
        <v>658</v>
      </c>
      <c r="S140" s="234" t="s">
        <v>659</v>
      </c>
      <c r="T140" s="234" t="s">
        <v>660</v>
      </c>
      <c r="U140" s="234" t="s">
        <v>661</v>
      </c>
      <c r="V140" s="234" t="s">
        <v>662</v>
      </c>
      <c r="W140" s="234" t="s">
        <v>663</v>
      </c>
      <c r="X140" s="234" t="s">
        <v>664</v>
      </c>
      <c r="Y140" s="234" t="s">
        <v>665</v>
      </c>
      <c r="Z140" s="234" t="s">
        <v>666</v>
      </c>
      <c r="AA140" s="234" t="s">
        <v>667</v>
      </c>
      <c r="AB140" s="234" t="s">
        <v>668</v>
      </c>
      <c r="AC140" s="234" t="s">
        <v>669</v>
      </c>
      <c r="AD140" s="234" t="s">
        <v>670</v>
      </c>
      <c r="AE140" s="234" t="s">
        <v>671</v>
      </c>
      <c r="AF140" s="234" t="s">
        <v>672</v>
      </c>
      <c r="AG140" s="234" t="s">
        <v>673</v>
      </c>
      <c r="AH140" s="234" t="s">
        <v>674</v>
      </c>
      <c r="AI140" s="234" t="s">
        <v>675</v>
      </c>
      <c r="AJ140" s="234" t="s">
        <v>676</v>
      </c>
      <c r="AK140" s="234" t="s">
        <v>677</v>
      </c>
    </row>
    <row r="141" spans="1:37">
      <c r="A141" s="304" t="s">
        <v>678</v>
      </c>
      <c r="B141" s="302">
        <v>0</v>
      </c>
      <c r="C141" s="302">
        <v>0</v>
      </c>
      <c r="D141" s="302">
        <v>0</v>
      </c>
      <c r="E141" s="302">
        <v>0</v>
      </c>
      <c r="F141" s="302">
        <v>0</v>
      </c>
      <c r="G141" s="302">
        <v>0</v>
      </c>
      <c r="H141" s="302">
        <v>0</v>
      </c>
      <c r="I141" s="302">
        <v>0</v>
      </c>
      <c r="J141" s="302">
        <v>0</v>
      </c>
      <c r="K141" s="302">
        <v>0</v>
      </c>
      <c r="L141" s="302">
        <v>0</v>
      </c>
      <c r="M141" s="302">
        <v>0</v>
      </c>
      <c r="N141" s="302">
        <v>0</v>
      </c>
      <c r="O141" s="302">
        <v>0</v>
      </c>
      <c r="P141" s="302">
        <v>0</v>
      </c>
      <c r="Q141" s="302">
        <v>0</v>
      </c>
      <c r="R141" s="302">
        <v>0</v>
      </c>
      <c r="S141" s="302">
        <v>0</v>
      </c>
      <c r="T141" s="302">
        <v>0</v>
      </c>
      <c r="U141" s="302">
        <v>0</v>
      </c>
      <c r="V141" s="302">
        <v>108184.85967288</v>
      </c>
      <c r="W141" s="302">
        <v>0</v>
      </c>
      <c r="X141" s="302">
        <v>0</v>
      </c>
      <c r="Y141" s="302">
        <v>0</v>
      </c>
      <c r="Z141" s="302">
        <v>0</v>
      </c>
      <c r="AA141" s="302">
        <v>0</v>
      </c>
      <c r="AB141" s="302">
        <v>0</v>
      </c>
      <c r="AC141" s="302">
        <v>0</v>
      </c>
      <c r="AD141" s="302">
        <v>0</v>
      </c>
      <c r="AE141" s="302">
        <v>0</v>
      </c>
      <c r="AF141" s="302">
        <v>0</v>
      </c>
      <c r="AG141" s="302">
        <v>0</v>
      </c>
      <c r="AH141" s="302">
        <v>0</v>
      </c>
      <c r="AI141" s="302">
        <v>0</v>
      </c>
      <c r="AJ141" s="302">
        <v>0</v>
      </c>
      <c r="AK141" s="302">
        <v>0</v>
      </c>
    </row>
    <row r="142" spans="1:37">
      <c r="A142" s="304" t="s">
        <v>679</v>
      </c>
      <c r="B142" s="302">
        <v>0</v>
      </c>
      <c r="C142" s="302">
        <v>0</v>
      </c>
      <c r="D142" s="302">
        <v>0</v>
      </c>
      <c r="E142" s="302">
        <v>0</v>
      </c>
      <c r="F142" s="302">
        <v>0</v>
      </c>
      <c r="G142" s="302">
        <v>0</v>
      </c>
      <c r="H142" s="302">
        <v>0</v>
      </c>
      <c r="I142" s="302">
        <v>0</v>
      </c>
      <c r="J142" s="302">
        <v>0</v>
      </c>
      <c r="K142" s="302">
        <v>0</v>
      </c>
      <c r="L142" s="302">
        <v>0</v>
      </c>
      <c r="M142" s="302">
        <v>0</v>
      </c>
      <c r="N142" s="302">
        <v>0</v>
      </c>
      <c r="O142" s="302">
        <v>0</v>
      </c>
      <c r="P142" s="302">
        <v>0</v>
      </c>
      <c r="Q142" s="302">
        <v>0</v>
      </c>
      <c r="R142" s="302">
        <v>0</v>
      </c>
      <c r="S142" s="302">
        <v>0</v>
      </c>
      <c r="T142" s="302">
        <v>0</v>
      </c>
      <c r="U142" s="302">
        <v>0</v>
      </c>
      <c r="V142" s="302">
        <v>0</v>
      </c>
      <c r="W142" s="302">
        <v>0</v>
      </c>
      <c r="X142" s="302">
        <v>0</v>
      </c>
      <c r="Y142" s="302">
        <v>0</v>
      </c>
      <c r="Z142" s="302">
        <v>0</v>
      </c>
      <c r="AA142" s="302">
        <v>0</v>
      </c>
      <c r="AB142" s="302">
        <v>25297.051877142199</v>
      </c>
      <c r="AC142" s="302">
        <v>0</v>
      </c>
      <c r="AD142" s="302">
        <v>0</v>
      </c>
      <c r="AE142" s="302">
        <v>0</v>
      </c>
      <c r="AF142" s="302">
        <v>0</v>
      </c>
      <c r="AG142" s="302">
        <v>0</v>
      </c>
      <c r="AH142" s="302">
        <v>0</v>
      </c>
      <c r="AI142" s="302">
        <v>0</v>
      </c>
      <c r="AJ142" s="302">
        <v>0</v>
      </c>
      <c r="AK142" s="302">
        <v>0</v>
      </c>
    </row>
    <row r="143" spans="1:37">
      <c r="A143" s="304" t="s">
        <v>680</v>
      </c>
      <c r="B143" s="302">
        <v>0</v>
      </c>
      <c r="C143" s="302">
        <v>0</v>
      </c>
      <c r="D143" s="302">
        <v>0</v>
      </c>
      <c r="E143" s="302">
        <v>0</v>
      </c>
      <c r="F143" s="302">
        <v>0</v>
      </c>
      <c r="G143" s="302">
        <v>0</v>
      </c>
      <c r="H143" s="302">
        <v>0</v>
      </c>
      <c r="I143" s="302">
        <v>8850991.3601140399</v>
      </c>
      <c r="J143" s="302">
        <v>0</v>
      </c>
      <c r="K143" s="302">
        <v>0</v>
      </c>
      <c r="L143" s="302">
        <v>0</v>
      </c>
      <c r="M143" s="302">
        <v>0</v>
      </c>
      <c r="N143" s="302">
        <v>0</v>
      </c>
      <c r="O143" s="302">
        <v>0</v>
      </c>
      <c r="P143" s="302">
        <v>0</v>
      </c>
      <c r="Q143" s="302">
        <v>0</v>
      </c>
      <c r="R143" s="302">
        <v>0</v>
      </c>
      <c r="S143" s="302">
        <v>0</v>
      </c>
      <c r="T143" s="302">
        <v>0</v>
      </c>
      <c r="U143" s="302">
        <v>0</v>
      </c>
      <c r="V143" s="302">
        <v>0</v>
      </c>
      <c r="W143" s="302">
        <v>0</v>
      </c>
      <c r="X143" s="302">
        <v>0</v>
      </c>
      <c r="Y143" s="302">
        <v>0</v>
      </c>
      <c r="Z143" s="302">
        <v>0</v>
      </c>
      <c r="AA143" s="302">
        <v>0</v>
      </c>
      <c r="AB143" s="302">
        <v>0</v>
      </c>
      <c r="AC143" s="302">
        <v>0</v>
      </c>
      <c r="AD143" s="302">
        <v>0</v>
      </c>
      <c r="AE143" s="302">
        <v>0</v>
      </c>
      <c r="AF143" s="302">
        <v>0</v>
      </c>
      <c r="AG143" s="302">
        <v>0</v>
      </c>
      <c r="AH143" s="302">
        <v>0</v>
      </c>
      <c r="AI143" s="302">
        <v>0</v>
      </c>
      <c r="AJ143" s="302">
        <v>0</v>
      </c>
      <c r="AK143" s="302">
        <v>0</v>
      </c>
    </row>
    <row r="144" spans="1:37">
      <c r="A144" s="304" t="s">
        <v>681</v>
      </c>
      <c r="B144" s="302">
        <v>0</v>
      </c>
      <c r="C144" s="302">
        <v>0</v>
      </c>
      <c r="D144" s="302">
        <v>0</v>
      </c>
      <c r="E144" s="302">
        <v>0</v>
      </c>
      <c r="F144" s="302">
        <v>0</v>
      </c>
      <c r="G144" s="302">
        <v>0</v>
      </c>
      <c r="H144" s="302">
        <v>0</v>
      </c>
      <c r="I144" s="302">
        <v>0</v>
      </c>
      <c r="J144" s="302">
        <v>0</v>
      </c>
      <c r="K144" s="302">
        <v>29146.460466184501</v>
      </c>
      <c r="L144" s="302">
        <v>0</v>
      </c>
      <c r="M144" s="302">
        <v>0</v>
      </c>
      <c r="N144" s="302">
        <v>0</v>
      </c>
      <c r="O144" s="302">
        <v>0</v>
      </c>
      <c r="P144" s="302">
        <v>0</v>
      </c>
      <c r="Q144" s="302">
        <v>0</v>
      </c>
      <c r="R144" s="302">
        <v>0</v>
      </c>
      <c r="S144" s="302">
        <v>0</v>
      </c>
      <c r="T144" s="302">
        <v>0</v>
      </c>
      <c r="U144" s="302">
        <v>0</v>
      </c>
      <c r="V144" s="302">
        <v>0</v>
      </c>
      <c r="W144" s="302">
        <v>0</v>
      </c>
      <c r="X144" s="302">
        <v>0</v>
      </c>
      <c r="Y144" s="302">
        <v>0</v>
      </c>
      <c r="Z144" s="302">
        <v>0</v>
      </c>
      <c r="AA144" s="302">
        <v>0</v>
      </c>
      <c r="AB144" s="302">
        <v>0</v>
      </c>
      <c r="AC144" s="302">
        <v>0</v>
      </c>
      <c r="AD144" s="302">
        <v>0</v>
      </c>
      <c r="AE144" s="302">
        <v>0</v>
      </c>
      <c r="AF144" s="302">
        <v>0</v>
      </c>
      <c r="AG144" s="302">
        <v>0</v>
      </c>
      <c r="AH144" s="302">
        <v>0</v>
      </c>
      <c r="AI144" s="302">
        <v>0</v>
      </c>
      <c r="AJ144" s="302">
        <v>0</v>
      </c>
      <c r="AK144" s="302">
        <v>0</v>
      </c>
    </row>
    <row r="145" spans="1:37">
      <c r="A145" s="304"/>
      <c r="B145" s="358" t="s">
        <v>682</v>
      </c>
      <c r="C145" s="371"/>
      <c r="D145" s="371"/>
      <c r="E145" s="371"/>
      <c r="F145" s="371"/>
      <c r="G145" s="371"/>
      <c r="H145" s="371"/>
      <c r="I145" s="371"/>
      <c r="J145" s="371"/>
      <c r="K145" s="371"/>
      <c r="L145" s="371"/>
      <c r="M145" s="371"/>
      <c r="N145" s="371"/>
      <c r="O145" s="371"/>
      <c r="P145" s="371"/>
      <c r="Q145" s="371"/>
      <c r="R145" s="371"/>
      <c r="S145" s="371"/>
      <c r="T145" s="371"/>
      <c r="U145" s="371"/>
      <c r="V145" s="371"/>
      <c r="W145" s="371"/>
      <c r="X145" s="371"/>
      <c r="Y145" s="371"/>
      <c r="Z145" s="371"/>
      <c r="AA145" s="371"/>
      <c r="AB145" s="371"/>
      <c r="AC145" s="371"/>
      <c r="AD145" s="371"/>
      <c r="AE145" s="371"/>
      <c r="AF145" s="371"/>
      <c r="AG145" s="371"/>
      <c r="AH145" s="371"/>
      <c r="AI145" s="371"/>
      <c r="AJ145" s="371"/>
      <c r="AK145" s="371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I172"/>
  <sheetViews>
    <sheetView workbookViewId="0"/>
  </sheetViews>
  <sheetFormatPr defaultColWidth="11.5546875" defaultRowHeight="14.4"/>
  <cols>
    <col min="2" max="27" width="7.6640625" customWidth="1"/>
    <col min="31" max="70" width="7.6640625" customWidth="1"/>
    <col min="74" max="113" width="7.6640625" customWidth="1"/>
  </cols>
  <sheetData>
    <row r="1" spans="1:113" ht="179.4">
      <c r="A1" s="303" t="s">
        <v>641</v>
      </c>
      <c r="B1" s="234" t="s">
        <v>706</v>
      </c>
      <c r="AD1" s="303" t="s">
        <v>641</v>
      </c>
      <c r="AE1" s="234" t="s">
        <v>708</v>
      </c>
      <c r="AF1" s="234" t="s">
        <v>749</v>
      </c>
      <c r="AG1" s="234" t="s">
        <v>750</v>
      </c>
      <c r="AH1" s="234" t="s">
        <v>709</v>
      </c>
      <c r="AI1" s="234" t="s">
        <v>710</v>
      </c>
      <c r="AJ1" s="234" t="s">
        <v>711</v>
      </c>
      <c r="AK1" s="234" t="s">
        <v>656</v>
      </c>
      <c r="AL1" s="234" t="s">
        <v>657</v>
      </c>
      <c r="AM1" s="234" t="s">
        <v>751</v>
      </c>
      <c r="AN1" s="234" t="s">
        <v>658</v>
      </c>
      <c r="AO1" s="234" t="s">
        <v>712</v>
      </c>
      <c r="AP1" s="234" t="s">
        <v>713</v>
      </c>
      <c r="AQ1" s="234" t="s">
        <v>752</v>
      </c>
      <c r="AR1" s="234" t="s">
        <v>753</v>
      </c>
      <c r="AS1" s="234" t="s">
        <v>754</v>
      </c>
      <c r="AT1" s="234" t="s">
        <v>755</v>
      </c>
      <c r="AU1" s="234" t="s">
        <v>756</v>
      </c>
      <c r="AV1" s="234" t="s">
        <v>757</v>
      </c>
      <c r="AW1" s="234" t="s">
        <v>670</v>
      </c>
      <c r="AX1" s="234" t="s">
        <v>671</v>
      </c>
      <c r="AY1" s="234" t="s">
        <v>714</v>
      </c>
      <c r="AZ1" s="234" t="s">
        <v>758</v>
      </c>
      <c r="BA1" s="234" t="s">
        <v>715</v>
      </c>
      <c r="BB1" s="234" t="s">
        <v>716</v>
      </c>
      <c r="BC1" s="234" t="s">
        <v>717</v>
      </c>
      <c r="BD1" s="234" t="s">
        <v>718</v>
      </c>
      <c r="BE1" s="234" t="s">
        <v>759</v>
      </c>
      <c r="BF1" s="234" t="s">
        <v>760</v>
      </c>
      <c r="BG1" s="234" t="s">
        <v>761</v>
      </c>
      <c r="BH1" s="234" t="s">
        <v>719</v>
      </c>
      <c r="BI1" s="234" t="s">
        <v>720</v>
      </c>
      <c r="BJ1" s="234" t="s">
        <v>721</v>
      </c>
      <c r="BK1" s="234" t="s">
        <v>722</v>
      </c>
      <c r="BL1" s="234" t="s">
        <v>723</v>
      </c>
      <c r="BM1" s="234" t="s">
        <v>724</v>
      </c>
      <c r="BN1" s="234" t="s">
        <v>725</v>
      </c>
      <c r="BO1" s="234" t="s">
        <v>726</v>
      </c>
      <c r="BP1" s="234" t="s">
        <v>762</v>
      </c>
      <c r="BQ1" s="234" t="s">
        <v>727</v>
      </c>
      <c r="BR1" s="234" t="s">
        <v>728</v>
      </c>
      <c r="BU1" s="303" t="s">
        <v>641</v>
      </c>
      <c r="BV1" s="234" t="s">
        <v>708</v>
      </c>
      <c r="BW1" s="234" t="s">
        <v>749</v>
      </c>
      <c r="BX1" s="234" t="s">
        <v>750</v>
      </c>
      <c r="BY1" s="234" t="s">
        <v>709</v>
      </c>
      <c r="BZ1" s="234" t="s">
        <v>710</v>
      </c>
      <c r="CA1" s="234" t="s">
        <v>711</v>
      </c>
      <c r="CB1" s="234" t="s">
        <v>656</v>
      </c>
      <c r="CC1" s="234" t="s">
        <v>657</v>
      </c>
      <c r="CD1" s="234" t="s">
        <v>751</v>
      </c>
      <c r="CE1" s="234" t="s">
        <v>658</v>
      </c>
      <c r="CF1" s="234" t="s">
        <v>712</v>
      </c>
      <c r="CG1" s="234" t="s">
        <v>713</v>
      </c>
      <c r="CH1" s="234" t="s">
        <v>752</v>
      </c>
      <c r="CI1" s="234" t="s">
        <v>753</v>
      </c>
      <c r="CJ1" s="234" t="s">
        <v>754</v>
      </c>
      <c r="CK1" s="234" t="s">
        <v>755</v>
      </c>
      <c r="CL1" s="234" t="s">
        <v>756</v>
      </c>
      <c r="CM1" s="234" t="s">
        <v>757</v>
      </c>
      <c r="CN1" s="234" t="s">
        <v>670</v>
      </c>
      <c r="CO1" s="234" t="s">
        <v>671</v>
      </c>
      <c r="CP1" s="234" t="s">
        <v>714</v>
      </c>
      <c r="CQ1" s="234" t="s">
        <v>758</v>
      </c>
      <c r="CR1" s="234" t="s">
        <v>715</v>
      </c>
      <c r="CS1" s="234" t="s">
        <v>716</v>
      </c>
      <c r="CT1" s="234" t="s">
        <v>717</v>
      </c>
      <c r="CU1" s="234" t="s">
        <v>718</v>
      </c>
      <c r="CV1" s="234" t="s">
        <v>759</v>
      </c>
      <c r="CW1" s="234" t="s">
        <v>760</v>
      </c>
      <c r="CX1" s="234" t="s">
        <v>761</v>
      </c>
      <c r="CY1" s="234" t="s">
        <v>719</v>
      </c>
      <c r="CZ1" s="234" t="s">
        <v>720</v>
      </c>
      <c r="DA1" s="234" t="s">
        <v>721</v>
      </c>
      <c r="DB1" s="234" t="s">
        <v>722</v>
      </c>
      <c r="DC1" s="234" t="s">
        <v>723</v>
      </c>
      <c r="DD1" s="234" t="s">
        <v>724</v>
      </c>
      <c r="DE1" s="234" t="s">
        <v>725</v>
      </c>
      <c r="DF1" s="234" t="s">
        <v>726</v>
      </c>
      <c r="DG1" s="234" t="s">
        <v>762</v>
      </c>
      <c r="DH1" s="234" t="s">
        <v>727</v>
      </c>
      <c r="DI1" s="234" t="s">
        <v>728</v>
      </c>
    </row>
    <row r="2" spans="1:113">
      <c r="A2" s="304" t="s">
        <v>763</v>
      </c>
      <c r="B2" s="306">
        <v>1</v>
      </c>
      <c r="AD2" s="304" t="s">
        <v>708</v>
      </c>
      <c r="AE2" s="306">
        <v>0</v>
      </c>
      <c r="AF2" s="306">
        <v>0</v>
      </c>
      <c r="AG2" s="306">
        <v>0</v>
      </c>
      <c r="AH2" s="306">
        <v>0</v>
      </c>
      <c r="AI2" s="306">
        <v>0</v>
      </c>
      <c r="AJ2" s="306">
        <v>0</v>
      </c>
      <c r="AK2" s="306">
        <v>0</v>
      </c>
      <c r="AL2" s="306">
        <v>0</v>
      </c>
      <c r="AM2" s="306">
        <v>0</v>
      </c>
      <c r="AN2" s="306">
        <v>0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D2" s="306">
        <v>0</v>
      </c>
      <c r="BE2" s="306">
        <v>0</v>
      </c>
      <c r="BF2" s="306">
        <v>0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U2" s="304" t="s">
        <v>708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M2" s="306">
        <v>0</v>
      </c>
      <c r="CN2" s="306">
        <v>0</v>
      </c>
      <c r="CO2" s="306">
        <v>0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</row>
    <row r="3" spans="1:113">
      <c r="A3" s="304" t="s">
        <v>708</v>
      </c>
      <c r="B3" s="306">
        <v>1</v>
      </c>
      <c r="AD3" s="304" t="s">
        <v>749</v>
      </c>
      <c r="AE3" s="306">
        <v>0</v>
      </c>
      <c r="AF3" s="306">
        <v>0</v>
      </c>
      <c r="AG3" s="306">
        <v>0</v>
      </c>
      <c r="AH3" s="306">
        <v>0</v>
      </c>
      <c r="AI3" s="306">
        <v>0</v>
      </c>
      <c r="AJ3" s="306">
        <v>0</v>
      </c>
      <c r="AK3" s="306">
        <v>0</v>
      </c>
      <c r="AL3" s="306">
        <v>0</v>
      </c>
      <c r="AM3" s="306">
        <v>0</v>
      </c>
      <c r="AN3" s="306">
        <v>0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D3" s="306">
        <v>0</v>
      </c>
      <c r="BE3" s="306">
        <v>0</v>
      </c>
      <c r="BF3" s="306">
        <v>0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U3" s="304" t="s">
        <v>749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M3" s="306">
        <v>0</v>
      </c>
      <c r="CN3" s="306">
        <v>0</v>
      </c>
      <c r="CO3" s="306">
        <v>0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</row>
    <row r="4" spans="1:113">
      <c r="A4" s="304" t="s">
        <v>764</v>
      </c>
      <c r="B4" s="306">
        <v>1</v>
      </c>
      <c r="AD4" s="304" t="s">
        <v>750</v>
      </c>
      <c r="AE4" s="306">
        <v>0</v>
      </c>
      <c r="AF4" s="306">
        <v>0</v>
      </c>
      <c r="AG4" s="306">
        <v>0</v>
      </c>
      <c r="AH4" s="306">
        <v>0</v>
      </c>
      <c r="AI4" s="306">
        <v>0</v>
      </c>
      <c r="AJ4" s="306">
        <v>0</v>
      </c>
      <c r="AK4" s="306">
        <v>0</v>
      </c>
      <c r="AL4" s="306">
        <v>0</v>
      </c>
      <c r="AM4" s="306">
        <v>0</v>
      </c>
      <c r="AN4" s="306">
        <v>0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D4" s="306">
        <v>0</v>
      </c>
      <c r="BE4" s="306">
        <v>0</v>
      </c>
      <c r="BF4" s="306">
        <v>0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U4" s="304" t="s">
        <v>750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M4" s="306">
        <v>0</v>
      </c>
      <c r="CN4" s="306">
        <v>0</v>
      </c>
      <c r="CO4" s="306">
        <v>0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</row>
    <row r="5" spans="1:113">
      <c r="A5" s="304" t="s">
        <v>765</v>
      </c>
      <c r="B5" s="306">
        <v>1</v>
      </c>
      <c r="AD5" s="304" t="s">
        <v>709</v>
      </c>
      <c r="AE5" s="306">
        <v>0</v>
      </c>
      <c r="AF5" s="306">
        <v>0</v>
      </c>
      <c r="AG5" s="306">
        <v>0</v>
      </c>
      <c r="AH5" s="306">
        <v>0</v>
      </c>
      <c r="AI5" s="306">
        <v>0</v>
      </c>
      <c r="AJ5" s="306">
        <v>0</v>
      </c>
      <c r="AK5" s="306">
        <v>0</v>
      </c>
      <c r="AL5" s="306">
        <v>0</v>
      </c>
      <c r="AM5" s="306">
        <v>0</v>
      </c>
      <c r="AN5" s="306">
        <v>0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D5" s="306">
        <v>0</v>
      </c>
      <c r="BE5" s="306">
        <v>0</v>
      </c>
      <c r="BF5" s="306">
        <v>0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U5" s="304" t="s">
        <v>709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M5" s="306">
        <v>0</v>
      </c>
      <c r="CN5" s="306">
        <v>0</v>
      </c>
      <c r="CO5" s="306">
        <v>0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</row>
    <row r="6" spans="1:113">
      <c r="A6" s="304" t="s">
        <v>766</v>
      </c>
      <c r="B6" s="306">
        <v>1</v>
      </c>
      <c r="AD6" s="304" t="s">
        <v>710</v>
      </c>
      <c r="AE6" s="306">
        <v>0</v>
      </c>
      <c r="AF6" s="306">
        <v>0</v>
      </c>
      <c r="AG6" s="306">
        <v>0</v>
      </c>
      <c r="AH6" s="306">
        <v>0</v>
      </c>
      <c r="AI6" s="306">
        <v>0</v>
      </c>
      <c r="AJ6" s="306">
        <v>0</v>
      </c>
      <c r="AK6" s="306">
        <v>0</v>
      </c>
      <c r="AL6" s="306">
        <v>0</v>
      </c>
      <c r="AM6" s="306">
        <v>0</v>
      </c>
      <c r="AN6" s="306">
        <v>0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D6" s="306">
        <v>0</v>
      </c>
      <c r="BE6" s="306">
        <v>0</v>
      </c>
      <c r="BF6" s="306">
        <v>0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U6" s="304" t="s">
        <v>710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M6" s="306">
        <v>0</v>
      </c>
      <c r="CN6" s="306">
        <v>0</v>
      </c>
      <c r="CO6" s="306">
        <v>0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</row>
    <row r="7" spans="1:113">
      <c r="A7" s="304" t="s">
        <v>767</v>
      </c>
      <c r="B7" s="306">
        <v>1</v>
      </c>
      <c r="AD7" s="304" t="s">
        <v>711</v>
      </c>
      <c r="AE7" s="306">
        <v>0</v>
      </c>
      <c r="AF7" s="306">
        <v>0</v>
      </c>
      <c r="AG7" s="306">
        <v>0</v>
      </c>
      <c r="AH7" s="306">
        <v>0</v>
      </c>
      <c r="AI7" s="306">
        <v>0</v>
      </c>
      <c r="AJ7" s="306">
        <v>0</v>
      </c>
      <c r="AK7" s="306">
        <v>0</v>
      </c>
      <c r="AL7" s="306">
        <v>0</v>
      </c>
      <c r="AM7" s="306">
        <v>0</v>
      </c>
      <c r="AN7" s="306">
        <v>0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D7" s="306">
        <v>0</v>
      </c>
      <c r="BE7" s="306">
        <v>0</v>
      </c>
      <c r="BF7" s="306">
        <v>0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U7" s="304" t="s">
        <v>711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M7" s="306">
        <v>0</v>
      </c>
      <c r="CN7" s="306">
        <v>0</v>
      </c>
      <c r="CO7" s="306">
        <v>0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</row>
    <row r="8" spans="1:113">
      <c r="A8" s="304" t="s">
        <v>749</v>
      </c>
      <c r="B8" s="306">
        <v>0</v>
      </c>
      <c r="AD8" s="304" t="s">
        <v>656</v>
      </c>
      <c r="AE8" s="306">
        <v>0</v>
      </c>
      <c r="AF8" s="306">
        <v>0</v>
      </c>
      <c r="AG8" s="306">
        <v>5820.7321553561396</v>
      </c>
      <c r="AH8" s="306">
        <v>0</v>
      </c>
      <c r="AI8" s="306">
        <v>0</v>
      </c>
      <c r="AJ8" s="306">
        <v>0</v>
      </c>
      <c r="AK8" s="306">
        <v>0</v>
      </c>
      <c r="AL8" s="306">
        <v>0</v>
      </c>
      <c r="AM8" s="306">
        <v>0</v>
      </c>
      <c r="AN8" s="306">
        <v>0</v>
      </c>
      <c r="AO8" s="306">
        <v>0</v>
      </c>
      <c r="AP8" s="306">
        <v>0</v>
      </c>
      <c r="AQ8" s="306">
        <v>67354.020465940004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D8" s="306">
        <v>0</v>
      </c>
      <c r="BE8" s="306">
        <v>0</v>
      </c>
      <c r="BF8" s="306">
        <v>0</v>
      </c>
      <c r="BG8" s="306">
        <v>3155.63573488975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U8" s="304" t="s">
        <v>656</v>
      </c>
      <c r="BV8" s="306">
        <v>0</v>
      </c>
      <c r="BW8" s="306">
        <v>0</v>
      </c>
      <c r="BX8" s="306">
        <v>1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1</v>
      </c>
      <c r="CI8" s="306">
        <v>0</v>
      </c>
      <c r="CJ8" s="306">
        <v>0</v>
      </c>
      <c r="CK8" s="306">
        <v>0</v>
      </c>
      <c r="CL8" s="306">
        <v>0</v>
      </c>
      <c r="CM8" s="306">
        <v>0</v>
      </c>
      <c r="CN8" s="306">
        <v>0</v>
      </c>
      <c r="CO8" s="306">
        <v>0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1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</row>
    <row r="9" spans="1:113">
      <c r="A9" s="304" t="s">
        <v>750</v>
      </c>
      <c r="B9" s="306">
        <v>0</v>
      </c>
      <c r="AD9" s="304" t="s">
        <v>657</v>
      </c>
      <c r="AE9" s="306">
        <v>0</v>
      </c>
      <c r="AF9" s="306">
        <v>0</v>
      </c>
      <c r="AG9" s="306">
        <v>0</v>
      </c>
      <c r="AH9" s="306">
        <v>0</v>
      </c>
      <c r="AI9" s="306">
        <v>0</v>
      </c>
      <c r="AJ9" s="306">
        <v>0</v>
      </c>
      <c r="AK9" s="306">
        <v>0</v>
      </c>
      <c r="AL9" s="306">
        <v>0</v>
      </c>
      <c r="AM9" s="306">
        <v>0</v>
      </c>
      <c r="AN9" s="306">
        <v>0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D9" s="306">
        <v>0</v>
      </c>
      <c r="BE9" s="306">
        <v>0</v>
      </c>
      <c r="BF9" s="306">
        <v>0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U9" s="304" t="s">
        <v>657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M9" s="306">
        <v>0</v>
      </c>
      <c r="CN9" s="306">
        <v>0</v>
      </c>
      <c r="CO9" s="306">
        <v>0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</row>
    <row r="10" spans="1:113">
      <c r="A10" s="304" t="s">
        <v>768</v>
      </c>
      <c r="B10" s="306">
        <v>1</v>
      </c>
      <c r="AD10" s="304" t="s">
        <v>751</v>
      </c>
      <c r="AE10" s="306">
        <v>0</v>
      </c>
      <c r="AF10" s="306">
        <v>0</v>
      </c>
      <c r="AG10" s="306">
        <v>0</v>
      </c>
      <c r="AH10" s="306">
        <v>0</v>
      </c>
      <c r="AI10" s="306">
        <v>0</v>
      </c>
      <c r="AJ10" s="306">
        <v>0</v>
      </c>
      <c r="AK10" s="306">
        <v>0</v>
      </c>
      <c r="AL10" s="306">
        <v>0</v>
      </c>
      <c r="AM10" s="306">
        <v>0</v>
      </c>
      <c r="AN10" s="306">
        <v>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D10" s="306">
        <v>0</v>
      </c>
      <c r="BE10" s="306">
        <v>0</v>
      </c>
      <c r="BF10" s="306">
        <v>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U10" s="304" t="s">
        <v>751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M10" s="306">
        <v>0</v>
      </c>
      <c r="CN10" s="306">
        <v>0</v>
      </c>
      <c r="CO10" s="306">
        <v>0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</row>
    <row r="11" spans="1:113">
      <c r="A11" s="304" t="s">
        <v>769</v>
      </c>
      <c r="B11" s="306">
        <v>1</v>
      </c>
      <c r="AD11" s="304" t="s">
        <v>658</v>
      </c>
      <c r="AE11" s="306">
        <v>0</v>
      </c>
      <c r="AF11" s="306">
        <v>0</v>
      </c>
      <c r="AG11" s="306">
        <v>0</v>
      </c>
      <c r="AH11" s="306">
        <v>0</v>
      </c>
      <c r="AI11" s="306">
        <v>0</v>
      </c>
      <c r="AJ11" s="306">
        <v>0</v>
      </c>
      <c r="AK11" s="306">
        <v>0</v>
      </c>
      <c r="AL11" s="306">
        <v>0</v>
      </c>
      <c r="AM11" s="306">
        <v>0</v>
      </c>
      <c r="AN11" s="306">
        <v>0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D11" s="306">
        <v>0</v>
      </c>
      <c r="BE11" s="306">
        <v>0</v>
      </c>
      <c r="BF11" s="306">
        <v>0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U11" s="304" t="s">
        <v>658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M11" s="306">
        <v>0</v>
      </c>
      <c r="CN11" s="306">
        <v>0</v>
      </c>
      <c r="CO11" s="306">
        <v>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</row>
    <row r="12" spans="1:113">
      <c r="A12" s="304" t="s">
        <v>770</v>
      </c>
      <c r="B12" s="306">
        <v>1</v>
      </c>
      <c r="AD12" s="304" t="s">
        <v>712</v>
      </c>
      <c r="AE12" s="306">
        <v>0</v>
      </c>
      <c r="AF12" s="306">
        <v>0</v>
      </c>
      <c r="AG12" s="306">
        <v>0</v>
      </c>
      <c r="AH12" s="306">
        <v>0</v>
      </c>
      <c r="AI12" s="306">
        <v>0</v>
      </c>
      <c r="AJ12" s="306">
        <v>0</v>
      </c>
      <c r="AK12" s="306">
        <v>0</v>
      </c>
      <c r="AL12" s="306">
        <v>0</v>
      </c>
      <c r="AM12" s="306">
        <v>0</v>
      </c>
      <c r="AN12" s="306">
        <v>0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D12" s="306">
        <v>0</v>
      </c>
      <c r="BE12" s="306">
        <v>0</v>
      </c>
      <c r="BF12" s="306">
        <v>0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U12" s="304" t="s">
        <v>712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M12" s="306">
        <v>0</v>
      </c>
      <c r="CN12" s="306">
        <v>0</v>
      </c>
      <c r="CO12" s="306">
        <v>0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</row>
    <row r="13" spans="1:113">
      <c r="A13" s="304" t="s">
        <v>709</v>
      </c>
      <c r="B13" s="306">
        <v>1</v>
      </c>
      <c r="AD13" s="304" t="s">
        <v>713</v>
      </c>
      <c r="AE13" s="306">
        <v>0</v>
      </c>
      <c r="AF13" s="306">
        <v>0</v>
      </c>
      <c r="AG13" s="306">
        <v>0</v>
      </c>
      <c r="AH13" s="306">
        <v>0</v>
      </c>
      <c r="AI13" s="306">
        <v>0</v>
      </c>
      <c r="AJ13" s="306">
        <v>0</v>
      </c>
      <c r="AK13" s="306">
        <v>0</v>
      </c>
      <c r="AL13" s="306">
        <v>0</v>
      </c>
      <c r="AM13" s="306">
        <v>0</v>
      </c>
      <c r="AN13" s="306">
        <v>0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D13" s="306">
        <v>0</v>
      </c>
      <c r="BE13" s="306">
        <v>0</v>
      </c>
      <c r="BF13" s="306">
        <v>0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U13" s="304" t="s">
        <v>713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M13" s="306">
        <v>0</v>
      </c>
      <c r="CN13" s="306">
        <v>0</v>
      </c>
      <c r="CO13" s="306">
        <v>0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</row>
    <row r="14" spans="1:113">
      <c r="A14" s="304" t="s">
        <v>710</v>
      </c>
      <c r="B14" s="306">
        <v>1</v>
      </c>
      <c r="AD14" s="304" t="s">
        <v>752</v>
      </c>
      <c r="AE14" s="306">
        <v>0</v>
      </c>
      <c r="AF14" s="306">
        <v>0</v>
      </c>
      <c r="AG14" s="306">
        <v>0</v>
      </c>
      <c r="AH14" s="306">
        <v>0</v>
      </c>
      <c r="AI14" s="306">
        <v>0</v>
      </c>
      <c r="AJ14" s="306">
        <v>0</v>
      </c>
      <c r="AK14" s="306">
        <v>0</v>
      </c>
      <c r="AL14" s="306">
        <v>0</v>
      </c>
      <c r="AM14" s="306">
        <v>0</v>
      </c>
      <c r="AN14" s="306">
        <v>0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D14" s="306">
        <v>0</v>
      </c>
      <c r="BE14" s="306">
        <v>0</v>
      </c>
      <c r="BF14" s="306">
        <v>0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U14" s="304" t="s">
        <v>752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M14" s="306">
        <v>0</v>
      </c>
      <c r="CN14" s="306">
        <v>0</v>
      </c>
      <c r="CO14" s="306">
        <v>0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</row>
    <row r="15" spans="1:113">
      <c r="A15" s="304" t="s">
        <v>711</v>
      </c>
      <c r="B15" s="306">
        <v>1</v>
      </c>
      <c r="AD15" s="304" t="s">
        <v>753</v>
      </c>
      <c r="AE15" s="306">
        <v>0</v>
      </c>
      <c r="AF15" s="306">
        <v>0</v>
      </c>
      <c r="AG15" s="306">
        <v>0</v>
      </c>
      <c r="AH15" s="306">
        <v>0</v>
      </c>
      <c r="AI15" s="306">
        <v>0</v>
      </c>
      <c r="AJ15" s="306">
        <v>0</v>
      </c>
      <c r="AK15" s="306">
        <v>0</v>
      </c>
      <c r="AL15" s="306">
        <v>0</v>
      </c>
      <c r="AM15" s="306">
        <v>0</v>
      </c>
      <c r="AN15" s="306">
        <v>0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D15" s="306">
        <v>0</v>
      </c>
      <c r="BE15" s="306">
        <v>0</v>
      </c>
      <c r="BF15" s="306">
        <v>0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U15" s="304" t="s">
        <v>753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M15" s="306">
        <v>0</v>
      </c>
      <c r="CN15" s="306">
        <v>0</v>
      </c>
      <c r="CO15" s="306">
        <v>0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</row>
    <row r="16" spans="1:113">
      <c r="A16" s="304" t="s">
        <v>656</v>
      </c>
      <c r="B16" s="306">
        <v>1</v>
      </c>
      <c r="AD16" s="304" t="s">
        <v>754</v>
      </c>
      <c r="AE16" s="306">
        <v>0</v>
      </c>
      <c r="AF16" s="306">
        <v>0</v>
      </c>
      <c r="AG16" s="306">
        <v>0</v>
      </c>
      <c r="AH16" s="306">
        <v>0</v>
      </c>
      <c r="AI16" s="306">
        <v>0</v>
      </c>
      <c r="AJ16" s="306">
        <v>0</v>
      </c>
      <c r="AK16" s="306">
        <v>0</v>
      </c>
      <c r="AL16" s="306">
        <v>0</v>
      </c>
      <c r="AM16" s="306">
        <v>0</v>
      </c>
      <c r="AN16" s="306">
        <v>0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D16" s="306">
        <v>0</v>
      </c>
      <c r="BE16" s="306">
        <v>0</v>
      </c>
      <c r="BF16" s="306">
        <v>0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U16" s="304" t="s">
        <v>754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M16" s="306">
        <v>0</v>
      </c>
      <c r="CN16" s="306">
        <v>0</v>
      </c>
      <c r="CO16" s="306">
        <v>0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</row>
    <row r="17" spans="1:113">
      <c r="A17" s="304" t="s">
        <v>657</v>
      </c>
      <c r="B17" s="306">
        <v>1</v>
      </c>
      <c r="AD17" s="304" t="s">
        <v>755</v>
      </c>
      <c r="AE17" s="306">
        <v>0</v>
      </c>
      <c r="AF17" s="306">
        <v>0</v>
      </c>
      <c r="AG17" s="306">
        <v>0</v>
      </c>
      <c r="AH17" s="306">
        <v>0</v>
      </c>
      <c r="AI17" s="306">
        <v>0</v>
      </c>
      <c r="AJ17" s="306">
        <v>0</v>
      </c>
      <c r="AK17" s="306">
        <v>0</v>
      </c>
      <c r="AL17" s="306">
        <v>0</v>
      </c>
      <c r="AM17" s="306">
        <v>0</v>
      </c>
      <c r="AN17" s="306">
        <v>0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D17" s="306">
        <v>0</v>
      </c>
      <c r="BE17" s="306">
        <v>0</v>
      </c>
      <c r="BF17" s="306">
        <v>0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U17" s="304" t="s">
        <v>755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M17" s="306">
        <v>0</v>
      </c>
      <c r="CN17" s="306">
        <v>0</v>
      </c>
      <c r="CO17" s="306">
        <v>0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</row>
    <row r="18" spans="1:113">
      <c r="A18" s="304" t="s">
        <v>771</v>
      </c>
      <c r="B18" s="306">
        <v>1</v>
      </c>
      <c r="AD18" s="304" t="s">
        <v>756</v>
      </c>
      <c r="AE18" s="306">
        <v>0</v>
      </c>
      <c r="AF18" s="306">
        <v>0</v>
      </c>
      <c r="AG18" s="306">
        <v>0</v>
      </c>
      <c r="AH18" s="306">
        <v>0</v>
      </c>
      <c r="AI18" s="306">
        <v>0</v>
      </c>
      <c r="AJ18" s="306">
        <v>0</v>
      </c>
      <c r="AK18" s="306">
        <v>0</v>
      </c>
      <c r="AL18" s="306">
        <v>0</v>
      </c>
      <c r="AM18" s="306">
        <v>0</v>
      </c>
      <c r="AN18" s="306">
        <v>0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D18" s="306">
        <v>0</v>
      </c>
      <c r="BE18" s="306">
        <v>0</v>
      </c>
      <c r="BF18" s="306">
        <v>0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U18" s="304" t="s">
        <v>756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M18" s="306">
        <v>0</v>
      </c>
      <c r="CN18" s="306">
        <v>0</v>
      </c>
      <c r="CO18" s="306">
        <v>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</row>
    <row r="19" spans="1:113">
      <c r="A19" s="304" t="s">
        <v>751</v>
      </c>
      <c r="B19" s="306">
        <v>0</v>
      </c>
      <c r="AD19" s="304" t="s">
        <v>757</v>
      </c>
      <c r="AE19" s="306">
        <v>0</v>
      </c>
      <c r="AF19" s="306">
        <v>0</v>
      </c>
      <c r="AG19" s="306">
        <v>0</v>
      </c>
      <c r="AH19" s="306">
        <v>0</v>
      </c>
      <c r="AI19" s="306">
        <v>0</v>
      </c>
      <c r="AJ19" s="306">
        <v>0</v>
      </c>
      <c r="AK19" s="306">
        <v>0</v>
      </c>
      <c r="AL19" s="306">
        <v>0</v>
      </c>
      <c r="AM19" s="306">
        <v>0</v>
      </c>
      <c r="AN19" s="306">
        <v>0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D19" s="306">
        <v>0</v>
      </c>
      <c r="BE19" s="306">
        <v>0</v>
      </c>
      <c r="BF19" s="306">
        <v>0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U19" s="304" t="s">
        <v>757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M19" s="306">
        <v>0</v>
      </c>
      <c r="CN19" s="306">
        <v>0</v>
      </c>
      <c r="CO19" s="306">
        <v>0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</row>
    <row r="20" spans="1:113">
      <c r="A20" s="304" t="s">
        <v>658</v>
      </c>
      <c r="B20" s="306">
        <v>1</v>
      </c>
      <c r="AD20" s="304" t="s">
        <v>670</v>
      </c>
      <c r="AE20" s="306">
        <v>0</v>
      </c>
      <c r="AF20" s="306">
        <v>0</v>
      </c>
      <c r="AG20" s="306">
        <v>0</v>
      </c>
      <c r="AH20" s="306">
        <v>0</v>
      </c>
      <c r="AI20" s="306">
        <v>0</v>
      </c>
      <c r="AJ20" s="306">
        <v>0</v>
      </c>
      <c r="AK20" s="306">
        <v>0</v>
      </c>
      <c r="AL20" s="306">
        <v>0</v>
      </c>
      <c r="AM20" s="306">
        <v>0</v>
      </c>
      <c r="AN20" s="306">
        <v>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D20" s="306">
        <v>0</v>
      </c>
      <c r="BE20" s="306">
        <v>0</v>
      </c>
      <c r="BF20" s="306">
        <v>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U20" s="304" t="s">
        <v>670</v>
      </c>
      <c r="BV20" s="306">
        <v>0</v>
      </c>
      <c r="BW20" s="306">
        <v>0</v>
      </c>
      <c r="BX20" s="306">
        <v>0</v>
      </c>
      <c r="BY20" s="306">
        <v>0</v>
      </c>
      <c r="BZ20" s="306">
        <v>0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0</v>
      </c>
      <c r="CK20" s="306">
        <v>0</v>
      </c>
      <c r="CL20" s="306">
        <v>0</v>
      </c>
      <c r="CM20" s="306">
        <v>0</v>
      </c>
      <c r="CN20" s="306">
        <v>0</v>
      </c>
      <c r="CO20" s="306">
        <v>0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0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0</v>
      </c>
      <c r="DG20" s="306">
        <v>0</v>
      </c>
      <c r="DH20" s="306">
        <v>0</v>
      </c>
      <c r="DI20" s="306">
        <v>0</v>
      </c>
    </row>
    <row r="21" spans="1:113">
      <c r="A21" s="304" t="s">
        <v>712</v>
      </c>
      <c r="B21" s="306">
        <v>1</v>
      </c>
      <c r="AD21" s="304" t="s">
        <v>671</v>
      </c>
      <c r="AE21" s="306">
        <v>0</v>
      </c>
      <c r="AF21" s="306">
        <v>0</v>
      </c>
      <c r="AG21" s="306">
        <v>0</v>
      </c>
      <c r="AH21" s="306">
        <v>0</v>
      </c>
      <c r="AI21" s="306">
        <v>0</v>
      </c>
      <c r="AJ21" s="306">
        <v>0</v>
      </c>
      <c r="AK21" s="306">
        <v>0</v>
      </c>
      <c r="AL21" s="306">
        <v>0</v>
      </c>
      <c r="AM21" s="306">
        <v>0</v>
      </c>
      <c r="AN21" s="306">
        <v>0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D21" s="306">
        <v>0</v>
      </c>
      <c r="BE21" s="306">
        <v>0</v>
      </c>
      <c r="BF21" s="306">
        <v>0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U21" s="304" t="s">
        <v>671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M21" s="306">
        <v>0</v>
      </c>
      <c r="CN21" s="306">
        <v>0</v>
      </c>
      <c r="CO21" s="306">
        <v>0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</row>
    <row r="22" spans="1:113">
      <c r="A22" s="304" t="s">
        <v>713</v>
      </c>
      <c r="B22" s="306">
        <v>1</v>
      </c>
      <c r="AD22" s="304" t="s">
        <v>714</v>
      </c>
      <c r="AE22" s="306">
        <v>0</v>
      </c>
      <c r="AF22" s="306">
        <v>0</v>
      </c>
      <c r="AG22" s="306">
        <v>0</v>
      </c>
      <c r="AH22" s="306">
        <v>0</v>
      </c>
      <c r="AI22" s="306">
        <v>0</v>
      </c>
      <c r="AJ22" s="306">
        <v>0</v>
      </c>
      <c r="AK22" s="306">
        <v>0</v>
      </c>
      <c r="AL22" s="306">
        <v>0</v>
      </c>
      <c r="AM22" s="306">
        <v>0</v>
      </c>
      <c r="AN22" s="306">
        <v>0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D22" s="306">
        <v>0</v>
      </c>
      <c r="BE22" s="306">
        <v>0</v>
      </c>
      <c r="BF22" s="306">
        <v>0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U22" s="304" t="s">
        <v>714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M22" s="306">
        <v>0</v>
      </c>
      <c r="CN22" s="306">
        <v>0</v>
      </c>
      <c r="CO22" s="306">
        <v>0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</row>
    <row r="23" spans="1:113">
      <c r="A23" s="304" t="s">
        <v>772</v>
      </c>
      <c r="B23" s="306">
        <v>1</v>
      </c>
      <c r="AD23" s="304" t="s">
        <v>758</v>
      </c>
      <c r="AE23" s="306">
        <v>0</v>
      </c>
      <c r="AF23" s="306">
        <v>0</v>
      </c>
      <c r="AG23" s="306">
        <v>0</v>
      </c>
      <c r="AH23" s="306">
        <v>0</v>
      </c>
      <c r="AI23" s="306">
        <v>0</v>
      </c>
      <c r="AJ23" s="306">
        <v>0</v>
      </c>
      <c r="AK23" s="306">
        <v>0</v>
      </c>
      <c r="AL23" s="306">
        <v>0</v>
      </c>
      <c r="AM23" s="306">
        <v>0</v>
      </c>
      <c r="AN23" s="306">
        <v>0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D23" s="306">
        <v>0</v>
      </c>
      <c r="BE23" s="306">
        <v>0</v>
      </c>
      <c r="BF23" s="306">
        <v>0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U23" s="304" t="s">
        <v>758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M23" s="306">
        <v>0</v>
      </c>
      <c r="CN23" s="306">
        <v>0</v>
      </c>
      <c r="CO23" s="306">
        <v>0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</row>
    <row r="24" spans="1:113">
      <c r="A24" s="304" t="s">
        <v>773</v>
      </c>
      <c r="B24" s="306">
        <v>1</v>
      </c>
      <c r="AD24" s="304" t="s">
        <v>715</v>
      </c>
      <c r="AE24" s="306">
        <v>0</v>
      </c>
      <c r="AF24" s="306">
        <v>0</v>
      </c>
      <c r="AG24" s="306">
        <v>0</v>
      </c>
      <c r="AH24" s="306">
        <v>0</v>
      </c>
      <c r="AI24" s="306">
        <v>0</v>
      </c>
      <c r="AJ24" s="306">
        <v>0</v>
      </c>
      <c r="AK24" s="306">
        <v>0</v>
      </c>
      <c r="AL24" s="306">
        <v>0</v>
      </c>
      <c r="AM24" s="306">
        <v>0</v>
      </c>
      <c r="AN24" s="306">
        <v>0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D24" s="306">
        <v>0</v>
      </c>
      <c r="BE24" s="306">
        <v>0</v>
      </c>
      <c r="BF24" s="306">
        <v>0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U24" s="304" t="s">
        <v>715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M24" s="306">
        <v>0</v>
      </c>
      <c r="CN24" s="306">
        <v>0</v>
      </c>
      <c r="CO24" s="306">
        <v>0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</row>
    <row r="25" spans="1:113">
      <c r="A25" s="304" t="s">
        <v>774</v>
      </c>
      <c r="B25" s="306">
        <v>1</v>
      </c>
      <c r="AD25" s="304" t="s">
        <v>716</v>
      </c>
      <c r="AE25" s="306">
        <v>0</v>
      </c>
      <c r="AF25" s="306">
        <v>0</v>
      </c>
      <c r="AG25" s="306">
        <v>0</v>
      </c>
      <c r="AH25" s="306">
        <v>0</v>
      </c>
      <c r="AI25" s="306">
        <v>0</v>
      </c>
      <c r="AJ25" s="306">
        <v>0</v>
      </c>
      <c r="AK25" s="306">
        <v>0</v>
      </c>
      <c r="AL25" s="306">
        <v>0</v>
      </c>
      <c r="AM25" s="306">
        <v>0</v>
      </c>
      <c r="AN25" s="306">
        <v>0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D25" s="306">
        <v>0</v>
      </c>
      <c r="BE25" s="306">
        <v>0</v>
      </c>
      <c r="BF25" s="306">
        <v>0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U25" s="304" t="s">
        <v>716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M25" s="306">
        <v>0</v>
      </c>
      <c r="CN25" s="306">
        <v>0</v>
      </c>
      <c r="CO25" s="306">
        <v>0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</row>
    <row r="26" spans="1:113">
      <c r="A26" s="304" t="s">
        <v>752</v>
      </c>
      <c r="B26" s="306">
        <v>0</v>
      </c>
      <c r="AD26" s="304" t="s">
        <v>717</v>
      </c>
      <c r="AE26" s="306">
        <v>0</v>
      </c>
      <c r="AF26" s="306">
        <v>0</v>
      </c>
      <c r="AG26" s="306">
        <v>0</v>
      </c>
      <c r="AH26" s="306">
        <v>0</v>
      </c>
      <c r="AI26" s="306">
        <v>0</v>
      </c>
      <c r="AJ26" s="306">
        <v>0</v>
      </c>
      <c r="AK26" s="306">
        <v>0</v>
      </c>
      <c r="AL26" s="306">
        <v>0</v>
      </c>
      <c r="AM26" s="306">
        <v>0</v>
      </c>
      <c r="AN26" s="306">
        <v>0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D26" s="306">
        <v>0</v>
      </c>
      <c r="BE26" s="306">
        <v>0</v>
      </c>
      <c r="BF26" s="306">
        <v>0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U26" s="304" t="s">
        <v>717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M26" s="306">
        <v>0</v>
      </c>
      <c r="CN26" s="306">
        <v>0</v>
      </c>
      <c r="CO26" s="306">
        <v>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</row>
    <row r="27" spans="1:113">
      <c r="A27" s="304" t="s">
        <v>753</v>
      </c>
      <c r="B27" s="306">
        <v>0</v>
      </c>
      <c r="AD27" s="304" t="s">
        <v>718</v>
      </c>
      <c r="AE27" s="306">
        <v>0</v>
      </c>
      <c r="AF27" s="306">
        <v>0</v>
      </c>
      <c r="AG27" s="306">
        <v>0</v>
      </c>
      <c r="AH27" s="306">
        <v>0</v>
      </c>
      <c r="AI27" s="306">
        <v>0</v>
      </c>
      <c r="AJ27" s="306">
        <v>0</v>
      </c>
      <c r="AK27" s="306">
        <v>0</v>
      </c>
      <c r="AL27" s="306">
        <v>0</v>
      </c>
      <c r="AM27" s="306">
        <v>0</v>
      </c>
      <c r="AN27" s="306">
        <v>0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D27" s="306">
        <v>0</v>
      </c>
      <c r="BE27" s="306">
        <v>0</v>
      </c>
      <c r="BF27" s="306">
        <v>0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U27" s="304" t="s">
        <v>718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M27" s="306">
        <v>0</v>
      </c>
      <c r="CN27" s="306">
        <v>0</v>
      </c>
      <c r="CO27" s="306">
        <v>0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</row>
    <row r="28" spans="1:113">
      <c r="A28" s="304" t="s">
        <v>754</v>
      </c>
      <c r="B28" s="306">
        <v>0</v>
      </c>
      <c r="AD28" s="304" t="s">
        <v>759</v>
      </c>
      <c r="AE28" s="306">
        <v>0</v>
      </c>
      <c r="AF28" s="306">
        <v>0</v>
      </c>
      <c r="AG28" s="306">
        <v>0</v>
      </c>
      <c r="AH28" s="306">
        <v>0</v>
      </c>
      <c r="AI28" s="306">
        <v>0</v>
      </c>
      <c r="AJ28" s="306">
        <v>0</v>
      </c>
      <c r="AK28" s="306">
        <v>0</v>
      </c>
      <c r="AL28" s="306">
        <v>0</v>
      </c>
      <c r="AM28" s="306">
        <v>0</v>
      </c>
      <c r="AN28" s="306">
        <v>0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D28" s="306">
        <v>0</v>
      </c>
      <c r="BE28" s="306">
        <v>0</v>
      </c>
      <c r="BF28" s="306">
        <v>0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U28" s="304" t="s">
        <v>759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M28" s="306">
        <v>0</v>
      </c>
      <c r="CN28" s="306">
        <v>0</v>
      </c>
      <c r="CO28" s="306">
        <v>0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</row>
    <row r="29" spans="1:113">
      <c r="A29" s="304" t="s">
        <v>755</v>
      </c>
      <c r="B29" s="306">
        <v>0</v>
      </c>
      <c r="AD29" s="304" t="s">
        <v>760</v>
      </c>
      <c r="AE29" s="306">
        <v>0</v>
      </c>
      <c r="AF29" s="306">
        <v>0</v>
      </c>
      <c r="AG29" s="306">
        <v>0</v>
      </c>
      <c r="AH29" s="306">
        <v>0</v>
      </c>
      <c r="AI29" s="306">
        <v>0</v>
      </c>
      <c r="AJ29" s="306">
        <v>0</v>
      </c>
      <c r="AK29" s="306">
        <v>0</v>
      </c>
      <c r="AL29" s="306">
        <v>0</v>
      </c>
      <c r="AM29" s="306">
        <v>0</v>
      </c>
      <c r="AN29" s="306">
        <v>0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D29" s="306">
        <v>0</v>
      </c>
      <c r="BE29" s="306">
        <v>0</v>
      </c>
      <c r="BF29" s="306">
        <v>0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U29" s="304" t="s">
        <v>760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M29" s="306">
        <v>0</v>
      </c>
      <c r="CN29" s="306">
        <v>0</v>
      </c>
      <c r="CO29" s="306">
        <v>0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</row>
    <row r="30" spans="1:113">
      <c r="A30" s="304" t="s">
        <v>756</v>
      </c>
      <c r="B30" s="306">
        <v>0</v>
      </c>
      <c r="AD30" s="304" t="s">
        <v>761</v>
      </c>
      <c r="AE30" s="306">
        <v>0</v>
      </c>
      <c r="AF30" s="306">
        <v>0</v>
      </c>
      <c r="AG30" s="306">
        <v>0</v>
      </c>
      <c r="AH30" s="306">
        <v>0</v>
      </c>
      <c r="AI30" s="306">
        <v>0</v>
      </c>
      <c r="AJ30" s="306">
        <v>0</v>
      </c>
      <c r="AK30" s="306">
        <v>0</v>
      </c>
      <c r="AL30" s="306">
        <v>0</v>
      </c>
      <c r="AM30" s="306">
        <v>0</v>
      </c>
      <c r="AN30" s="306">
        <v>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D30" s="306">
        <v>0</v>
      </c>
      <c r="BE30" s="306">
        <v>0</v>
      </c>
      <c r="BF30" s="306">
        <v>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U30" s="304" t="s">
        <v>761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M30" s="306">
        <v>0</v>
      </c>
      <c r="CN30" s="306">
        <v>0</v>
      </c>
      <c r="CO30" s="306">
        <v>0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</row>
    <row r="31" spans="1:113">
      <c r="A31" s="304" t="s">
        <v>757</v>
      </c>
      <c r="B31" s="306">
        <v>0</v>
      </c>
      <c r="AD31" s="304" t="s">
        <v>719</v>
      </c>
      <c r="AE31" s="306">
        <v>0</v>
      </c>
      <c r="AF31" s="306">
        <v>58054.575227689304</v>
      </c>
      <c r="AG31" s="306">
        <v>0</v>
      </c>
      <c r="AH31" s="306">
        <v>0</v>
      </c>
      <c r="AI31" s="306">
        <v>0</v>
      </c>
      <c r="AJ31" s="306">
        <v>0</v>
      </c>
      <c r="AK31" s="306">
        <v>0</v>
      </c>
      <c r="AL31" s="306">
        <v>0</v>
      </c>
      <c r="AM31" s="306">
        <v>0</v>
      </c>
      <c r="AN31" s="306">
        <v>0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D31" s="306">
        <v>0</v>
      </c>
      <c r="BE31" s="306">
        <v>0</v>
      </c>
      <c r="BF31" s="306">
        <v>0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U31" s="304" t="s">
        <v>719</v>
      </c>
      <c r="BV31" s="306">
        <v>0</v>
      </c>
      <c r="BW31" s="306">
        <v>0.72465121788954501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M31" s="306">
        <v>0</v>
      </c>
      <c r="CN31" s="306">
        <v>0</v>
      </c>
      <c r="CO31" s="306">
        <v>0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</row>
    <row r="32" spans="1:113">
      <c r="A32" s="304" t="s">
        <v>670</v>
      </c>
      <c r="B32" s="306">
        <v>1</v>
      </c>
      <c r="AD32" s="304" t="s">
        <v>720</v>
      </c>
      <c r="AE32" s="306">
        <v>0</v>
      </c>
      <c r="AF32" s="306">
        <v>0</v>
      </c>
      <c r="AG32" s="306">
        <v>0</v>
      </c>
      <c r="AH32" s="306">
        <v>0</v>
      </c>
      <c r="AI32" s="306">
        <v>0</v>
      </c>
      <c r="AJ32" s="306">
        <v>0</v>
      </c>
      <c r="AK32" s="306">
        <v>0</v>
      </c>
      <c r="AL32" s="306">
        <v>0</v>
      </c>
      <c r="AM32" s="306">
        <v>0</v>
      </c>
      <c r="AN32" s="306">
        <v>0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D32" s="306">
        <v>0</v>
      </c>
      <c r="BE32" s="306">
        <v>0</v>
      </c>
      <c r="BF32" s="306">
        <v>0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U32" s="304" t="s">
        <v>720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M32" s="306">
        <v>0</v>
      </c>
      <c r="CN32" s="306">
        <v>0</v>
      </c>
      <c r="CO32" s="306">
        <v>0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</row>
    <row r="33" spans="1:113">
      <c r="A33" s="304" t="s">
        <v>671</v>
      </c>
      <c r="B33" s="306">
        <v>1</v>
      </c>
      <c r="AD33" s="304" t="s">
        <v>721</v>
      </c>
      <c r="AE33" s="306">
        <v>0</v>
      </c>
      <c r="AF33" s="306">
        <v>0</v>
      </c>
      <c r="AG33" s="306">
        <v>0</v>
      </c>
      <c r="AH33" s="306">
        <v>0</v>
      </c>
      <c r="AI33" s="306">
        <v>0</v>
      </c>
      <c r="AJ33" s="306">
        <v>0</v>
      </c>
      <c r="AK33" s="306">
        <v>0</v>
      </c>
      <c r="AL33" s="306">
        <v>0</v>
      </c>
      <c r="AM33" s="306">
        <v>0</v>
      </c>
      <c r="AN33" s="306">
        <v>0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D33" s="306">
        <v>0</v>
      </c>
      <c r="BE33" s="306">
        <v>0</v>
      </c>
      <c r="BF33" s="306">
        <v>0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U33" s="304" t="s">
        <v>721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M33" s="306">
        <v>0</v>
      </c>
      <c r="CN33" s="306">
        <v>0</v>
      </c>
      <c r="CO33" s="306">
        <v>0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</row>
    <row r="34" spans="1:113">
      <c r="A34" s="304" t="s">
        <v>714</v>
      </c>
      <c r="B34" s="306">
        <v>1</v>
      </c>
      <c r="AD34" s="304" t="s">
        <v>722</v>
      </c>
      <c r="AE34" s="306">
        <v>0</v>
      </c>
      <c r="AF34" s="306">
        <v>0</v>
      </c>
      <c r="AG34" s="306">
        <v>0</v>
      </c>
      <c r="AH34" s="306">
        <v>0</v>
      </c>
      <c r="AI34" s="306">
        <v>0</v>
      </c>
      <c r="AJ34" s="306">
        <v>0</v>
      </c>
      <c r="AK34" s="306">
        <v>0</v>
      </c>
      <c r="AL34" s="306">
        <v>0</v>
      </c>
      <c r="AM34" s="306">
        <v>0</v>
      </c>
      <c r="AN34" s="306">
        <v>0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D34" s="306">
        <v>0</v>
      </c>
      <c r="BE34" s="306">
        <v>0</v>
      </c>
      <c r="BF34" s="306">
        <v>0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U34" s="304" t="s">
        <v>722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M34" s="306">
        <v>0</v>
      </c>
      <c r="CN34" s="306">
        <v>0</v>
      </c>
      <c r="CO34" s="306">
        <v>0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</row>
    <row r="35" spans="1:113">
      <c r="A35" s="304" t="s">
        <v>758</v>
      </c>
      <c r="B35" s="306">
        <v>0</v>
      </c>
      <c r="AD35" s="304" t="s">
        <v>723</v>
      </c>
      <c r="AE35" s="306">
        <v>0</v>
      </c>
      <c r="AF35" s="306">
        <v>0</v>
      </c>
      <c r="AG35" s="306">
        <v>0</v>
      </c>
      <c r="AH35" s="306">
        <v>0</v>
      </c>
      <c r="AI35" s="306">
        <v>0</v>
      </c>
      <c r="AJ35" s="306">
        <v>0</v>
      </c>
      <c r="AK35" s="306">
        <v>0</v>
      </c>
      <c r="AL35" s="306">
        <v>0</v>
      </c>
      <c r="AM35" s="306">
        <v>0</v>
      </c>
      <c r="AN35" s="306">
        <v>0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D35" s="306">
        <v>0</v>
      </c>
      <c r="BE35" s="306">
        <v>0</v>
      </c>
      <c r="BF35" s="306">
        <v>0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U35" s="304" t="s">
        <v>723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M35" s="306">
        <v>0</v>
      </c>
      <c r="CN35" s="306">
        <v>0</v>
      </c>
      <c r="CO35" s="306">
        <v>0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</row>
    <row r="36" spans="1:113">
      <c r="A36" s="304" t="s">
        <v>715</v>
      </c>
      <c r="B36" s="306">
        <v>1</v>
      </c>
      <c r="AD36" s="304" t="s">
        <v>724</v>
      </c>
      <c r="AE36" s="306">
        <v>0</v>
      </c>
      <c r="AF36" s="306">
        <v>0</v>
      </c>
      <c r="AG36" s="306">
        <v>0</v>
      </c>
      <c r="AH36" s="306">
        <v>0</v>
      </c>
      <c r="AI36" s="306">
        <v>0</v>
      </c>
      <c r="AJ36" s="306">
        <v>0</v>
      </c>
      <c r="AK36" s="306">
        <v>0</v>
      </c>
      <c r="AL36" s="306">
        <v>0</v>
      </c>
      <c r="AM36" s="306">
        <v>0</v>
      </c>
      <c r="AN36" s="306">
        <v>0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D36" s="306">
        <v>0</v>
      </c>
      <c r="BE36" s="306">
        <v>0</v>
      </c>
      <c r="BF36" s="306">
        <v>0</v>
      </c>
      <c r="BG36" s="306">
        <v>4306.0802326205903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U36" s="304" t="s">
        <v>724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M36" s="306">
        <v>0</v>
      </c>
      <c r="CN36" s="306">
        <v>0</v>
      </c>
      <c r="CO36" s="306">
        <v>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1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</row>
    <row r="37" spans="1:113">
      <c r="A37" s="304" t="s">
        <v>716</v>
      </c>
      <c r="B37" s="306">
        <v>1</v>
      </c>
      <c r="AD37" s="304" t="s">
        <v>725</v>
      </c>
      <c r="AE37" s="306">
        <v>0</v>
      </c>
      <c r="AF37" s="306">
        <v>0</v>
      </c>
      <c r="AG37" s="306">
        <v>0</v>
      </c>
      <c r="AH37" s="306">
        <v>0</v>
      </c>
      <c r="AI37" s="306">
        <v>0</v>
      </c>
      <c r="AJ37" s="306">
        <v>0</v>
      </c>
      <c r="AK37" s="306">
        <v>0</v>
      </c>
      <c r="AL37" s="306">
        <v>0</v>
      </c>
      <c r="AM37" s="306">
        <v>0</v>
      </c>
      <c r="AN37" s="306">
        <v>0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D37" s="306">
        <v>0</v>
      </c>
      <c r="BE37" s="306">
        <v>0</v>
      </c>
      <c r="BF37" s="306">
        <v>0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U37" s="304" t="s">
        <v>725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M37" s="306">
        <v>0</v>
      </c>
      <c r="CN37" s="306">
        <v>0</v>
      </c>
      <c r="CO37" s="306">
        <v>0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</row>
    <row r="38" spans="1:113">
      <c r="A38" s="304" t="s">
        <v>717</v>
      </c>
      <c r="B38" s="306">
        <v>1</v>
      </c>
      <c r="AD38" s="304" t="s">
        <v>726</v>
      </c>
      <c r="AE38" s="306">
        <v>0</v>
      </c>
      <c r="AF38" s="306">
        <v>0</v>
      </c>
      <c r="AG38" s="306">
        <v>0</v>
      </c>
      <c r="AH38" s="306">
        <v>0</v>
      </c>
      <c r="AI38" s="306">
        <v>0</v>
      </c>
      <c r="AJ38" s="306">
        <v>0</v>
      </c>
      <c r="AK38" s="306">
        <v>0</v>
      </c>
      <c r="AL38" s="306">
        <v>0</v>
      </c>
      <c r="AM38" s="306">
        <v>0</v>
      </c>
      <c r="AN38" s="306">
        <v>0</v>
      </c>
      <c r="AO38" s="306">
        <v>0</v>
      </c>
      <c r="AP38" s="306">
        <v>0</v>
      </c>
      <c r="AQ38" s="306">
        <v>0</v>
      </c>
      <c r="AR38" s="306">
        <v>0</v>
      </c>
      <c r="AS38" s="306">
        <v>0</v>
      </c>
      <c r="AT38" s="306">
        <v>0</v>
      </c>
      <c r="AU38" s="306">
        <v>0</v>
      </c>
      <c r="AV38" s="306">
        <v>0</v>
      </c>
      <c r="AW38" s="306">
        <v>0</v>
      </c>
      <c r="AX38" s="306">
        <v>0</v>
      </c>
      <c r="AY38" s="306">
        <v>0</v>
      </c>
      <c r="AZ38" s="306">
        <v>0</v>
      </c>
      <c r="BA38" s="306">
        <v>0</v>
      </c>
      <c r="BB38" s="306">
        <v>0</v>
      </c>
      <c r="BC38" s="306">
        <v>0</v>
      </c>
      <c r="BD38" s="306">
        <v>0</v>
      </c>
      <c r="BE38" s="306">
        <v>0</v>
      </c>
      <c r="BF38" s="306">
        <v>0</v>
      </c>
      <c r="BG38" s="306">
        <v>0</v>
      </c>
      <c r="BH38" s="306">
        <v>0</v>
      </c>
      <c r="BI38" s="306">
        <v>0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U38" s="304" t="s">
        <v>726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M38" s="306">
        <v>0</v>
      </c>
      <c r="CN38" s="306">
        <v>0</v>
      </c>
      <c r="CO38" s="306">
        <v>0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</row>
    <row r="39" spans="1:113">
      <c r="A39" s="304" t="s">
        <v>718</v>
      </c>
      <c r="B39" s="306">
        <v>1</v>
      </c>
      <c r="AD39" s="304" t="s">
        <v>762</v>
      </c>
      <c r="AE39" s="306">
        <v>0</v>
      </c>
      <c r="AF39" s="306">
        <v>0</v>
      </c>
      <c r="AG39" s="306">
        <v>0</v>
      </c>
      <c r="AH39" s="306">
        <v>0</v>
      </c>
      <c r="AI39" s="306">
        <v>0</v>
      </c>
      <c r="AJ39" s="306">
        <v>0</v>
      </c>
      <c r="AK39" s="306">
        <v>0</v>
      </c>
      <c r="AL39" s="306">
        <v>0</v>
      </c>
      <c r="AM39" s="306">
        <v>0</v>
      </c>
      <c r="AN39" s="306">
        <v>0</v>
      </c>
      <c r="AO39" s="306">
        <v>0</v>
      </c>
      <c r="AP39" s="306">
        <v>0</v>
      </c>
      <c r="AQ39" s="306">
        <v>0</v>
      </c>
      <c r="AR39" s="306">
        <v>0</v>
      </c>
      <c r="AS39" s="306">
        <v>0</v>
      </c>
      <c r="AT39" s="306">
        <v>0</v>
      </c>
      <c r="AU39" s="306">
        <v>0</v>
      </c>
      <c r="AV39" s="306">
        <v>0</v>
      </c>
      <c r="AW39" s="306">
        <v>0</v>
      </c>
      <c r="AX39" s="306">
        <v>0</v>
      </c>
      <c r="AY39" s="306">
        <v>0</v>
      </c>
      <c r="AZ39" s="306">
        <v>0</v>
      </c>
      <c r="BA39" s="306">
        <v>0</v>
      </c>
      <c r="BB39" s="306">
        <v>0</v>
      </c>
      <c r="BC39" s="306">
        <v>0</v>
      </c>
      <c r="BD39" s="306">
        <v>0</v>
      </c>
      <c r="BE39" s="306">
        <v>0</v>
      </c>
      <c r="BF39" s="306">
        <v>0</v>
      </c>
      <c r="BG39" s="306">
        <v>0</v>
      </c>
      <c r="BH39" s="306">
        <v>0</v>
      </c>
      <c r="BI39" s="306">
        <v>0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U39" s="304" t="s">
        <v>762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M39" s="306">
        <v>0</v>
      </c>
      <c r="CN39" s="306">
        <v>0</v>
      </c>
      <c r="CO39" s="306">
        <v>0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</row>
    <row r="40" spans="1:113">
      <c r="A40" s="304" t="s">
        <v>759</v>
      </c>
      <c r="B40" s="306">
        <v>0</v>
      </c>
      <c r="AD40" s="304" t="s">
        <v>727</v>
      </c>
      <c r="AE40" s="306">
        <v>0</v>
      </c>
      <c r="AF40" s="306">
        <v>0</v>
      </c>
      <c r="AG40" s="306">
        <v>0</v>
      </c>
      <c r="AH40" s="306">
        <v>0</v>
      </c>
      <c r="AI40" s="306">
        <v>0</v>
      </c>
      <c r="AJ40" s="306">
        <v>0</v>
      </c>
      <c r="AK40" s="306">
        <v>0</v>
      </c>
      <c r="AL40" s="306">
        <v>0</v>
      </c>
      <c r="AM40" s="306">
        <v>0</v>
      </c>
      <c r="AN40" s="306">
        <v>0</v>
      </c>
      <c r="AO40" s="306">
        <v>0</v>
      </c>
      <c r="AP40" s="306">
        <v>0</v>
      </c>
      <c r="AQ40" s="306">
        <v>0</v>
      </c>
      <c r="AR40" s="306">
        <v>0</v>
      </c>
      <c r="AS40" s="306">
        <v>0</v>
      </c>
      <c r="AT40" s="306">
        <v>0</v>
      </c>
      <c r="AU40" s="306">
        <v>0</v>
      </c>
      <c r="AV40" s="306">
        <v>0</v>
      </c>
      <c r="AW40" s="306">
        <v>0</v>
      </c>
      <c r="AX40" s="306">
        <v>0</v>
      </c>
      <c r="AY40" s="306">
        <v>0</v>
      </c>
      <c r="AZ40" s="306">
        <v>0</v>
      </c>
      <c r="BA40" s="306">
        <v>0</v>
      </c>
      <c r="BB40" s="306">
        <v>0</v>
      </c>
      <c r="BC40" s="306">
        <v>0</v>
      </c>
      <c r="BD40" s="306">
        <v>0</v>
      </c>
      <c r="BE40" s="306">
        <v>0</v>
      </c>
      <c r="BF40" s="306">
        <v>0</v>
      </c>
      <c r="BG40" s="306">
        <v>0</v>
      </c>
      <c r="BH40" s="306">
        <v>0</v>
      </c>
      <c r="BI40" s="306">
        <v>0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U40" s="304" t="s">
        <v>727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M40" s="306">
        <v>0</v>
      </c>
      <c r="CN40" s="306">
        <v>0</v>
      </c>
      <c r="CO40" s="306">
        <v>0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</row>
    <row r="41" spans="1:113">
      <c r="A41" s="304" t="s">
        <v>760</v>
      </c>
      <c r="B41" s="306">
        <v>0</v>
      </c>
      <c r="AD41" s="304" t="s">
        <v>728</v>
      </c>
      <c r="AE41" s="306">
        <v>0</v>
      </c>
      <c r="AF41" s="306">
        <v>0</v>
      </c>
      <c r="AG41" s="306">
        <v>0</v>
      </c>
      <c r="AH41" s="306">
        <v>0</v>
      </c>
      <c r="AI41" s="306">
        <v>0</v>
      </c>
      <c r="AJ41" s="306">
        <v>0</v>
      </c>
      <c r="AK41" s="306">
        <v>0</v>
      </c>
      <c r="AL41" s="306">
        <v>0</v>
      </c>
      <c r="AM41" s="306">
        <v>0</v>
      </c>
      <c r="AN41" s="306">
        <v>0</v>
      </c>
      <c r="AO41" s="306">
        <v>0</v>
      </c>
      <c r="AP41" s="306">
        <v>0</v>
      </c>
      <c r="AQ41" s="306">
        <v>0</v>
      </c>
      <c r="AR41" s="306">
        <v>0</v>
      </c>
      <c r="AS41" s="306">
        <v>0</v>
      </c>
      <c r="AT41" s="306">
        <v>0</v>
      </c>
      <c r="AU41" s="306">
        <v>0</v>
      </c>
      <c r="AV41" s="306">
        <v>0</v>
      </c>
      <c r="AW41" s="306">
        <v>0</v>
      </c>
      <c r="AX41" s="306">
        <v>0</v>
      </c>
      <c r="AY41" s="306">
        <v>0</v>
      </c>
      <c r="AZ41" s="306">
        <v>0</v>
      </c>
      <c r="BA41" s="306">
        <v>0</v>
      </c>
      <c r="BB41" s="306">
        <v>0</v>
      </c>
      <c r="BC41" s="306">
        <v>0</v>
      </c>
      <c r="BD41" s="306">
        <v>0</v>
      </c>
      <c r="BE41" s="306">
        <v>0</v>
      </c>
      <c r="BF41" s="306">
        <v>0</v>
      </c>
      <c r="BG41" s="306">
        <v>0</v>
      </c>
      <c r="BH41" s="306">
        <v>0</v>
      </c>
      <c r="BI41" s="306">
        <v>0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U41" s="304" t="s">
        <v>728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M41" s="306">
        <v>0</v>
      </c>
      <c r="CN41" s="306">
        <v>0</v>
      </c>
      <c r="CO41" s="306">
        <v>0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</row>
    <row r="42" spans="1:113">
      <c r="A42" s="304" t="s">
        <v>761</v>
      </c>
      <c r="B42" s="306">
        <v>0</v>
      </c>
      <c r="AD42" s="304"/>
      <c r="AE42" s="358" t="s">
        <v>704</v>
      </c>
      <c r="AF42" s="371"/>
      <c r="AG42" s="371"/>
      <c r="AH42" s="371"/>
      <c r="AI42" s="371"/>
      <c r="AJ42" s="371"/>
      <c r="AK42" s="371"/>
      <c r="AL42" s="371"/>
      <c r="AM42" s="371"/>
      <c r="AN42" s="371"/>
      <c r="AO42" s="371"/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/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  <c r="BM42" s="371"/>
      <c r="BN42" s="371"/>
      <c r="BO42" s="371"/>
      <c r="BP42" s="371"/>
      <c r="BQ42" s="371"/>
      <c r="BR42" s="371"/>
      <c r="BU42" s="304"/>
      <c r="BV42" s="358" t="s">
        <v>703</v>
      </c>
      <c r="BW42" s="371"/>
      <c r="BX42" s="371"/>
      <c r="BY42" s="371"/>
      <c r="BZ42" s="371"/>
      <c r="CA42" s="371"/>
      <c r="CB42" s="371"/>
      <c r="CC42" s="371"/>
      <c r="CD42" s="371"/>
      <c r="CE42" s="371"/>
      <c r="CF42" s="371"/>
      <c r="CG42" s="371"/>
      <c r="CH42" s="371"/>
      <c r="CI42" s="371"/>
      <c r="CJ42" s="371"/>
      <c r="CK42" s="371"/>
      <c r="CL42" s="371"/>
      <c r="CM42" s="371"/>
      <c r="CN42" s="371"/>
      <c r="CO42" s="371"/>
      <c r="CP42" s="371"/>
      <c r="CQ42" s="371"/>
      <c r="CR42" s="371"/>
      <c r="CS42" s="371"/>
      <c r="CT42" s="371"/>
      <c r="CU42" s="371"/>
      <c r="CV42" s="371"/>
      <c r="CW42" s="371"/>
      <c r="CX42" s="371"/>
      <c r="CY42" s="371"/>
      <c r="CZ42" s="371"/>
      <c r="DA42" s="371"/>
      <c r="DB42" s="371"/>
      <c r="DC42" s="371"/>
      <c r="DD42" s="371"/>
      <c r="DE42" s="371"/>
      <c r="DF42" s="371"/>
      <c r="DG42" s="371"/>
      <c r="DH42" s="371"/>
      <c r="DI42" s="371"/>
    </row>
    <row r="43" spans="1:113">
      <c r="A43" s="304" t="s">
        <v>719</v>
      </c>
      <c r="B43" s="306">
        <v>1</v>
      </c>
    </row>
    <row r="44" spans="1:113">
      <c r="A44" s="304" t="s">
        <v>720</v>
      </c>
      <c r="B44" s="306">
        <v>1</v>
      </c>
    </row>
    <row r="45" spans="1:113" ht="179.4">
      <c r="A45" s="304" t="s">
        <v>721</v>
      </c>
      <c r="B45" s="306">
        <v>1</v>
      </c>
      <c r="AD45" s="303" t="s">
        <v>641</v>
      </c>
      <c r="AE45" s="234" t="s">
        <v>708</v>
      </c>
      <c r="AF45" s="234" t="s">
        <v>749</v>
      </c>
      <c r="AG45" s="234" t="s">
        <v>750</v>
      </c>
      <c r="AH45" s="234" t="s">
        <v>709</v>
      </c>
      <c r="AI45" s="234" t="s">
        <v>710</v>
      </c>
      <c r="AJ45" s="234" t="s">
        <v>711</v>
      </c>
      <c r="AK45" s="234" t="s">
        <v>656</v>
      </c>
      <c r="AL45" s="234" t="s">
        <v>657</v>
      </c>
      <c r="AM45" s="234" t="s">
        <v>751</v>
      </c>
      <c r="AN45" s="234" t="s">
        <v>658</v>
      </c>
      <c r="AO45" s="234" t="s">
        <v>712</v>
      </c>
      <c r="AP45" s="234" t="s">
        <v>713</v>
      </c>
      <c r="AQ45" s="234" t="s">
        <v>752</v>
      </c>
      <c r="AR45" s="234" t="s">
        <v>753</v>
      </c>
      <c r="AS45" s="234" t="s">
        <v>754</v>
      </c>
      <c r="AT45" s="234" t="s">
        <v>755</v>
      </c>
      <c r="AU45" s="234" t="s">
        <v>756</v>
      </c>
      <c r="AV45" s="234" t="s">
        <v>757</v>
      </c>
      <c r="AW45" s="234" t="s">
        <v>670</v>
      </c>
      <c r="AX45" s="234" t="s">
        <v>671</v>
      </c>
      <c r="AY45" s="234" t="s">
        <v>714</v>
      </c>
      <c r="AZ45" s="234" t="s">
        <v>758</v>
      </c>
      <c r="BA45" s="234" t="s">
        <v>715</v>
      </c>
      <c r="BB45" s="234" t="s">
        <v>716</v>
      </c>
      <c r="BC45" s="234" t="s">
        <v>717</v>
      </c>
      <c r="BD45" s="234" t="s">
        <v>718</v>
      </c>
      <c r="BE45" s="234" t="s">
        <v>759</v>
      </c>
      <c r="BF45" s="234" t="s">
        <v>760</v>
      </c>
      <c r="BG45" s="234" t="s">
        <v>761</v>
      </c>
      <c r="BH45" s="234" t="s">
        <v>719</v>
      </c>
      <c r="BI45" s="234" t="s">
        <v>720</v>
      </c>
      <c r="BJ45" s="234" t="s">
        <v>721</v>
      </c>
      <c r="BK45" s="234" t="s">
        <v>722</v>
      </c>
      <c r="BL45" s="234" t="s">
        <v>723</v>
      </c>
      <c r="BM45" s="234" t="s">
        <v>724</v>
      </c>
      <c r="BN45" s="234" t="s">
        <v>725</v>
      </c>
      <c r="BO45" s="234" t="s">
        <v>726</v>
      </c>
      <c r="BP45" s="234" t="s">
        <v>762</v>
      </c>
      <c r="BQ45" s="234" t="s">
        <v>727</v>
      </c>
      <c r="BR45" s="234" t="s">
        <v>728</v>
      </c>
    </row>
    <row r="46" spans="1:113">
      <c r="A46" s="304" t="s">
        <v>775</v>
      </c>
      <c r="B46" s="306">
        <v>1</v>
      </c>
      <c r="AD46" s="304" t="s">
        <v>708</v>
      </c>
      <c r="AE46" s="306">
        <v>0</v>
      </c>
      <c r="AF46" s="306">
        <v>0</v>
      </c>
      <c r="AG46" s="306">
        <v>45017.590801780199</v>
      </c>
      <c r="AH46" s="306">
        <v>0</v>
      </c>
      <c r="AI46" s="306">
        <v>0</v>
      </c>
      <c r="AJ46" s="306">
        <v>0</v>
      </c>
      <c r="AK46" s="306">
        <v>0</v>
      </c>
      <c r="AL46" s="306">
        <v>0</v>
      </c>
      <c r="AM46" s="306">
        <v>0</v>
      </c>
      <c r="AN46" s="306">
        <v>0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0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  <c r="BD46" s="306">
        <v>0</v>
      </c>
      <c r="BE46" s="306">
        <v>0</v>
      </c>
      <c r="BF46" s="306">
        <v>0</v>
      </c>
      <c r="BG46" s="306">
        <v>0</v>
      </c>
      <c r="BH46" s="306">
        <v>0</v>
      </c>
      <c r="BI46" s="306">
        <v>0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</row>
    <row r="47" spans="1:113">
      <c r="A47" s="304" t="s">
        <v>776</v>
      </c>
      <c r="B47" s="306">
        <v>1</v>
      </c>
      <c r="AD47" s="304" t="s">
        <v>749</v>
      </c>
      <c r="AE47" s="306">
        <v>0</v>
      </c>
      <c r="AF47" s="306">
        <v>0</v>
      </c>
      <c r="AG47" s="306">
        <v>0</v>
      </c>
      <c r="AH47" s="306">
        <v>0</v>
      </c>
      <c r="AI47" s="306">
        <v>0</v>
      </c>
      <c r="AJ47" s="306">
        <v>0</v>
      </c>
      <c r="AK47" s="306">
        <v>0</v>
      </c>
      <c r="AL47" s="306">
        <v>0</v>
      </c>
      <c r="AM47" s="306">
        <v>0</v>
      </c>
      <c r="AN47" s="306">
        <v>0</v>
      </c>
      <c r="AO47" s="306">
        <v>0</v>
      </c>
      <c r="AP47" s="306">
        <v>0</v>
      </c>
      <c r="AQ47" s="306">
        <v>0</v>
      </c>
      <c r="AR47" s="306">
        <v>0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  <c r="BD47" s="306">
        <v>0</v>
      </c>
      <c r="BE47" s="306">
        <v>0</v>
      </c>
      <c r="BF47" s="306">
        <v>0</v>
      </c>
      <c r="BG47" s="306">
        <v>0</v>
      </c>
      <c r="BH47" s="306">
        <v>0</v>
      </c>
      <c r="BI47" s="306">
        <v>0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</row>
    <row r="48" spans="1:113">
      <c r="A48" s="304" t="s">
        <v>777</v>
      </c>
      <c r="B48" s="306">
        <v>1</v>
      </c>
      <c r="AD48" s="304" t="s">
        <v>750</v>
      </c>
      <c r="AE48" s="306">
        <v>0</v>
      </c>
      <c r="AF48" s="306">
        <v>0</v>
      </c>
      <c r="AG48" s="306">
        <v>0</v>
      </c>
      <c r="AH48" s="306">
        <v>0</v>
      </c>
      <c r="AI48" s="306">
        <v>0</v>
      </c>
      <c r="AJ48" s="306">
        <v>0</v>
      </c>
      <c r="AK48" s="306">
        <v>0</v>
      </c>
      <c r="AL48" s="306">
        <v>0</v>
      </c>
      <c r="AM48" s="306">
        <v>0</v>
      </c>
      <c r="AN48" s="306">
        <v>0</v>
      </c>
      <c r="AO48" s="306">
        <v>0</v>
      </c>
      <c r="AP48" s="306">
        <v>0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  <c r="BD48" s="306">
        <v>0</v>
      </c>
      <c r="BE48" s="306">
        <v>0</v>
      </c>
      <c r="BF48" s="306">
        <v>0</v>
      </c>
      <c r="BG48" s="306">
        <v>0</v>
      </c>
      <c r="BH48" s="306">
        <v>0</v>
      </c>
      <c r="BI48" s="306">
        <v>0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</row>
    <row r="49" spans="1:70">
      <c r="A49" s="304" t="s">
        <v>722</v>
      </c>
      <c r="B49" s="306">
        <v>1</v>
      </c>
      <c r="AD49" s="304" t="s">
        <v>709</v>
      </c>
      <c r="AE49" s="306">
        <v>0</v>
      </c>
      <c r="AF49" s="306">
        <v>0</v>
      </c>
      <c r="AG49" s="306">
        <v>66251.174567632304</v>
      </c>
      <c r="AH49" s="306">
        <v>0</v>
      </c>
      <c r="AI49" s="306">
        <v>0</v>
      </c>
      <c r="AJ49" s="306">
        <v>0</v>
      </c>
      <c r="AK49" s="306">
        <v>0</v>
      </c>
      <c r="AL49" s="306">
        <v>0</v>
      </c>
      <c r="AM49" s="306">
        <v>0</v>
      </c>
      <c r="AN49" s="306">
        <v>0</v>
      </c>
      <c r="AO49" s="306">
        <v>0</v>
      </c>
      <c r="AP49" s="306">
        <v>0</v>
      </c>
      <c r="AQ49" s="306">
        <v>0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  <c r="BD49" s="306">
        <v>0</v>
      </c>
      <c r="BE49" s="306">
        <v>0</v>
      </c>
      <c r="BF49" s="306">
        <v>0</v>
      </c>
      <c r="BG49" s="306">
        <v>0</v>
      </c>
      <c r="BH49" s="306">
        <v>0</v>
      </c>
      <c r="BI49" s="306">
        <v>0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</row>
    <row r="50" spans="1:70">
      <c r="A50" s="304" t="s">
        <v>723</v>
      </c>
      <c r="B50" s="306">
        <v>1</v>
      </c>
      <c r="AD50" s="304" t="s">
        <v>710</v>
      </c>
      <c r="AE50" s="306">
        <v>0</v>
      </c>
      <c r="AF50" s="306">
        <v>0</v>
      </c>
      <c r="AG50" s="306">
        <v>0</v>
      </c>
      <c r="AH50" s="306">
        <v>0</v>
      </c>
      <c r="AI50" s="306">
        <v>0</v>
      </c>
      <c r="AJ50" s="306">
        <v>0</v>
      </c>
      <c r="AK50" s="306">
        <v>0</v>
      </c>
      <c r="AL50" s="306">
        <v>0</v>
      </c>
      <c r="AM50" s="306">
        <v>0</v>
      </c>
      <c r="AN50" s="306">
        <v>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0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  <c r="BD50" s="306">
        <v>0</v>
      </c>
      <c r="BE50" s="306">
        <v>0</v>
      </c>
      <c r="BF50" s="306">
        <v>0</v>
      </c>
      <c r="BG50" s="306">
        <v>91837.795018258301</v>
      </c>
      <c r="BH50" s="306">
        <v>0</v>
      </c>
      <c r="BI50" s="306">
        <v>0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</row>
    <row r="51" spans="1:70">
      <c r="A51" s="304" t="s">
        <v>724</v>
      </c>
      <c r="B51" s="306">
        <v>1</v>
      </c>
      <c r="AD51" s="304" t="s">
        <v>711</v>
      </c>
      <c r="AE51" s="306">
        <v>0</v>
      </c>
      <c r="AF51" s="306">
        <v>0</v>
      </c>
      <c r="AG51" s="306">
        <v>0</v>
      </c>
      <c r="AH51" s="306">
        <v>0</v>
      </c>
      <c r="AI51" s="306">
        <v>0</v>
      </c>
      <c r="AJ51" s="306">
        <v>0</v>
      </c>
      <c r="AK51" s="306">
        <v>0</v>
      </c>
      <c r="AL51" s="306">
        <v>0</v>
      </c>
      <c r="AM51" s="306">
        <v>0</v>
      </c>
      <c r="AN51" s="306">
        <v>0</v>
      </c>
      <c r="AO51" s="306">
        <v>0</v>
      </c>
      <c r="AP51" s="306">
        <v>0</v>
      </c>
      <c r="AQ51" s="306">
        <v>0</v>
      </c>
      <c r="AR51" s="306">
        <v>0</v>
      </c>
      <c r="AS51" s="306">
        <v>0</v>
      </c>
      <c r="AT51" s="306">
        <v>0</v>
      </c>
      <c r="AU51" s="306">
        <v>0</v>
      </c>
      <c r="AV51" s="306">
        <v>0</v>
      </c>
      <c r="AW51" s="306">
        <v>0</v>
      </c>
      <c r="AX51" s="306">
        <v>0</v>
      </c>
      <c r="AY51" s="306">
        <v>0</v>
      </c>
      <c r="AZ51" s="306">
        <v>0</v>
      </c>
      <c r="BA51" s="306">
        <v>0</v>
      </c>
      <c r="BB51" s="306">
        <v>0</v>
      </c>
      <c r="BC51" s="306">
        <v>0</v>
      </c>
      <c r="BD51" s="306">
        <v>0</v>
      </c>
      <c r="BE51" s="306">
        <v>0</v>
      </c>
      <c r="BF51" s="306">
        <v>290.15291867903898</v>
      </c>
      <c r="BG51" s="306">
        <v>0</v>
      </c>
      <c r="BH51" s="306">
        <v>0</v>
      </c>
      <c r="BI51" s="306">
        <v>0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</row>
    <row r="52" spans="1:70">
      <c r="A52" s="304" t="s">
        <v>725</v>
      </c>
      <c r="B52" s="306">
        <v>1</v>
      </c>
      <c r="AD52" s="304" t="s">
        <v>656</v>
      </c>
      <c r="AE52" s="306">
        <v>0</v>
      </c>
      <c r="AF52" s="306">
        <v>0</v>
      </c>
      <c r="AG52" s="306">
        <v>0</v>
      </c>
      <c r="AH52" s="306">
        <v>0</v>
      </c>
      <c r="AI52" s="306">
        <v>0</v>
      </c>
      <c r="AJ52" s="306">
        <v>0</v>
      </c>
      <c r="AK52" s="306">
        <v>0</v>
      </c>
      <c r="AL52" s="306">
        <v>0</v>
      </c>
      <c r="AM52" s="306">
        <v>0</v>
      </c>
      <c r="AN52" s="306">
        <v>0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  <c r="BD52" s="306">
        <v>0</v>
      </c>
      <c r="BE52" s="306">
        <v>0</v>
      </c>
      <c r="BF52" s="306">
        <v>0</v>
      </c>
      <c r="BG52" s="306">
        <v>0</v>
      </c>
      <c r="BH52" s="306">
        <v>0</v>
      </c>
      <c r="BI52" s="306">
        <v>0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</row>
    <row r="53" spans="1:70">
      <c r="A53" s="304" t="s">
        <v>726</v>
      </c>
      <c r="B53" s="306">
        <v>1</v>
      </c>
      <c r="AD53" s="304" t="s">
        <v>657</v>
      </c>
      <c r="AE53" s="306">
        <v>0</v>
      </c>
      <c r="AF53" s="306">
        <v>0</v>
      </c>
      <c r="AG53" s="306">
        <v>0</v>
      </c>
      <c r="AH53" s="306">
        <v>0</v>
      </c>
      <c r="AI53" s="306">
        <v>0</v>
      </c>
      <c r="AJ53" s="306">
        <v>0</v>
      </c>
      <c r="AK53" s="306">
        <v>0</v>
      </c>
      <c r="AL53" s="306">
        <v>0</v>
      </c>
      <c r="AM53" s="306">
        <v>0</v>
      </c>
      <c r="AN53" s="306">
        <v>0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  <c r="BD53" s="306">
        <v>0</v>
      </c>
      <c r="BE53" s="306">
        <v>0</v>
      </c>
      <c r="BF53" s="306">
        <v>0</v>
      </c>
      <c r="BG53" s="306">
        <v>0</v>
      </c>
      <c r="BH53" s="306">
        <v>0</v>
      </c>
      <c r="BI53" s="306">
        <v>0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</row>
    <row r="54" spans="1:70">
      <c r="A54" s="304" t="s">
        <v>778</v>
      </c>
      <c r="B54" s="306">
        <v>1</v>
      </c>
      <c r="AD54" s="304" t="s">
        <v>751</v>
      </c>
      <c r="AE54" s="306">
        <v>0</v>
      </c>
      <c r="AF54" s="306">
        <v>0</v>
      </c>
      <c r="AG54" s="306">
        <v>0</v>
      </c>
      <c r="AH54" s="306">
        <v>0</v>
      </c>
      <c r="AI54" s="306">
        <v>0</v>
      </c>
      <c r="AJ54" s="306">
        <v>0</v>
      </c>
      <c r="AK54" s="306">
        <v>0</v>
      </c>
      <c r="AL54" s="306">
        <v>0</v>
      </c>
      <c r="AM54" s="306">
        <v>0</v>
      </c>
      <c r="AN54" s="306">
        <v>0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  <c r="BD54" s="306">
        <v>0</v>
      </c>
      <c r="BE54" s="306">
        <v>0</v>
      </c>
      <c r="BF54" s="306">
        <v>0</v>
      </c>
      <c r="BG54" s="306">
        <v>0</v>
      </c>
      <c r="BH54" s="306">
        <v>0</v>
      </c>
      <c r="BI54" s="306">
        <v>0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</row>
    <row r="55" spans="1:70">
      <c r="A55" s="304" t="s">
        <v>779</v>
      </c>
      <c r="B55" s="306">
        <v>1</v>
      </c>
      <c r="AD55" s="304" t="s">
        <v>658</v>
      </c>
      <c r="AE55" s="306">
        <v>0</v>
      </c>
      <c r="AF55" s="306">
        <v>0</v>
      </c>
      <c r="AG55" s="306">
        <v>0</v>
      </c>
      <c r="AH55" s="306">
        <v>0</v>
      </c>
      <c r="AI55" s="306">
        <v>0</v>
      </c>
      <c r="AJ55" s="306">
        <v>0</v>
      </c>
      <c r="AK55" s="306">
        <v>0</v>
      </c>
      <c r="AL55" s="306">
        <v>0</v>
      </c>
      <c r="AM55" s="306">
        <v>0</v>
      </c>
      <c r="AN55" s="306">
        <v>0</v>
      </c>
      <c r="AO55" s="306">
        <v>0</v>
      </c>
      <c r="AP55" s="306">
        <v>0</v>
      </c>
      <c r="AQ55" s="306">
        <v>2511.39821094118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  <c r="BD55" s="306">
        <v>0</v>
      </c>
      <c r="BE55" s="306">
        <v>0</v>
      </c>
      <c r="BF55" s="306">
        <v>0</v>
      </c>
      <c r="BG55" s="306">
        <v>0</v>
      </c>
      <c r="BH55" s="306">
        <v>0</v>
      </c>
      <c r="BI55" s="306">
        <v>0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</row>
    <row r="56" spans="1:70">
      <c r="A56" s="304" t="s">
        <v>762</v>
      </c>
      <c r="B56" s="306">
        <v>0</v>
      </c>
      <c r="AD56" s="304" t="s">
        <v>712</v>
      </c>
      <c r="AE56" s="306">
        <v>0</v>
      </c>
      <c r="AF56" s="306">
        <v>0</v>
      </c>
      <c r="AG56" s="306">
        <v>0</v>
      </c>
      <c r="AH56" s="306">
        <v>0</v>
      </c>
      <c r="AI56" s="306">
        <v>0</v>
      </c>
      <c r="AJ56" s="306">
        <v>0</v>
      </c>
      <c r="AK56" s="306">
        <v>0</v>
      </c>
      <c r="AL56" s="306">
        <v>0</v>
      </c>
      <c r="AM56" s="306">
        <v>0</v>
      </c>
      <c r="AN56" s="306">
        <v>0</v>
      </c>
      <c r="AO56" s="306">
        <v>0</v>
      </c>
      <c r="AP56" s="306">
        <v>0</v>
      </c>
      <c r="AQ56" s="306">
        <v>4830.4442158522497</v>
      </c>
      <c r="AR56" s="306">
        <v>0</v>
      </c>
      <c r="AS56" s="306">
        <v>0</v>
      </c>
      <c r="AT56" s="306">
        <v>0</v>
      </c>
      <c r="AU56" s="306">
        <v>0</v>
      </c>
      <c r="AV56" s="306">
        <v>0</v>
      </c>
      <c r="AW56" s="306">
        <v>0</v>
      </c>
      <c r="AX56" s="306">
        <v>0</v>
      </c>
      <c r="AY56" s="306">
        <v>0</v>
      </c>
      <c r="AZ56" s="306">
        <v>0</v>
      </c>
      <c r="BA56" s="306">
        <v>0</v>
      </c>
      <c r="BB56" s="306">
        <v>0</v>
      </c>
      <c r="BC56" s="306">
        <v>0</v>
      </c>
      <c r="BD56" s="306">
        <v>0</v>
      </c>
      <c r="BE56" s="306">
        <v>0</v>
      </c>
      <c r="BF56" s="306">
        <v>0</v>
      </c>
      <c r="BG56" s="306">
        <v>0</v>
      </c>
      <c r="BH56" s="306">
        <v>0</v>
      </c>
      <c r="BI56" s="306">
        <v>0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</row>
    <row r="57" spans="1:70">
      <c r="A57" s="304" t="s">
        <v>780</v>
      </c>
      <c r="B57" s="306">
        <v>1</v>
      </c>
      <c r="AD57" s="304" t="s">
        <v>713</v>
      </c>
      <c r="AE57" s="306">
        <v>0</v>
      </c>
      <c r="AF57" s="306">
        <v>0</v>
      </c>
      <c r="AG57" s="306">
        <v>0</v>
      </c>
      <c r="AH57" s="306">
        <v>0</v>
      </c>
      <c r="AI57" s="306">
        <v>0</v>
      </c>
      <c r="AJ57" s="306">
        <v>0</v>
      </c>
      <c r="AK57" s="306">
        <v>0</v>
      </c>
      <c r="AL57" s="306">
        <v>0</v>
      </c>
      <c r="AM57" s="306">
        <v>0</v>
      </c>
      <c r="AN57" s="306">
        <v>0</v>
      </c>
      <c r="AO57" s="306">
        <v>0</v>
      </c>
      <c r="AP57" s="306">
        <v>0</v>
      </c>
      <c r="AQ57" s="306">
        <v>0</v>
      </c>
      <c r="AR57" s="306">
        <v>4830.4442158522497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  <c r="BD57" s="306">
        <v>0</v>
      </c>
      <c r="BE57" s="306">
        <v>0</v>
      </c>
      <c r="BF57" s="306">
        <v>0</v>
      </c>
      <c r="BG57" s="306">
        <v>0</v>
      </c>
      <c r="BH57" s="306">
        <v>0</v>
      </c>
      <c r="BI57" s="306">
        <v>0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</row>
    <row r="58" spans="1:70">
      <c r="A58" s="304" t="s">
        <v>727</v>
      </c>
      <c r="B58" s="306">
        <v>1</v>
      </c>
      <c r="AD58" s="304" t="s">
        <v>752</v>
      </c>
      <c r="AE58" s="306">
        <v>0</v>
      </c>
      <c r="AF58" s="306">
        <v>0</v>
      </c>
      <c r="AG58" s="306">
        <v>0</v>
      </c>
      <c r="AH58" s="306">
        <v>0</v>
      </c>
      <c r="AI58" s="306">
        <v>0</v>
      </c>
      <c r="AJ58" s="306">
        <v>0</v>
      </c>
      <c r="AK58" s="306">
        <v>0</v>
      </c>
      <c r="AL58" s="306">
        <v>0</v>
      </c>
      <c r="AM58" s="306">
        <v>0</v>
      </c>
      <c r="AN58" s="306">
        <v>0</v>
      </c>
      <c r="AO58" s="306">
        <v>0</v>
      </c>
      <c r="AP58" s="306">
        <v>0</v>
      </c>
      <c r="AQ58" s="306">
        <v>0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0</v>
      </c>
      <c r="AX58" s="306">
        <v>0</v>
      </c>
      <c r="AY58" s="306">
        <v>0</v>
      </c>
      <c r="AZ58" s="306">
        <v>0</v>
      </c>
      <c r="BA58" s="306">
        <v>0</v>
      </c>
      <c r="BB58" s="306">
        <v>0</v>
      </c>
      <c r="BC58" s="306">
        <v>0</v>
      </c>
      <c r="BD58" s="306">
        <v>0</v>
      </c>
      <c r="BE58" s="306">
        <v>0</v>
      </c>
      <c r="BF58" s="306">
        <v>0</v>
      </c>
      <c r="BG58" s="306">
        <v>0</v>
      </c>
      <c r="BH58" s="306">
        <v>0</v>
      </c>
      <c r="BI58" s="306">
        <v>0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</row>
    <row r="59" spans="1:70">
      <c r="A59" s="304" t="s">
        <v>728</v>
      </c>
      <c r="B59" s="306">
        <v>1</v>
      </c>
      <c r="AD59" s="304" t="s">
        <v>753</v>
      </c>
      <c r="AE59" s="306">
        <v>0</v>
      </c>
      <c r="AF59" s="306">
        <v>0</v>
      </c>
      <c r="AG59" s="306">
        <v>0</v>
      </c>
      <c r="AH59" s="306">
        <v>0</v>
      </c>
      <c r="AI59" s="306">
        <v>0</v>
      </c>
      <c r="AJ59" s="306">
        <v>0</v>
      </c>
      <c r="AK59" s="306">
        <v>0</v>
      </c>
      <c r="AL59" s="306">
        <v>0</v>
      </c>
      <c r="AM59" s="306">
        <v>0</v>
      </c>
      <c r="AN59" s="306">
        <v>0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0</v>
      </c>
      <c r="BC59" s="306">
        <v>0</v>
      </c>
      <c r="BD59" s="306">
        <v>0</v>
      </c>
      <c r="BE59" s="306">
        <v>0</v>
      </c>
      <c r="BF59" s="306">
        <v>0</v>
      </c>
      <c r="BG59" s="306">
        <v>0</v>
      </c>
      <c r="BH59" s="306">
        <v>0</v>
      </c>
      <c r="BI59" s="306">
        <v>0</v>
      </c>
      <c r="BJ59" s="306">
        <v>0</v>
      </c>
      <c r="BK59" s="306">
        <v>0</v>
      </c>
      <c r="BL59" s="306">
        <v>0</v>
      </c>
      <c r="BM59" s="306">
        <v>0</v>
      </c>
      <c r="BN59" s="306">
        <v>0</v>
      </c>
      <c r="BO59" s="306">
        <v>0</v>
      </c>
      <c r="BP59" s="306">
        <v>0</v>
      </c>
      <c r="BQ59" s="306">
        <v>0</v>
      </c>
      <c r="BR59" s="306">
        <v>0</v>
      </c>
    </row>
    <row r="60" spans="1:70">
      <c r="A60" s="304"/>
      <c r="B60" s="358" t="s">
        <v>707</v>
      </c>
      <c r="AD60" s="304" t="s">
        <v>754</v>
      </c>
      <c r="AE60" s="306">
        <v>0</v>
      </c>
      <c r="AF60" s="306">
        <v>0</v>
      </c>
      <c r="AG60" s="306">
        <v>0</v>
      </c>
      <c r="AH60" s="306">
        <v>0</v>
      </c>
      <c r="AI60" s="306">
        <v>0</v>
      </c>
      <c r="AJ60" s="306">
        <v>0</v>
      </c>
      <c r="AK60" s="306">
        <v>0</v>
      </c>
      <c r="AL60" s="306">
        <v>0</v>
      </c>
      <c r="AM60" s="306">
        <v>0</v>
      </c>
      <c r="AN60" s="306">
        <v>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0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  <c r="BD60" s="306">
        <v>0</v>
      </c>
      <c r="BE60" s="306">
        <v>0</v>
      </c>
      <c r="BF60" s="306">
        <v>0</v>
      </c>
      <c r="BG60" s="306">
        <v>0</v>
      </c>
      <c r="BH60" s="306">
        <v>0</v>
      </c>
      <c r="BI60" s="306">
        <v>0</v>
      </c>
      <c r="BJ60" s="306">
        <v>0</v>
      </c>
      <c r="BK60" s="306">
        <v>0</v>
      </c>
      <c r="BL60" s="306">
        <v>0</v>
      </c>
      <c r="BM60" s="306">
        <v>0</v>
      </c>
      <c r="BN60" s="306">
        <v>0</v>
      </c>
      <c r="BO60" s="306">
        <v>0</v>
      </c>
      <c r="BP60" s="306">
        <v>0</v>
      </c>
      <c r="BQ60" s="306">
        <v>0</v>
      </c>
      <c r="BR60" s="306">
        <v>0</v>
      </c>
    </row>
    <row r="61" spans="1:70">
      <c r="AD61" s="304" t="s">
        <v>755</v>
      </c>
      <c r="AE61" s="306">
        <v>0</v>
      </c>
      <c r="AF61" s="306">
        <v>0</v>
      </c>
      <c r="AG61" s="306">
        <v>0</v>
      </c>
      <c r="AH61" s="306">
        <v>0</v>
      </c>
      <c r="AI61" s="306">
        <v>0</v>
      </c>
      <c r="AJ61" s="306">
        <v>0</v>
      </c>
      <c r="AK61" s="306">
        <v>0</v>
      </c>
      <c r="AL61" s="306">
        <v>0</v>
      </c>
      <c r="AM61" s="306">
        <v>0</v>
      </c>
      <c r="AN61" s="306">
        <v>0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0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  <c r="BD61" s="306">
        <v>0</v>
      </c>
      <c r="BE61" s="306">
        <v>0</v>
      </c>
      <c r="BF61" s="306">
        <v>0</v>
      </c>
      <c r="BG61" s="306">
        <v>0</v>
      </c>
      <c r="BH61" s="306">
        <v>0</v>
      </c>
      <c r="BI61" s="306">
        <v>0</v>
      </c>
      <c r="BJ61" s="306">
        <v>0</v>
      </c>
      <c r="BK61" s="306">
        <v>0</v>
      </c>
      <c r="BL61" s="306">
        <v>0</v>
      </c>
      <c r="BM61" s="306">
        <v>0</v>
      </c>
      <c r="BN61" s="306">
        <v>0</v>
      </c>
      <c r="BO61" s="306">
        <v>0</v>
      </c>
      <c r="BP61" s="306">
        <v>0</v>
      </c>
      <c r="BQ61" s="306">
        <v>0</v>
      </c>
      <c r="BR61" s="306">
        <v>0</v>
      </c>
    </row>
    <row r="62" spans="1:70">
      <c r="AD62" s="304" t="s">
        <v>756</v>
      </c>
      <c r="AE62" s="306">
        <v>0</v>
      </c>
      <c r="AF62" s="306">
        <v>0</v>
      </c>
      <c r="AG62" s="306">
        <v>0</v>
      </c>
      <c r="AH62" s="306">
        <v>0</v>
      </c>
      <c r="AI62" s="306">
        <v>0</v>
      </c>
      <c r="AJ62" s="306">
        <v>0</v>
      </c>
      <c r="AK62" s="306">
        <v>0</v>
      </c>
      <c r="AL62" s="306">
        <v>0</v>
      </c>
      <c r="AM62" s="306">
        <v>0</v>
      </c>
      <c r="AN62" s="306">
        <v>0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0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  <c r="BD62" s="306">
        <v>0</v>
      </c>
      <c r="BE62" s="306">
        <v>0</v>
      </c>
      <c r="BF62" s="306">
        <v>0</v>
      </c>
      <c r="BG62" s="306">
        <v>0</v>
      </c>
      <c r="BH62" s="306">
        <v>0</v>
      </c>
      <c r="BI62" s="306">
        <v>0</v>
      </c>
      <c r="BJ62" s="306">
        <v>0</v>
      </c>
      <c r="BK62" s="306">
        <v>0</v>
      </c>
      <c r="BL62" s="306">
        <v>0</v>
      </c>
      <c r="BM62" s="306">
        <v>0</v>
      </c>
      <c r="BN62" s="306">
        <v>0</v>
      </c>
      <c r="BO62" s="306">
        <v>0</v>
      </c>
      <c r="BP62" s="306">
        <v>0</v>
      </c>
      <c r="BQ62" s="306">
        <v>0</v>
      </c>
      <c r="BR62" s="306">
        <v>0</v>
      </c>
    </row>
    <row r="63" spans="1:70">
      <c r="AD63" s="304" t="s">
        <v>757</v>
      </c>
      <c r="AE63" s="306">
        <v>0</v>
      </c>
      <c r="AF63" s="306">
        <v>0</v>
      </c>
      <c r="AG63" s="306">
        <v>0</v>
      </c>
      <c r="AH63" s="306">
        <v>0</v>
      </c>
      <c r="AI63" s="306">
        <v>0</v>
      </c>
      <c r="AJ63" s="306">
        <v>0</v>
      </c>
      <c r="AK63" s="306">
        <v>0</v>
      </c>
      <c r="AL63" s="306">
        <v>0</v>
      </c>
      <c r="AM63" s="306">
        <v>0</v>
      </c>
      <c r="AN63" s="306">
        <v>0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  <c r="BD63" s="306">
        <v>0</v>
      </c>
      <c r="BE63" s="306">
        <v>0</v>
      </c>
      <c r="BF63" s="306">
        <v>0</v>
      </c>
      <c r="BG63" s="306">
        <v>0</v>
      </c>
      <c r="BH63" s="306">
        <v>0</v>
      </c>
      <c r="BI63" s="306">
        <v>0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</row>
    <row r="64" spans="1:70">
      <c r="AD64" s="304" t="s">
        <v>670</v>
      </c>
      <c r="AE64" s="306">
        <v>0</v>
      </c>
      <c r="AF64" s="306">
        <v>0</v>
      </c>
      <c r="AG64" s="306">
        <v>0</v>
      </c>
      <c r="AH64" s="306">
        <v>0</v>
      </c>
      <c r="AI64" s="306">
        <v>0</v>
      </c>
      <c r="AJ64" s="306">
        <v>0</v>
      </c>
      <c r="AK64" s="306">
        <v>0</v>
      </c>
      <c r="AL64" s="306">
        <v>0</v>
      </c>
      <c r="AM64" s="306">
        <v>0</v>
      </c>
      <c r="AN64" s="306">
        <v>0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  <c r="BD64" s="306">
        <v>0</v>
      </c>
      <c r="BE64" s="306">
        <v>0</v>
      </c>
      <c r="BF64" s="306">
        <v>0</v>
      </c>
      <c r="BG64" s="306">
        <v>0</v>
      </c>
      <c r="BH64" s="306">
        <v>0</v>
      </c>
      <c r="BI64" s="306">
        <v>0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0</v>
      </c>
      <c r="BP64" s="306">
        <v>0</v>
      </c>
      <c r="BQ64" s="306">
        <v>0</v>
      </c>
      <c r="BR64" s="306">
        <v>0</v>
      </c>
    </row>
    <row r="65" spans="30:70">
      <c r="AD65" s="304" t="s">
        <v>671</v>
      </c>
      <c r="AE65" s="306">
        <v>0</v>
      </c>
      <c r="AF65" s="306">
        <v>0</v>
      </c>
      <c r="AG65" s="306">
        <v>0</v>
      </c>
      <c r="AH65" s="306">
        <v>0</v>
      </c>
      <c r="AI65" s="306">
        <v>0</v>
      </c>
      <c r="AJ65" s="306">
        <v>0</v>
      </c>
      <c r="AK65" s="306">
        <v>0</v>
      </c>
      <c r="AL65" s="306">
        <v>0</v>
      </c>
      <c r="AM65" s="306">
        <v>10407.5335702297</v>
      </c>
      <c r="AN65" s="306">
        <v>0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0</v>
      </c>
      <c r="BD65" s="306">
        <v>0</v>
      </c>
      <c r="BE65" s="306">
        <v>0</v>
      </c>
      <c r="BF65" s="306">
        <v>0</v>
      </c>
      <c r="BG65" s="306">
        <v>0</v>
      </c>
      <c r="BH65" s="306">
        <v>0</v>
      </c>
      <c r="BI65" s="306">
        <v>0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</row>
    <row r="66" spans="30:70">
      <c r="AD66" s="304" t="s">
        <v>714</v>
      </c>
      <c r="AE66" s="306">
        <v>0</v>
      </c>
      <c r="AF66" s="306">
        <v>0</v>
      </c>
      <c r="AG66" s="306">
        <v>0</v>
      </c>
      <c r="AH66" s="306">
        <v>0</v>
      </c>
      <c r="AI66" s="306">
        <v>0</v>
      </c>
      <c r="AJ66" s="306">
        <v>0</v>
      </c>
      <c r="AK66" s="306">
        <v>0</v>
      </c>
      <c r="AL66" s="306">
        <v>0</v>
      </c>
      <c r="AM66" s="306">
        <v>0</v>
      </c>
      <c r="AN66" s="306">
        <v>0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3749358.3680556798</v>
      </c>
      <c r="BA66" s="306">
        <v>0</v>
      </c>
      <c r="BB66" s="306">
        <v>0</v>
      </c>
      <c r="BC66" s="306">
        <v>0</v>
      </c>
      <c r="BD66" s="306">
        <v>0</v>
      </c>
      <c r="BE66" s="306">
        <v>0</v>
      </c>
      <c r="BF66" s="306">
        <v>0</v>
      </c>
      <c r="BG66" s="306">
        <v>0</v>
      </c>
      <c r="BH66" s="306">
        <v>0</v>
      </c>
      <c r="BI66" s="306">
        <v>0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</row>
    <row r="67" spans="30:70">
      <c r="AD67" s="304" t="s">
        <v>758</v>
      </c>
      <c r="AE67" s="306">
        <v>0</v>
      </c>
      <c r="AF67" s="306">
        <v>0</v>
      </c>
      <c r="AG67" s="306">
        <v>0</v>
      </c>
      <c r="AH67" s="306">
        <v>0</v>
      </c>
      <c r="AI67" s="306">
        <v>0</v>
      </c>
      <c r="AJ67" s="306">
        <v>0</v>
      </c>
      <c r="AK67" s="306">
        <v>0</v>
      </c>
      <c r="AL67" s="306">
        <v>0</v>
      </c>
      <c r="AM67" s="306">
        <v>0</v>
      </c>
      <c r="AN67" s="306">
        <v>0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0</v>
      </c>
      <c r="AZ67" s="306">
        <v>0</v>
      </c>
      <c r="BA67" s="306">
        <v>0</v>
      </c>
      <c r="BB67" s="306">
        <v>0</v>
      </c>
      <c r="BC67" s="306">
        <v>0</v>
      </c>
      <c r="BD67" s="306">
        <v>0</v>
      </c>
      <c r="BE67" s="306">
        <v>0</v>
      </c>
      <c r="BF67" s="306">
        <v>0</v>
      </c>
      <c r="BG67" s="306">
        <v>0</v>
      </c>
      <c r="BH67" s="306">
        <v>0</v>
      </c>
      <c r="BI67" s="306">
        <v>0</v>
      </c>
      <c r="BJ67" s="306">
        <v>0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</row>
    <row r="68" spans="30:70">
      <c r="AD68" s="304" t="s">
        <v>715</v>
      </c>
      <c r="AE68" s="306">
        <v>0</v>
      </c>
      <c r="AF68" s="306">
        <v>0</v>
      </c>
      <c r="AG68" s="306">
        <v>0</v>
      </c>
      <c r="AH68" s="306">
        <v>0</v>
      </c>
      <c r="AI68" s="306">
        <v>0</v>
      </c>
      <c r="AJ68" s="306">
        <v>0</v>
      </c>
      <c r="AK68" s="306">
        <v>0</v>
      </c>
      <c r="AL68" s="306">
        <v>0</v>
      </c>
      <c r="AM68" s="306">
        <v>0</v>
      </c>
      <c r="AN68" s="306">
        <v>0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0</v>
      </c>
      <c r="BA68" s="306">
        <v>0</v>
      </c>
      <c r="BB68" s="306">
        <v>0</v>
      </c>
      <c r="BC68" s="306">
        <v>0</v>
      </c>
      <c r="BD68" s="306">
        <v>0</v>
      </c>
      <c r="BE68" s="306">
        <v>0</v>
      </c>
      <c r="BF68" s="306">
        <v>0</v>
      </c>
      <c r="BG68" s="306">
        <v>668.84165319492104</v>
      </c>
      <c r="BH68" s="306">
        <v>0</v>
      </c>
      <c r="BI68" s="306">
        <v>0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0</v>
      </c>
    </row>
    <row r="69" spans="30:70">
      <c r="AD69" s="304" t="s">
        <v>716</v>
      </c>
      <c r="AE69" s="306">
        <v>0</v>
      </c>
      <c r="AF69" s="306">
        <v>0</v>
      </c>
      <c r="AG69" s="306">
        <v>0</v>
      </c>
      <c r="AH69" s="306">
        <v>0</v>
      </c>
      <c r="AI69" s="306">
        <v>0</v>
      </c>
      <c r="AJ69" s="306">
        <v>0</v>
      </c>
      <c r="AK69" s="306">
        <v>0</v>
      </c>
      <c r="AL69" s="306">
        <v>0</v>
      </c>
      <c r="AM69" s="306">
        <v>0</v>
      </c>
      <c r="AN69" s="306">
        <v>0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  <c r="BD69" s="306">
        <v>0</v>
      </c>
      <c r="BE69" s="306">
        <v>0</v>
      </c>
      <c r="BF69" s="306">
        <v>668.84165319492104</v>
      </c>
      <c r="BG69" s="306">
        <v>0</v>
      </c>
      <c r="BH69" s="306">
        <v>0</v>
      </c>
      <c r="BI69" s="306">
        <v>0</v>
      </c>
      <c r="BJ69" s="306">
        <v>0</v>
      </c>
      <c r="BK69" s="306">
        <v>0</v>
      </c>
      <c r="BL69" s="306">
        <v>0</v>
      </c>
      <c r="BM69" s="306">
        <v>0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</row>
    <row r="70" spans="30:70">
      <c r="AD70" s="304" t="s">
        <v>717</v>
      </c>
      <c r="AE70" s="306">
        <v>0</v>
      </c>
      <c r="AF70" s="306">
        <v>0</v>
      </c>
      <c r="AG70" s="306">
        <v>0</v>
      </c>
      <c r="AH70" s="306">
        <v>0</v>
      </c>
      <c r="AI70" s="306">
        <v>0</v>
      </c>
      <c r="AJ70" s="306">
        <v>0</v>
      </c>
      <c r="AK70" s="306">
        <v>0</v>
      </c>
      <c r="AL70" s="306">
        <v>0</v>
      </c>
      <c r="AM70" s="306">
        <v>0</v>
      </c>
      <c r="AN70" s="306">
        <v>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0</v>
      </c>
      <c r="BA70" s="306">
        <v>0</v>
      </c>
      <c r="BB70" s="306">
        <v>0</v>
      </c>
      <c r="BC70" s="306">
        <v>0</v>
      </c>
      <c r="BD70" s="306">
        <v>0</v>
      </c>
      <c r="BE70" s="306">
        <v>184686.52821315001</v>
      </c>
      <c r="BF70" s="306">
        <v>0</v>
      </c>
      <c r="BG70" s="306">
        <v>0</v>
      </c>
      <c r="BH70" s="306">
        <v>0</v>
      </c>
      <c r="BI70" s="306">
        <v>0</v>
      </c>
      <c r="BJ70" s="306">
        <v>0</v>
      </c>
      <c r="BK70" s="306">
        <v>0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</row>
    <row r="71" spans="30:70">
      <c r="AD71" s="304" t="s">
        <v>718</v>
      </c>
      <c r="AE71" s="306">
        <v>0</v>
      </c>
      <c r="AF71" s="306">
        <v>0</v>
      </c>
      <c r="AG71" s="306">
        <v>0</v>
      </c>
      <c r="AH71" s="306">
        <v>0</v>
      </c>
      <c r="AI71" s="306">
        <v>0</v>
      </c>
      <c r="AJ71" s="306">
        <v>0</v>
      </c>
      <c r="AK71" s="306">
        <v>0</v>
      </c>
      <c r="AL71" s="306">
        <v>0</v>
      </c>
      <c r="AM71" s="306">
        <v>0</v>
      </c>
      <c r="AN71" s="306">
        <v>0</v>
      </c>
      <c r="AO71" s="306">
        <v>0</v>
      </c>
      <c r="AP71" s="306">
        <v>0</v>
      </c>
      <c r="AQ71" s="306">
        <v>0</v>
      </c>
      <c r="AR71" s="306">
        <v>0</v>
      </c>
      <c r="AS71" s="306">
        <v>184686.52821315001</v>
      </c>
      <c r="AT71" s="306">
        <v>0</v>
      </c>
      <c r="AU71" s="306">
        <v>0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0</v>
      </c>
      <c r="BD71" s="306">
        <v>0</v>
      </c>
      <c r="BE71" s="306">
        <v>0</v>
      </c>
      <c r="BF71" s="306">
        <v>0</v>
      </c>
      <c r="BG71" s="306">
        <v>0</v>
      </c>
      <c r="BH71" s="306">
        <v>0</v>
      </c>
      <c r="BI71" s="306">
        <v>0</v>
      </c>
      <c r="BJ71" s="306">
        <v>0</v>
      </c>
      <c r="BK71" s="306">
        <v>0</v>
      </c>
      <c r="BL71" s="306">
        <v>0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</row>
    <row r="72" spans="30:70">
      <c r="AD72" s="304" t="s">
        <v>759</v>
      </c>
      <c r="AE72" s="306">
        <v>0</v>
      </c>
      <c r="AF72" s="306">
        <v>0</v>
      </c>
      <c r="AG72" s="306">
        <v>0</v>
      </c>
      <c r="AH72" s="306">
        <v>0</v>
      </c>
      <c r="AI72" s="306">
        <v>0</v>
      </c>
      <c r="AJ72" s="306">
        <v>0</v>
      </c>
      <c r="AK72" s="306">
        <v>0</v>
      </c>
      <c r="AL72" s="306">
        <v>0</v>
      </c>
      <c r="AM72" s="306">
        <v>0</v>
      </c>
      <c r="AN72" s="306">
        <v>0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  <c r="BD72" s="306">
        <v>0</v>
      </c>
      <c r="BE72" s="306">
        <v>0</v>
      </c>
      <c r="BF72" s="306">
        <v>0</v>
      </c>
      <c r="BG72" s="306">
        <v>0</v>
      </c>
      <c r="BH72" s="306">
        <v>0</v>
      </c>
      <c r="BI72" s="306">
        <v>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0</v>
      </c>
      <c r="BR72" s="306">
        <v>0</v>
      </c>
    </row>
    <row r="73" spans="30:70">
      <c r="AD73" s="304" t="s">
        <v>760</v>
      </c>
      <c r="AE73" s="306">
        <v>0</v>
      </c>
      <c r="AF73" s="306">
        <v>0</v>
      </c>
      <c r="AG73" s="306">
        <v>0</v>
      </c>
      <c r="AH73" s="306">
        <v>0</v>
      </c>
      <c r="AI73" s="306">
        <v>0</v>
      </c>
      <c r="AJ73" s="306">
        <v>0</v>
      </c>
      <c r="AK73" s="306">
        <v>0</v>
      </c>
      <c r="AL73" s="306">
        <v>0</v>
      </c>
      <c r="AM73" s="306">
        <v>0</v>
      </c>
      <c r="AN73" s="306">
        <v>0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  <c r="BD73" s="306">
        <v>0</v>
      </c>
      <c r="BE73" s="306">
        <v>0</v>
      </c>
      <c r="BF73" s="306">
        <v>0</v>
      </c>
      <c r="BG73" s="306">
        <v>0</v>
      </c>
      <c r="BH73" s="306">
        <v>0</v>
      </c>
      <c r="BI73" s="306">
        <v>0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0</v>
      </c>
      <c r="BP73" s="306">
        <v>0</v>
      </c>
      <c r="BQ73" s="306">
        <v>0</v>
      </c>
      <c r="BR73" s="306">
        <v>0</v>
      </c>
    </row>
    <row r="74" spans="30:70">
      <c r="AD74" s="304" t="s">
        <v>761</v>
      </c>
      <c r="AE74" s="306">
        <v>0</v>
      </c>
      <c r="AF74" s="306">
        <v>0</v>
      </c>
      <c r="AG74" s="306">
        <v>0</v>
      </c>
      <c r="AH74" s="306">
        <v>0</v>
      </c>
      <c r="AI74" s="306">
        <v>0</v>
      </c>
      <c r="AJ74" s="306">
        <v>0</v>
      </c>
      <c r="AK74" s="306">
        <v>0</v>
      </c>
      <c r="AL74" s="306">
        <v>0</v>
      </c>
      <c r="AM74" s="306">
        <v>0</v>
      </c>
      <c r="AN74" s="306">
        <v>0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0</v>
      </c>
      <c r="BC74" s="306">
        <v>0</v>
      </c>
      <c r="BD74" s="306">
        <v>0</v>
      </c>
      <c r="BE74" s="306">
        <v>0</v>
      </c>
      <c r="BF74" s="306">
        <v>0</v>
      </c>
      <c r="BG74" s="306">
        <v>0</v>
      </c>
      <c r="BH74" s="306">
        <v>0</v>
      </c>
      <c r="BI74" s="306">
        <v>0</v>
      </c>
      <c r="BJ74" s="306">
        <v>0</v>
      </c>
      <c r="BK74" s="306">
        <v>0</v>
      </c>
      <c r="BL74" s="306">
        <v>0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0</v>
      </c>
    </row>
    <row r="75" spans="30:70">
      <c r="AD75" s="304" t="s">
        <v>719</v>
      </c>
      <c r="AE75" s="306">
        <v>0</v>
      </c>
      <c r="AF75" s="306">
        <v>22059.242005331998</v>
      </c>
      <c r="AG75" s="306">
        <v>0</v>
      </c>
      <c r="AH75" s="306">
        <v>0</v>
      </c>
      <c r="AI75" s="306">
        <v>0</v>
      </c>
      <c r="AJ75" s="306">
        <v>0</v>
      </c>
      <c r="AK75" s="306">
        <v>0</v>
      </c>
      <c r="AL75" s="306">
        <v>0</v>
      </c>
      <c r="AM75" s="306">
        <v>0</v>
      </c>
      <c r="AN75" s="306">
        <v>0</v>
      </c>
      <c r="AO75" s="306">
        <v>0</v>
      </c>
      <c r="AP75" s="306">
        <v>0</v>
      </c>
      <c r="AQ75" s="306">
        <v>3204496.1178020099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  <c r="BD75" s="306">
        <v>0</v>
      </c>
      <c r="BE75" s="306">
        <v>0</v>
      </c>
      <c r="BF75" s="306">
        <v>0</v>
      </c>
      <c r="BG75" s="306">
        <v>0</v>
      </c>
      <c r="BH75" s="306">
        <v>0</v>
      </c>
      <c r="BI75" s="306">
        <v>0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</row>
    <row r="76" spans="30:70">
      <c r="AD76" s="304" t="s">
        <v>720</v>
      </c>
      <c r="AE76" s="306">
        <v>0</v>
      </c>
      <c r="AF76" s="306">
        <v>0</v>
      </c>
      <c r="AG76" s="306">
        <v>3090735.3644190198</v>
      </c>
      <c r="AH76" s="306">
        <v>0</v>
      </c>
      <c r="AI76" s="306">
        <v>0</v>
      </c>
      <c r="AJ76" s="306">
        <v>0</v>
      </c>
      <c r="AK76" s="306">
        <v>0</v>
      </c>
      <c r="AL76" s="306">
        <v>0</v>
      </c>
      <c r="AM76" s="306">
        <v>0</v>
      </c>
      <c r="AN76" s="306">
        <v>0</v>
      </c>
      <c r="AO76" s="306">
        <v>0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  <c r="BD76" s="306">
        <v>0</v>
      </c>
      <c r="BE76" s="306">
        <v>0</v>
      </c>
      <c r="BF76" s="306">
        <v>0</v>
      </c>
      <c r="BG76" s="306">
        <v>0</v>
      </c>
      <c r="BH76" s="306">
        <v>0</v>
      </c>
      <c r="BI76" s="306">
        <v>0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</row>
    <row r="77" spans="30:70">
      <c r="AD77" s="304" t="s">
        <v>721</v>
      </c>
      <c r="AE77" s="306">
        <v>0</v>
      </c>
      <c r="AF77" s="306">
        <v>0</v>
      </c>
      <c r="AG77" s="306">
        <v>0</v>
      </c>
      <c r="AH77" s="306">
        <v>0</v>
      </c>
      <c r="AI77" s="306">
        <v>0</v>
      </c>
      <c r="AJ77" s="306">
        <v>0</v>
      </c>
      <c r="AK77" s="306">
        <v>0</v>
      </c>
      <c r="AL77" s="306">
        <v>0</v>
      </c>
      <c r="AM77" s="306">
        <v>0</v>
      </c>
      <c r="AN77" s="306">
        <v>0</v>
      </c>
      <c r="AO77" s="306">
        <v>0</v>
      </c>
      <c r="AP77" s="306">
        <v>0</v>
      </c>
      <c r="AQ77" s="306">
        <v>0</v>
      </c>
      <c r="AR77" s="306">
        <v>0</v>
      </c>
      <c r="AS77" s="306">
        <v>0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  <c r="BD77" s="306">
        <v>0</v>
      </c>
      <c r="BE77" s="306">
        <v>0</v>
      </c>
      <c r="BF77" s="306">
        <v>0</v>
      </c>
      <c r="BG77" s="306">
        <v>0</v>
      </c>
      <c r="BH77" s="306">
        <v>0</v>
      </c>
      <c r="BI77" s="306">
        <v>0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21683.690906267198</v>
      </c>
      <c r="BQ77" s="306">
        <v>0</v>
      </c>
      <c r="BR77" s="306">
        <v>0</v>
      </c>
    </row>
    <row r="78" spans="30:70">
      <c r="AD78" s="304" t="s">
        <v>722</v>
      </c>
      <c r="AE78" s="306">
        <v>0</v>
      </c>
      <c r="AF78" s="306">
        <v>0</v>
      </c>
      <c r="AG78" s="306">
        <v>0</v>
      </c>
      <c r="AH78" s="306">
        <v>0</v>
      </c>
      <c r="AI78" s="306">
        <v>0</v>
      </c>
      <c r="AJ78" s="306">
        <v>0</v>
      </c>
      <c r="AK78" s="306">
        <v>0</v>
      </c>
      <c r="AL78" s="306">
        <v>0</v>
      </c>
      <c r="AM78" s="306">
        <v>0</v>
      </c>
      <c r="AN78" s="306">
        <v>0</v>
      </c>
      <c r="AO78" s="306">
        <v>0</v>
      </c>
      <c r="AP78" s="306">
        <v>0</v>
      </c>
      <c r="AQ78" s="306">
        <v>5048.7551388456604</v>
      </c>
      <c r="AR78" s="306">
        <v>0</v>
      </c>
      <c r="AS78" s="306">
        <v>0</v>
      </c>
      <c r="AT78" s="306">
        <v>0</v>
      </c>
      <c r="AU78" s="306">
        <v>0</v>
      </c>
      <c r="AV78" s="306">
        <v>0</v>
      </c>
      <c r="AW78" s="306">
        <v>0</v>
      </c>
      <c r="AX78" s="306">
        <v>0</v>
      </c>
      <c r="AY78" s="306">
        <v>0</v>
      </c>
      <c r="AZ78" s="306">
        <v>0</v>
      </c>
      <c r="BA78" s="306">
        <v>0</v>
      </c>
      <c r="BB78" s="306">
        <v>0</v>
      </c>
      <c r="BC78" s="306">
        <v>0</v>
      </c>
      <c r="BD78" s="306">
        <v>0</v>
      </c>
      <c r="BE78" s="306">
        <v>0</v>
      </c>
      <c r="BF78" s="306">
        <v>0</v>
      </c>
      <c r="BG78" s="306">
        <v>0</v>
      </c>
      <c r="BH78" s="306">
        <v>0</v>
      </c>
      <c r="BI78" s="306">
        <v>0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</row>
    <row r="79" spans="30:70">
      <c r="AD79" s="304" t="s">
        <v>723</v>
      </c>
      <c r="AE79" s="306">
        <v>0</v>
      </c>
      <c r="AF79" s="306">
        <v>0</v>
      </c>
      <c r="AG79" s="306">
        <v>0</v>
      </c>
      <c r="AH79" s="306">
        <v>0</v>
      </c>
      <c r="AI79" s="306">
        <v>0</v>
      </c>
      <c r="AJ79" s="306">
        <v>0</v>
      </c>
      <c r="AK79" s="306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306">
        <v>5023.7890204089899</v>
      </c>
      <c r="AU79" s="306">
        <v>0</v>
      </c>
      <c r="AV79" s="306">
        <v>0</v>
      </c>
      <c r="AW79" s="306">
        <v>0</v>
      </c>
      <c r="AX79" s="306">
        <v>0</v>
      </c>
      <c r="AY79" s="306">
        <v>0</v>
      </c>
      <c r="AZ79" s="306">
        <v>0</v>
      </c>
      <c r="BA79" s="306">
        <v>0</v>
      </c>
      <c r="BB79" s="306">
        <v>0</v>
      </c>
      <c r="BC79" s="306">
        <v>0</v>
      </c>
      <c r="BD79" s="306">
        <v>0</v>
      </c>
      <c r="BE79" s="306">
        <v>0</v>
      </c>
      <c r="BF79" s="306">
        <v>0</v>
      </c>
      <c r="BG79" s="306">
        <v>0</v>
      </c>
      <c r="BH79" s="306">
        <v>0</v>
      </c>
      <c r="BI79" s="306">
        <v>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</row>
    <row r="80" spans="30:70">
      <c r="AD80" s="304" t="s">
        <v>724</v>
      </c>
      <c r="AE80" s="306">
        <v>0</v>
      </c>
      <c r="AF80" s="306">
        <v>0</v>
      </c>
      <c r="AG80" s="306">
        <v>0</v>
      </c>
      <c r="AH80" s="306">
        <v>0</v>
      </c>
      <c r="AI80" s="306">
        <v>0</v>
      </c>
      <c r="AJ80" s="306">
        <v>0</v>
      </c>
      <c r="AK80" s="306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306">
        <v>0</v>
      </c>
      <c r="AU80" s="306">
        <v>0</v>
      </c>
      <c r="AV80" s="306">
        <v>0</v>
      </c>
      <c r="AW80" s="306">
        <v>0</v>
      </c>
      <c r="AX80" s="306">
        <v>0</v>
      </c>
      <c r="AY80" s="306">
        <v>0</v>
      </c>
      <c r="AZ80" s="306">
        <v>0</v>
      </c>
      <c r="BA80" s="306">
        <v>0</v>
      </c>
      <c r="BB80" s="306">
        <v>0</v>
      </c>
      <c r="BC80" s="306">
        <v>0</v>
      </c>
      <c r="BD80" s="306">
        <v>0</v>
      </c>
      <c r="BE80" s="306">
        <v>0</v>
      </c>
      <c r="BF80" s="306">
        <v>0</v>
      </c>
      <c r="BG80" s="306">
        <v>0</v>
      </c>
      <c r="BH80" s="306">
        <v>0</v>
      </c>
      <c r="BI80" s="306">
        <v>0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</row>
    <row r="81" spans="30:113">
      <c r="AD81" s="304" t="s">
        <v>725</v>
      </c>
      <c r="AE81" s="306">
        <v>0</v>
      </c>
      <c r="AF81" s="306">
        <v>0</v>
      </c>
      <c r="AG81" s="306">
        <v>0</v>
      </c>
      <c r="AH81" s="306">
        <v>0</v>
      </c>
      <c r="AI81" s="306">
        <v>0</v>
      </c>
      <c r="AJ81" s="306">
        <v>0</v>
      </c>
      <c r="AK81" s="306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82.091627997489695</v>
      </c>
      <c r="AR81" s="306">
        <v>0</v>
      </c>
      <c r="AS81" s="306">
        <v>0</v>
      </c>
      <c r="AT81" s="306">
        <v>0</v>
      </c>
      <c r="AU81" s="306">
        <v>0</v>
      </c>
      <c r="AV81" s="306">
        <v>0</v>
      </c>
      <c r="AW81" s="306">
        <v>0</v>
      </c>
      <c r="AX81" s="306">
        <v>0</v>
      </c>
      <c r="AY81" s="306">
        <v>0</v>
      </c>
      <c r="AZ81" s="306">
        <v>0</v>
      </c>
      <c r="BA81" s="306">
        <v>0</v>
      </c>
      <c r="BB81" s="306">
        <v>0</v>
      </c>
      <c r="BC81" s="306">
        <v>0</v>
      </c>
      <c r="BD81" s="306">
        <v>0</v>
      </c>
      <c r="BE81" s="306">
        <v>0</v>
      </c>
      <c r="BF81" s="306">
        <v>0</v>
      </c>
      <c r="BG81" s="306">
        <v>0</v>
      </c>
      <c r="BH81" s="306">
        <v>0</v>
      </c>
      <c r="BI81" s="306">
        <v>0</v>
      </c>
      <c r="BJ81" s="306">
        <v>0</v>
      </c>
      <c r="BK81" s="306">
        <v>0</v>
      </c>
      <c r="BL81" s="306">
        <v>0</v>
      </c>
      <c r="BM81" s="306">
        <v>0</v>
      </c>
      <c r="BN81" s="306">
        <v>0</v>
      </c>
      <c r="BO81" s="306">
        <v>0</v>
      </c>
      <c r="BP81" s="306">
        <v>0</v>
      </c>
      <c r="BQ81" s="306">
        <v>0</v>
      </c>
      <c r="BR81" s="306">
        <v>0</v>
      </c>
    </row>
    <row r="82" spans="30:113">
      <c r="AD82" s="304" t="s">
        <v>726</v>
      </c>
      <c r="AE82" s="306">
        <v>0</v>
      </c>
      <c r="AF82" s="306">
        <v>0</v>
      </c>
      <c r="AG82" s="306">
        <v>0</v>
      </c>
      <c r="AH82" s="306">
        <v>0</v>
      </c>
      <c r="AI82" s="306">
        <v>0</v>
      </c>
      <c r="AJ82" s="306">
        <v>0</v>
      </c>
      <c r="AK82" s="306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306">
        <v>0</v>
      </c>
      <c r="AU82" s="306">
        <v>82.091627997489695</v>
      </c>
      <c r="AV82" s="306">
        <v>0</v>
      </c>
      <c r="AW82" s="306">
        <v>0</v>
      </c>
      <c r="AX82" s="306">
        <v>0</v>
      </c>
      <c r="AY82" s="306">
        <v>0</v>
      </c>
      <c r="AZ82" s="306">
        <v>0</v>
      </c>
      <c r="BA82" s="306">
        <v>0</v>
      </c>
      <c r="BB82" s="306">
        <v>0</v>
      </c>
      <c r="BC82" s="306">
        <v>0</v>
      </c>
      <c r="BD82" s="306">
        <v>0</v>
      </c>
      <c r="BE82" s="306">
        <v>0</v>
      </c>
      <c r="BF82" s="306">
        <v>0</v>
      </c>
      <c r="BG82" s="306">
        <v>0</v>
      </c>
      <c r="BH82" s="306">
        <v>0</v>
      </c>
      <c r="BI82" s="306">
        <v>0</v>
      </c>
      <c r="BJ82" s="306">
        <v>0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</row>
    <row r="83" spans="30:113">
      <c r="AD83" s="304" t="s">
        <v>762</v>
      </c>
      <c r="AE83" s="306">
        <v>0</v>
      </c>
      <c r="AF83" s="306">
        <v>0</v>
      </c>
      <c r="AG83" s="306">
        <v>0</v>
      </c>
      <c r="AH83" s="306">
        <v>0</v>
      </c>
      <c r="AI83" s="306">
        <v>0</v>
      </c>
      <c r="AJ83" s="306">
        <v>0</v>
      </c>
      <c r="AK83" s="306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306">
        <v>0</v>
      </c>
      <c r="AU83" s="306">
        <v>0</v>
      </c>
      <c r="AV83" s="306">
        <v>0</v>
      </c>
      <c r="AW83" s="306">
        <v>0</v>
      </c>
      <c r="AX83" s="306">
        <v>0</v>
      </c>
      <c r="AY83" s="306">
        <v>0</v>
      </c>
      <c r="AZ83" s="306">
        <v>0</v>
      </c>
      <c r="BA83" s="306">
        <v>0</v>
      </c>
      <c r="BB83" s="306">
        <v>0</v>
      </c>
      <c r="BC83" s="306">
        <v>0</v>
      </c>
      <c r="BD83" s="306">
        <v>0</v>
      </c>
      <c r="BE83" s="306">
        <v>0</v>
      </c>
      <c r="BF83" s="306">
        <v>0</v>
      </c>
      <c r="BG83" s="306">
        <v>0</v>
      </c>
      <c r="BH83" s="306">
        <v>0</v>
      </c>
      <c r="BI83" s="306">
        <v>0</v>
      </c>
      <c r="BJ83" s="306">
        <v>0</v>
      </c>
      <c r="BK83" s="306">
        <v>0</v>
      </c>
      <c r="BL83" s="306">
        <v>0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</row>
    <row r="84" spans="30:113">
      <c r="AD84" s="304" t="s">
        <v>727</v>
      </c>
      <c r="AE84" s="306">
        <v>0</v>
      </c>
      <c r="AF84" s="306">
        <v>0</v>
      </c>
      <c r="AG84" s="306">
        <v>0</v>
      </c>
      <c r="AH84" s="306">
        <v>0</v>
      </c>
      <c r="AI84" s="306">
        <v>0</v>
      </c>
      <c r="AJ84" s="306">
        <v>0</v>
      </c>
      <c r="AK84" s="306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43.206119998678503</v>
      </c>
      <c r="AR84" s="306">
        <v>0</v>
      </c>
      <c r="AS84" s="306">
        <v>0</v>
      </c>
      <c r="AT84" s="306">
        <v>0</v>
      </c>
      <c r="AU84" s="306">
        <v>0</v>
      </c>
      <c r="AV84" s="306">
        <v>0</v>
      </c>
      <c r="AW84" s="306">
        <v>0</v>
      </c>
      <c r="AX84" s="306">
        <v>0</v>
      </c>
      <c r="AY84" s="306">
        <v>0</v>
      </c>
      <c r="AZ84" s="306">
        <v>0</v>
      </c>
      <c r="BA84" s="306">
        <v>0</v>
      </c>
      <c r="BB84" s="306">
        <v>0</v>
      </c>
      <c r="BC84" s="306">
        <v>0</v>
      </c>
      <c r="BD84" s="306">
        <v>0</v>
      </c>
      <c r="BE84" s="306">
        <v>0</v>
      </c>
      <c r="BF84" s="306">
        <v>0</v>
      </c>
      <c r="BG84" s="306">
        <v>0</v>
      </c>
      <c r="BH84" s="306">
        <v>0</v>
      </c>
      <c r="BI84" s="306">
        <v>0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</row>
    <row r="85" spans="30:113">
      <c r="AD85" s="304" t="s">
        <v>728</v>
      </c>
      <c r="AE85" s="306">
        <v>0</v>
      </c>
      <c r="AF85" s="306">
        <v>0</v>
      </c>
      <c r="AG85" s="306">
        <v>0</v>
      </c>
      <c r="AH85" s="306">
        <v>0</v>
      </c>
      <c r="AI85" s="306">
        <v>0</v>
      </c>
      <c r="AJ85" s="306">
        <v>0</v>
      </c>
      <c r="AK85" s="306">
        <v>0</v>
      </c>
      <c r="AL85" s="306">
        <v>0</v>
      </c>
      <c r="AM85" s="306">
        <v>0</v>
      </c>
      <c r="AN85" s="306">
        <v>0</v>
      </c>
      <c r="AO85" s="306">
        <v>0</v>
      </c>
      <c r="AP85" s="306">
        <v>0</v>
      </c>
      <c r="AQ85" s="306">
        <v>0</v>
      </c>
      <c r="AR85" s="306">
        <v>0</v>
      </c>
      <c r="AS85" s="306">
        <v>0</v>
      </c>
      <c r="AT85" s="306">
        <v>0</v>
      </c>
      <c r="AU85" s="306">
        <v>0</v>
      </c>
      <c r="AV85" s="306">
        <v>43.206119998678503</v>
      </c>
      <c r="AW85" s="306">
        <v>0</v>
      </c>
      <c r="AX85" s="306">
        <v>0</v>
      </c>
      <c r="AY85" s="306">
        <v>0</v>
      </c>
      <c r="AZ85" s="306">
        <v>0</v>
      </c>
      <c r="BA85" s="306">
        <v>0</v>
      </c>
      <c r="BB85" s="306">
        <v>0</v>
      </c>
      <c r="BC85" s="306">
        <v>0</v>
      </c>
      <c r="BD85" s="306">
        <v>0</v>
      </c>
      <c r="BE85" s="306">
        <v>0</v>
      </c>
      <c r="BF85" s="306">
        <v>0</v>
      </c>
      <c r="BG85" s="306">
        <v>0</v>
      </c>
      <c r="BH85" s="306">
        <v>0</v>
      </c>
      <c r="BI85" s="306">
        <v>0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</row>
    <row r="86" spans="30:113">
      <c r="AD86" s="304"/>
      <c r="AE86" s="358" t="s">
        <v>705</v>
      </c>
      <c r="AF86" s="371"/>
      <c r="AG86" s="371"/>
      <c r="AH86" s="371"/>
      <c r="AI86" s="371"/>
      <c r="AJ86" s="371"/>
      <c r="AK86" s="371"/>
      <c r="AL86" s="371"/>
      <c r="AM86" s="371"/>
      <c r="AN86" s="371"/>
      <c r="AO86" s="371"/>
      <c r="AP86" s="371"/>
      <c r="AQ86" s="371"/>
      <c r="AR86" s="371"/>
      <c r="AS86" s="371"/>
      <c r="AT86" s="371"/>
      <c r="AU86" s="371"/>
      <c r="AV86" s="371"/>
      <c r="AW86" s="371"/>
      <c r="AX86" s="371"/>
      <c r="AY86" s="371"/>
      <c r="AZ86" s="371"/>
      <c r="BA86" s="371"/>
      <c r="BB86" s="371"/>
      <c r="BC86" s="371"/>
      <c r="BD86" s="371"/>
      <c r="BE86" s="371"/>
      <c r="BF86" s="371"/>
      <c r="BG86" s="371"/>
      <c r="BH86" s="371"/>
      <c r="BI86" s="371"/>
      <c r="BJ86" s="371"/>
      <c r="BK86" s="371"/>
      <c r="BL86" s="371"/>
      <c r="BM86" s="371"/>
      <c r="BN86" s="371"/>
      <c r="BO86" s="371"/>
      <c r="BP86" s="371"/>
      <c r="BQ86" s="371"/>
      <c r="BR86" s="371"/>
    </row>
    <row r="89" spans="30:113" ht="179.4">
      <c r="AD89" s="303" t="s">
        <v>641</v>
      </c>
      <c r="AE89" s="234" t="s">
        <v>749</v>
      </c>
      <c r="AF89" s="234" t="s">
        <v>750</v>
      </c>
      <c r="AG89" s="234" t="s">
        <v>751</v>
      </c>
      <c r="AH89" s="234" t="s">
        <v>752</v>
      </c>
      <c r="AI89" s="234" t="s">
        <v>753</v>
      </c>
      <c r="AJ89" s="234" t="s">
        <v>754</v>
      </c>
      <c r="AK89" s="234" t="s">
        <v>755</v>
      </c>
      <c r="AL89" s="234" t="s">
        <v>756</v>
      </c>
      <c r="AM89" s="234" t="s">
        <v>757</v>
      </c>
      <c r="AN89" s="234" t="s">
        <v>758</v>
      </c>
      <c r="AO89" s="234" t="s">
        <v>759</v>
      </c>
      <c r="AP89" s="234" t="s">
        <v>760</v>
      </c>
      <c r="AQ89" s="234" t="s">
        <v>761</v>
      </c>
      <c r="AR89" s="234" t="s">
        <v>762</v>
      </c>
      <c r="AS89" s="234" t="s">
        <v>708</v>
      </c>
      <c r="AT89" s="234" t="s">
        <v>709</v>
      </c>
      <c r="AU89" s="234" t="s">
        <v>710</v>
      </c>
      <c r="AV89" s="234" t="s">
        <v>711</v>
      </c>
      <c r="AW89" s="234" t="s">
        <v>656</v>
      </c>
      <c r="AX89" s="234" t="s">
        <v>657</v>
      </c>
      <c r="AY89" s="234" t="s">
        <v>658</v>
      </c>
      <c r="AZ89" s="234" t="s">
        <v>712</v>
      </c>
      <c r="BA89" s="234" t="s">
        <v>713</v>
      </c>
      <c r="BB89" s="234" t="s">
        <v>670</v>
      </c>
      <c r="BC89" s="234" t="s">
        <v>671</v>
      </c>
      <c r="BD89" s="234" t="s">
        <v>714</v>
      </c>
      <c r="BE89" s="234" t="s">
        <v>715</v>
      </c>
      <c r="BF89" s="234" t="s">
        <v>716</v>
      </c>
      <c r="BG89" s="234" t="s">
        <v>717</v>
      </c>
      <c r="BH89" s="234" t="s">
        <v>718</v>
      </c>
      <c r="BI89" s="234" t="s">
        <v>719</v>
      </c>
      <c r="BJ89" s="234" t="s">
        <v>720</v>
      </c>
      <c r="BK89" s="234" t="s">
        <v>721</v>
      </c>
      <c r="BL89" s="234" t="s">
        <v>722</v>
      </c>
      <c r="BM89" s="234" t="s">
        <v>723</v>
      </c>
      <c r="BN89" s="234" t="s">
        <v>724</v>
      </c>
      <c r="BO89" s="234" t="s">
        <v>725</v>
      </c>
      <c r="BP89" s="234" t="s">
        <v>726</v>
      </c>
      <c r="BQ89" s="234" t="s">
        <v>727</v>
      </c>
      <c r="BR89" s="234" t="s">
        <v>728</v>
      </c>
      <c r="BU89" s="303" t="s">
        <v>641</v>
      </c>
      <c r="BV89" s="234" t="s">
        <v>749</v>
      </c>
      <c r="BW89" s="234" t="s">
        <v>750</v>
      </c>
      <c r="BX89" s="234" t="s">
        <v>751</v>
      </c>
      <c r="BY89" s="234" t="s">
        <v>752</v>
      </c>
      <c r="BZ89" s="234" t="s">
        <v>753</v>
      </c>
      <c r="CA89" s="234" t="s">
        <v>754</v>
      </c>
      <c r="CB89" s="234" t="s">
        <v>755</v>
      </c>
      <c r="CC89" s="234" t="s">
        <v>756</v>
      </c>
      <c r="CD89" s="234" t="s">
        <v>757</v>
      </c>
      <c r="CE89" s="234" t="s">
        <v>758</v>
      </c>
      <c r="CF89" s="234" t="s">
        <v>759</v>
      </c>
      <c r="CG89" s="234" t="s">
        <v>760</v>
      </c>
      <c r="CH89" s="234" t="s">
        <v>761</v>
      </c>
      <c r="CI89" s="234" t="s">
        <v>762</v>
      </c>
      <c r="CJ89" s="234" t="s">
        <v>708</v>
      </c>
      <c r="CK89" s="234" t="s">
        <v>709</v>
      </c>
      <c r="CL89" s="234" t="s">
        <v>710</v>
      </c>
      <c r="CM89" s="234" t="s">
        <v>711</v>
      </c>
      <c r="CN89" s="234" t="s">
        <v>656</v>
      </c>
      <c r="CO89" s="234" t="s">
        <v>657</v>
      </c>
      <c r="CP89" s="234" t="s">
        <v>658</v>
      </c>
      <c r="CQ89" s="234" t="s">
        <v>712</v>
      </c>
      <c r="CR89" s="234" t="s">
        <v>713</v>
      </c>
      <c r="CS89" s="234" t="s">
        <v>670</v>
      </c>
      <c r="CT89" s="234" t="s">
        <v>671</v>
      </c>
      <c r="CU89" s="234" t="s">
        <v>714</v>
      </c>
      <c r="CV89" s="234" t="s">
        <v>715</v>
      </c>
      <c r="CW89" s="234" t="s">
        <v>716</v>
      </c>
      <c r="CX89" s="234" t="s">
        <v>717</v>
      </c>
      <c r="CY89" s="234" t="s">
        <v>718</v>
      </c>
      <c r="CZ89" s="234" t="s">
        <v>719</v>
      </c>
      <c r="DA89" s="234" t="s">
        <v>720</v>
      </c>
      <c r="DB89" s="234" t="s">
        <v>721</v>
      </c>
      <c r="DC89" s="234" t="s">
        <v>722</v>
      </c>
      <c r="DD89" s="234" t="s">
        <v>723</v>
      </c>
      <c r="DE89" s="234" t="s">
        <v>724</v>
      </c>
      <c r="DF89" s="234" t="s">
        <v>725</v>
      </c>
      <c r="DG89" s="234" t="s">
        <v>726</v>
      </c>
      <c r="DH89" s="234" t="s">
        <v>727</v>
      </c>
      <c r="DI89" s="234" t="s">
        <v>728</v>
      </c>
    </row>
    <row r="90" spans="30:113">
      <c r="AD90" s="304" t="s">
        <v>708</v>
      </c>
      <c r="AE90" s="305">
        <v>0</v>
      </c>
      <c r="AF90" s="305">
        <v>45017.590801780199</v>
      </c>
      <c r="AG90" s="305">
        <v>0</v>
      </c>
      <c r="AH90" s="305">
        <v>0</v>
      </c>
      <c r="AI90" s="305">
        <v>0</v>
      </c>
      <c r="AJ90" s="305">
        <v>0</v>
      </c>
      <c r="AK90" s="305">
        <v>0</v>
      </c>
      <c r="AL90" s="305">
        <v>0</v>
      </c>
      <c r="AM90" s="305">
        <v>0</v>
      </c>
      <c r="AN90" s="305">
        <v>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0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D90" s="305">
        <v>0</v>
      </c>
      <c r="BE90" s="305">
        <v>0</v>
      </c>
      <c r="BF90" s="305">
        <v>0</v>
      </c>
      <c r="BG90" s="305">
        <v>0</v>
      </c>
      <c r="BH90" s="305">
        <v>0</v>
      </c>
      <c r="BI90" s="305">
        <v>0</v>
      </c>
      <c r="BJ90" s="305">
        <v>0</v>
      </c>
      <c r="BK90" s="305">
        <v>0</v>
      </c>
      <c r="BL90" s="305">
        <v>0</v>
      </c>
      <c r="BM90" s="305">
        <v>0</v>
      </c>
      <c r="BN90" s="305">
        <v>0</v>
      </c>
      <c r="BO90" s="305">
        <v>0</v>
      </c>
      <c r="BP90" s="305">
        <v>0</v>
      </c>
      <c r="BQ90" s="305">
        <v>0</v>
      </c>
      <c r="BR90" s="305">
        <v>0</v>
      </c>
      <c r="BU90" s="304" t="s">
        <v>708</v>
      </c>
      <c r="BV90" s="302">
        <v>0</v>
      </c>
      <c r="BW90" s="302">
        <v>0</v>
      </c>
      <c r="BX90" s="302">
        <v>0</v>
      </c>
      <c r="BY90" s="302">
        <v>0</v>
      </c>
      <c r="BZ90" s="302">
        <v>0</v>
      </c>
      <c r="CA90" s="302">
        <v>0</v>
      </c>
      <c r="CB90" s="302">
        <v>0</v>
      </c>
      <c r="CC90" s="302">
        <v>0</v>
      </c>
      <c r="CD90" s="302">
        <v>0</v>
      </c>
      <c r="CE90" s="302">
        <v>0</v>
      </c>
      <c r="CF90" s="302">
        <v>0</v>
      </c>
      <c r="CG90" s="302">
        <v>0</v>
      </c>
      <c r="CH90" s="302">
        <v>0</v>
      </c>
      <c r="CI90" s="302">
        <v>0</v>
      </c>
      <c r="CJ90" s="302">
        <v>0</v>
      </c>
      <c r="CK90" s="302">
        <v>0</v>
      </c>
      <c r="CL90" s="302">
        <v>0</v>
      </c>
      <c r="CM90" s="302">
        <v>0</v>
      </c>
      <c r="CN90" s="302">
        <v>0</v>
      </c>
      <c r="CO90" s="302">
        <v>0</v>
      </c>
      <c r="CP90" s="302">
        <v>0</v>
      </c>
      <c r="CQ90" s="302">
        <v>0</v>
      </c>
      <c r="CR90" s="302">
        <v>0</v>
      </c>
      <c r="CS90" s="302">
        <v>0</v>
      </c>
      <c r="CT90" s="302">
        <v>0</v>
      </c>
      <c r="CU90" s="302">
        <v>0</v>
      </c>
      <c r="CV90" s="302">
        <v>0</v>
      </c>
      <c r="CW90" s="302">
        <v>0</v>
      </c>
      <c r="CX90" s="302">
        <v>0</v>
      </c>
      <c r="CY90" s="302">
        <v>0</v>
      </c>
      <c r="CZ90" s="302">
        <v>0</v>
      </c>
      <c r="DA90" s="302">
        <v>0</v>
      </c>
      <c r="DB90" s="302">
        <v>0</v>
      </c>
      <c r="DC90" s="302">
        <v>0</v>
      </c>
      <c r="DD90" s="302">
        <v>0</v>
      </c>
      <c r="DE90" s="302">
        <v>0</v>
      </c>
      <c r="DF90" s="302">
        <v>0</v>
      </c>
      <c r="DG90" s="302">
        <v>0</v>
      </c>
      <c r="DH90" s="302">
        <v>0</v>
      </c>
      <c r="DI90" s="302">
        <v>0</v>
      </c>
    </row>
    <row r="91" spans="30:113">
      <c r="AD91" s="304" t="s">
        <v>749</v>
      </c>
      <c r="AE91" s="305">
        <v>0</v>
      </c>
      <c r="AF91" s="305">
        <v>0</v>
      </c>
      <c r="AG91" s="305">
        <v>0</v>
      </c>
      <c r="AH91" s="305">
        <v>0</v>
      </c>
      <c r="AI91" s="305">
        <v>0</v>
      </c>
      <c r="AJ91" s="305">
        <v>0</v>
      </c>
      <c r="AK91" s="305">
        <v>0</v>
      </c>
      <c r="AL91" s="305">
        <v>0</v>
      </c>
      <c r="AM91" s="305">
        <v>0</v>
      </c>
      <c r="AN91" s="305">
        <v>0</v>
      </c>
      <c r="AO91" s="305">
        <v>0</v>
      </c>
      <c r="AP91" s="305">
        <v>0</v>
      </c>
      <c r="AQ91" s="305">
        <v>0</v>
      </c>
      <c r="AR91" s="305">
        <v>0</v>
      </c>
      <c r="AS91" s="305">
        <v>0</v>
      </c>
      <c r="AT91" s="305">
        <v>0</v>
      </c>
      <c r="AU91" s="305">
        <v>0</v>
      </c>
      <c r="AV91" s="305">
        <v>0</v>
      </c>
      <c r="AW91" s="305">
        <v>0</v>
      </c>
      <c r="AX91" s="305">
        <v>0</v>
      </c>
      <c r="AY91" s="305">
        <v>0</v>
      </c>
      <c r="AZ91" s="305">
        <v>0</v>
      </c>
      <c r="BA91" s="305">
        <v>0</v>
      </c>
      <c r="BB91" s="305">
        <v>0</v>
      </c>
      <c r="BC91" s="305">
        <v>0</v>
      </c>
      <c r="BD91" s="305">
        <v>0</v>
      </c>
      <c r="BE91" s="305">
        <v>0</v>
      </c>
      <c r="BF91" s="305">
        <v>0</v>
      </c>
      <c r="BG91" s="305">
        <v>0</v>
      </c>
      <c r="BH91" s="305">
        <v>0</v>
      </c>
      <c r="BI91" s="305">
        <v>0</v>
      </c>
      <c r="BJ91" s="305">
        <v>0</v>
      </c>
      <c r="BK91" s="305">
        <v>0</v>
      </c>
      <c r="BL91" s="305">
        <v>0</v>
      </c>
      <c r="BM91" s="305">
        <v>0</v>
      </c>
      <c r="BN91" s="305">
        <v>0</v>
      </c>
      <c r="BO91" s="305">
        <v>0</v>
      </c>
      <c r="BP91" s="305">
        <v>0</v>
      </c>
      <c r="BQ91" s="305">
        <v>0</v>
      </c>
      <c r="BR91" s="305">
        <v>0</v>
      </c>
      <c r="BU91" s="304" t="s">
        <v>749</v>
      </c>
      <c r="BV91" s="302">
        <v>0</v>
      </c>
      <c r="BW91" s="302">
        <v>0</v>
      </c>
      <c r="BX91" s="302">
        <v>0</v>
      </c>
      <c r="BY91" s="302">
        <v>0</v>
      </c>
      <c r="BZ91" s="302">
        <v>0</v>
      </c>
      <c r="CA91" s="302">
        <v>0</v>
      </c>
      <c r="CB91" s="302">
        <v>0</v>
      </c>
      <c r="CC91" s="302">
        <v>0</v>
      </c>
      <c r="CD91" s="302">
        <v>0</v>
      </c>
      <c r="CE91" s="302">
        <v>0</v>
      </c>
      <c r="CF91" s="302">
        <v>0</v>
      </c>
      <c r="CG91" s="302">
        <v>0</v>
      </c>
      <c r="CH91" s="302">
        <v>0</v>
      </c>
      <c r="CI91" s="302">
        <v>0</v>
      </c>
      <c r="CJ91" s="302">
        <v>0</v>
      </c>
      <c r="CK91" s="302">
        <v>0</v>
      </c>
      <c r="CL91" s="302">
        <v>0</v>
      </c>
      <c r="CM91" s="302">
        <v>0</v>
      </c>
      <c r="CN91" s="302">
        <v>0</v>
      </c>
      <c r="CO91" s="302">
        <v>0</v>
      </c>
      <c r="CP91" s="302">
        <v>0</v>
      </c>
      <c r="CQ91" s="302">
        <v>0</v>
      </c>
      <c r="CR91" s="302">
        <v>0</v>
      </c>
      <c r="CS91" s="302">
        <v>0</v>
      </c>
      <c r="CT91" s="302">
        <v>0</v>
      </c>
      <c r="CU91" s="302">
        <v>0</v>
      </c>
      <c r="CV91" s="302">
        <v>0</v>
      </c>
      <c r="CW91" s="302">
        <v>0</v>
      </c>
      <c r="CX91" s="302">
        <v>0</v>
      </c>
      <c r="CY91" s="302">
        <v>0</v>
      </c>
      <c r="CZ91" s="302">
        <v>0</v>
      </c>
      <c r="DA91" s="302">
        <v>0</v>
      </c>
      <c r="DB91" s="302">
        <v>0</v>
      </c>
      <c r="DC91" s="302">
        <v>0</v>
      </c>
      <c r="DD91" s="302">
        <v>0</v>
      </c>
      <c r="DE91" s="302">
        <v>0</v>
      </c>
      <c r="DF91" s="302">
        <v>0</v>
      </c>
      <c r="DG91" s="302">
        <v>0</v>
      </c>
      <c r="DH91" s="302">
        <v>0</v>
      </c>
      <c r="DI91" s="302">
        <v>0</v>
      </c>
    </row>
    <row r="92" spans="30:113">
      <c r="AD92" s="304" t="s">
        <v>750</v>
      </c>
      <c r="AE92" s="305">
        <v>0</v>
      </c>
      <c r="AF92" s="305">
        <v>0</v>
      </c>
      <c r="AG92" s="305">
        <v>0</v>
      </c>
      <c r="AH92" s="305">
        <v>0</v>
      </c>
      <c r="AI92" s="305">
        <v>0</v>
      </c>
      <c r="AJ92" s="305">
        <v>0</v>
      </c>
      <c r="AK92" s="305">
        <v>0</v>
      </c>
      <c r="AL92" s="305">
        <v>0</v>
      </c>
      <c r="AM92" s="305">
        <v>0</v>
      </c>
      <c r="AN92" s="305">
        <v>0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D92" s="305">
        <v>0</v>
      </c>
      <c r="BE92" s="305">
        <v>0</v>
      </c>
      <c r="BF92" s="305">
        <v>0</v>
      </c>
      <c r="BG92" s="305">
        <v>0</v>
      </c>
      <c r="BH92" s="305">
        <v>0</v>
      </c>
      <c r="BI92" s="305">
        <v>0</v>
      </c>
      <c r="BJ92" s="305">
        <v>0</v>
      </c>
      <c r="BK92" s="305">
        <v>0</v>
      </c>
      <c r="BL92" s="305">
        <v>0</v>
      </c>
      <c r="BM92" s="305">
        <v>0</v>
      </c>
      <c r="BN92" s="305">
        <v>0</v>
      </c>
      <c r="BO92" s="305">
        <v>0</v>
      </c>
      <c r="BP92" s="305">
        <v>0</v>
      </c>
      <c r="BQ92" s="305">
        <v>0</v>
      </c>
      <c r="BR92" s="305">
        <v>0</v>
      </c>
      <c r="BU92" s="304" t="s">
        <v>750</v>
      </c>
      <c r="BV92" s="302">
        <v>0</v>
      </c>
      <c r="BW92" s="302">
        <v>0</v>
      </c>
      <c r="BX92" s="302">
        <v>0</v>
      </c>
      <c r="BY92" s="302">
        <v>0</v>
      </c>
      <c r="BZ92" s="302">
        <v>0</v>
      </c>
      <c r="CA92" s="302">
        <v>0</v>
      </c>
      <c r="CB92" s="302">
        <v>0</v>
      </c>
      <c r="CC92" s="302">
        <v>0</v>
      </c>
      <c r="CD92" s="302">
        <v>0</v>
      </c>
      <c r="CE92" s="302">
        <v>0</v>
      </c>
      <c r="CF92" s="302">
        <v>0</v>
      </c>
      <c r="CG92" s="302">
        <v>0</v>
      </c>
      <c r="CH92" s="302">
        <v>0</v>
      </c>
      <c r="CI92" s="302">
        <v>0</v>
      </c>
      <c r="CJ92" s="302">
        <v>0</v>
      </c>
      <c r="CK92" s="302">
        <v>0</v>
      </c>
      <c r="CL92" s="302">
        <v>0</v>
      </c>
      <c r="CM92" s="302">
        <v>0</v>
      </c>
      <c r="CN92" s="302">
        <v>0</v>
      </c>
      <c r="CO92" s="302">
        <v>0</v>
      </c>
      <c r="CP92" s="302">
        <v>0</v>
      </c>
      <c r="CQ92" s="302">
        <v>0</v>
      </c>
      <c r="CR92" s="302">
        <v>0</v>
      </c>
      <c r="CS92" s="302">
        <v>0</v>
      </c>
      <c r="CT92" s="302">
        <v>0</v>
      </c>
      <c r="CU92" s="302">
        <v>0</v>
      </c>
      <c r="CV92" s="302">
        <v>0</v>
      </c>
      <c r="CW92" s="302">
        <v>0</v>
      </c>
      <c r="CX92" s="302">
        <v>0</v>
      </c>
      <c r="CY92" s="302">
        <v>0</v>
      </c>
      <c r="CZ92" s="302">
        <v>0</v>
      </c>
      <c r="DA92" s="302">
        <v>0</v>
      </c>
      <c r="DB92" s="302">
        <v>0</v>
      </c>
      <c r="DC92" s="302">
        <v>0</v>
      </c>
      <c r="DD92" s="302">
        <v>0</v>
      </c>
      <c r="DE92" s="302">
        <v>0</v>
      </c>
      <c r="DF92" s="302">
        <v>0</v>
      </c>
      <c r="DG92" s="302">
        <v>0</v>
      </c>
      <c r="DH92" s="302">
        <v>0</v>
      </c>
      <c r="DI92" s="302">
        <v>0</v>
      </c>
    </row>
    <row r="93" spans="30:113">
      <c r="AD93" s="304" t="s">
        <v>709</v>
      </c>
      <c r="AE93" s="305">
        <v>0</v>
      </c>
      <c r="AF93" s="305">
        <v>66251.174567632304</v>
      </c>
      <c r="AG93" s="305">
        <v>0</v>
      </c>
      <c r="AH93" s="305">
        <v>0</v>
      </c>
      <c r="AI93" s="305">
        <v>0</v>
      </c>
      <c r="AJ93" s="305">
        <v>0</v>
      </c>
      <c r="AK93" s="305">
        <v>0</v>
      </c>
      <c r="AL93" s="305">
        <v>0</v>
      </c>
      <c r="AM93" s="305">
        <v>0</v>
      </c>
      <c r="AN93" s="305">
        <v>0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D93" s="305">
        <v>0</v>
      </c>
      <c r="BE93" s="305">
        <v>0</v>
      </c>
      <c r="BF93" s="305">
        <v>0</v>
      </c>
      <c r="BG93" s="305">
        <v>0</v>
      </c>
      <c r="BH93" s="305">
        <v>0</v>
      </c>
      <c r="BI93" s="305">
        <v>0</v>
      </c>
      <c r="BJ93" s="305">
        <v>0</v>
      </c>
      <c r="BK93" s="305">
        <v>0</v>
      </c>
      <c r="BL93" s="305">
        <v>0</v>
      </c>
      <c r="BM93" s="305">
        <v>0</v>
      </c>
      <c r="BN93" s="305">
        <v>0</v>
      </c>
      <c r="BO93" s="305">
        <v>0</v>
      </c>
      <c r="BP93" s="305">
        <v>0</v>
      </c>
      <c r="BQ93" s="305">
        <v>0</v>
      </c>
      <c r="BR93" s="305">
        <v>0</v>
      </c>
      <c r="BU93" s="304" t="s">
        <v>709</v>
      </c>
      <c r="BV93" s="302">
        <v>0</v>
      </c>
      <c r="BW93" s="302">
        <v>0</v>
      </c>
      <c r="BX93" s="302">
        <v>0</v>
      </c>
      <c r="BY93" s="302">
        <v>0</v>
      </c>
      <c r="BZ93" s="302">
        <v>0</v>
      </c>
      <c r="CA93" s="302">
        <v>0</v>
      </c>
      <c r="CB93" s="302">
        <v>0</v>
      </c>
      <c r="CC93" s="302">
        <v>0</v>
      </c>
      <c r="CD93" s="302">
        <v>0</v>
      </c>
      <c r="CE93" s="302">
        <v>0</v>
      </c>
      <c r="CF93" s="302">
        <v>0</v>
      </c>
      <c r="CG93" s="302">
        <v>0</v>
      </c>
      <c r="CH93" s="302">
        <v>0</v>
      </c>
      <c r="CI93" s="302">
        <v>0</v>
      </c>
      <c r="CJ93" s="302">
        <v>0</v>
      </c>
      <c r="CK93" s="302">
        <v>0</v>
      </c>
      <c r="CL93" s="302">
        <v>0</v>
      </c>
      <c r="CM93" s="302">
        <v>0</v>
      </c>
      <c r="CN93" s="302">
        <v>0</v>
      </c>
      <c r="CO93" s="302">
        <v>0</v>
      </c>
      <c r="CP93" s="302">
        <v>0</v>
      </c>
      <c r="CQ93" s="302">
        <v>0</v>
      </c>
      <c r="CR93" s="302">
        <v>0</v>
      </c>
      <c r="CS93" s="302">
        <v>0</v>
      </c>
      <c r="CT93" s="302">
        <v>0</v>
      </c>
      <c r="CU93" s="302">
        <v>0</v>
      </c>
      <c r="CV93" s="302">
        <v>0</v>
      </c>
      <c r="CW93" s="302">
        <v>0</v>
      </c>
      <c r="CX93" s="302">
        <v>0</v>
      </c>
      <c r="CY93" s="302">
        <v>0</v>
      </c>
      <c r="CZ93" s="302">
        <v>0</v>
      </c>
      <c r="DA93" s="302">
        <v>0</v>
      </c>
      <c r="DB93" s="302">
        <v>0</v>
      </c>
      <c r="DC93" s="302">
        <v>0</v>
      </c>
      <c r="DD93" s="302">
        <v>0</v>
      </c>
      <c r="DE93" s="302">
        <v>0</v>
      </c>
      <c r="DF93" s="302">
        <v>0</v>
      </c>
      <c r="DG93" s="302">
        <v>0</v>
      </c>
      <c r="DH93" s="302">
        <v>0</v>
      </c>
      <c r="DI93" s="302">
        <v>0</v>
      </c>
    </row>
    <row r="94" spans="30:113">
      <c r="AD94" s="304" t="s">
        <v>710</v>
      </c>
      <c r="AE94" s="305">
        <v>0</v>
      </c>
      <c r="AF94" s="305">
        <v>0</v>
      </c>
      <c r="AG94" s="305">
        <v>0</v>
      </c>
      <c r="AH94" s="305">
        <v>0</v>
      </c>
      <c r="AI94" s="305">
        <v>0</v>
      </c>
      <c r="AJ94" s="305">
        <v>0</v>
      </c>
      <c r="AK94" s="305">
        <v>0</v>
      </c>
      <c r="AL94" s="305">
        <v>0</v>
      </c>
      <c r="AM94" s="305">
        <v>0</v>
      </c>
      <c r="AN94" s="305">
        <v>0</v>
      </c>
      <c r="AO94" s="305">
        <v>0</v>
      </c>
      <c r="AP94" s="305">
        <v>0</v>
      </c>
      <c r="AQ94" s="305">
        <v>91837.795018258301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D94" s="305">
        <v>0</v>
      </c>
      <c r="BE94" s="305">
        <v>0</v>
      </c>
      <c r="BF94" s="305">
        <v>0</v>
      </c>
      <c r="BG94" s="305">
        <v>0</v>
      </c>
      <c r="BH94" s="305">
        <v>0</v>
      </c>
      <c r="BI94" s="305">
        <v>0</v>
      </c>
      <c r="BJ94" s="305">
        <v>0</v>
      </c>
      <c r="BK94" s="305">
        <v>0</v>
      </c>
      <c r="BL94" s="305">
        <v>0</v>
      </c>
      <c r="BM94" s="305">
        <v>0</v>
      </c>
      <c r="BN94" s="305">
        <v>0</v>
      </c>
      <c r="BO94" s="305">
        <v>0</v>
      </c>
      <c r="BP94" s="305">
        <v>0</v>
      </c>
      <c r="BQ94" s="305">
        <v>0</v>
      </c>
      <c r="BR94" s="305">
        <v>0</v>
      </c>
      <c r="BU94" s="304" t="s">
        <v>710</v>
      </c>
      <c r="BV94" s="302">
        <v>0</v>
      </c>
      <c r="BW94" s="302">
        <v>0</v>
      </c>
      <c r="BX94" s="302">
        <v>0</v>
      </c>
      <c r="BY94" s="302">
        <v>0</v>
      </c>
      <c r="BZ94" s="302">
        <v>0</v>
      </c>
      <c r="CA94" s="302">
        <v>0</v>
      </c>
      <c r="CB94" s="302">
        <v>0</v>
      </c>
      <c r="CC94" s="302">
        <v>0</v>
      </c>
      <c r="CD94" s="302">
        <v>0</v>
      </c>
      <c r="CE94" s="302">
        <v>0</v>
      </c>
      <c r="CF94" s="302">
        <v>0</v>
      </c>
      <c r="CG94" s="302">
        <v>0</v>
      </c>
      <c r="CH94" s="302">
        <v>0</v>
      </c>
      <c r="CI94" s="302">
        <v>0</v>
      </c>
      <c r="CJ94" s="302">
        <v>0</v>
      </c>
      <c r="CK94" s="302">
        <v>0</v>
      </c>
      <c r="CL94" s="302">
        <v>0</v>
      </c>
      <c r="CM94" s="302">
        <v>0</v>
      </c>
      <c r="CN94" s="302">
        <v>0</v>
      </c>
      <c r="CO94" s="302">
        <v>0</v>
      </c>
      <c r="CP94" s="302">
        <v>0</v>
      </c>
      <c r="CQ94" s="302">
        <v>0</v>
      </c>
      <c r="CR94" s="302">
        <v>0</v>
      </c>
      <c r="CS94" s="302">
        <v>0</v>
      </c>
      <c r="CT94" s="302">
        <v>0</v>
      </c>
      <c r="CU94" s="302">
        <v>0</v>
      </c>
      <c r="CV94" s="302">
        <v>0</v>
      </c>
      <c r="CW94" s="302">
        <v>0</v>
      </c>
      <c r="CX94" s="302">
        <v>0</v>
      </c>
      <c r="CY94" s="302">
        <v>0</v>
      </c>
      <c r="CZ94" s="302">
        <v>0</v>
      </c>
      <c r="DA94" s="302">
        <v>0</v>
      </c>
      <c r="DB94" s="302">
        <v>0</v>
      </c>
      <c r="DC94" s="302">
        <v>0</v>
      </c>
      <c r="DD94" s="302">
        <v>0</v>
      </c>
      <c r="DE94" s="302">
        <v>0</v>
      </c>
      <c r="DF94" s="302">
        <v>0</v>
      </c>
      <c r="DG94" s="302">
        <v>0</v>
      </c>
      <c r="DH94" s="302">
        <v>0</v>
      </c>
      <c r="DI94" s="302">
        <v>0</v>
      </c>
    </row>
    <row r="95" spans="30:113">
      <c r="AD95" s="304" t="s">
        <v>711</v>
      </c>
      <c r="AE95" s="305">
        <v>0</v>
      </c>
      <c r="AF95" s="305">
        <v>0</v>
      </c>
      <c r="AG95" s="305">
        <v>0</v>
      </c>
      <c r="AH95" s="305">
        <v>0</v>
      </c>
      <c r="AI95" s="305">
        <v>0</v>
      </c>
      <c r="AJ95" s="305">
        <v>0</v>
      </c>
      <c r="AK95" s="305">
        <v>0</v>
      </c>
      <c r="AL95" s="305">
        <v>0</v>
      </c>
      <c r="AM95" s="305">
        <v>0</v>
      </c>
      <c r="AN95" s="305">
        <v>0</v>
      </c>
      <c r="AO95" s="305">
        <v>0</v>
      </c>
      <c r="AP95" s="305">
        <v>290.15291867903898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D95" s="305">
        <v>0</v>
      </c>
      <c r="BE95" s="305">
        <v>0</v>
      </c>
      <c r="BF95" s="305">
        <v>0</v>
      </c>
      <c r="BG95" s="305">
        <v>0</v>
      </c>
      <c r="BH95" s="305">
        <v>0</v>
      </c>
      <c r="BI95" s="305">
        <v>0</v>
      </c>
      <c r="BJ95" s="305">
        <v>0</v>
      </c>
      <c r="BK95" s="305">
        <v>0</v>
      </c>
      <c r="BL95" s="305">
        <v>0</v>
      </c>
      <c r="BM95" s="305">
        <v>0</v>
      </c>
      <c r="BN95" s="305">
        <v>0</v>
      </c>
      <c r="BO95" s="305">
        <v>0</v>
      </c>
      <c r="BP95" s="305">
        <v>0</v>
      </c>
      <c r="BQ95" s="305">
        <v>0</v>
      </c>
      <c r="BR95" s="305">
        <v>0</v>
      </c>
      <c r="BU95" s="304" t="s">
        <v>711</v>
      </c>
      <c r="BV95" s="302">
        <v>0</v>
      </c>
      <c r="BW95" s="302">
        <v>0</v>
      </c>
      <c r="BX95" s="302">
        <v>0</v>
      </c>
      <c r="BY95" s="302">
        <v>0</v>
      </c>
      <c r="BZ95" s="302">
        <v>0</v>
      </c>
      <c r="CA95" s="302">
        <v>0</v>
      </c>
      <c r="CB95" s="302">
        <v>0</v>
      </c>
      <c r="CC95" s="302">
        <v>0</v>
      </c>
      <c r="CD95" s="302">
        <v>0</v>
      </c>
      <c r="CE95" s="302">
        <v>0</v>
      </c>
      <c r="CF95" s="302">
        <v>0</v>
      </c>
      <c r="CG95" s="302">
        <v>0</v>
      </c>
      <c r="CH95" s="302">
        <v>0</v>
      </c>
      <c r="CI95" s="302">
        <v>0</v>
      </c>
      <c r="CJ95" s="302">
        <v>0</v>
      </c>
      <c r="CK95" s="302">
        <v>0</v>
      </c>
      <c r="CL95" s="302">
        <v>0</v>
      </c>
      <c r="CM95" s="302">
        <v>0</v>
      </c>
      <c r="CN95" s="302">
        <v>0</v>
      </c>
      <c r="CO95" s="302">
        <v>0</v>
      </c>
      <c r="CP95" s="302">
        <v>0</v>
      </c>
      <c r="CQ95" s="302">
        <v>0</v>
      </c>
      <c r="CR95" s="302">
        <v>0</v>
      </c>
      <c r="CS95" s="302">
        <v>0</v>
      </c>
      <c r="CT95" s="302">
        <v>0</v>
      </c>
      <c r="CU95" s="302">
        <v>0</v>
      </c>
      <c r="CV95" s="302">
        <v>0</v>
      </c>
      <c r="CW95" s="302">
        <v>0</v>
      </c>
      <c r="CX95" s="302">
        <v>0</v>
      </c>
      <c r="CY95" s="302">
        <v>0</v>
      </c>
      <c r="CZ95" s="302">
        <v>0</v>
      </c>
      <c r="DA95" s="302">
        <v>0</v>
      </c>
      <c r="DB95" s="302">
        <v>0</v>
      </c>
      <c r="DC95" s="302">
        <v>0</v>
      </c>
      <c r="DD95" s="302">
        <v>0</v>
      </c>
      <c r="DE95" s="302">
        <v>0</v>
      </c>
      <c r="DF95" s="302">
        <v>0</v>
      </c>
      <c r="DG95" s="302">
        <v>0</v>
      </c>
      <c r="DH95" s="302">
        <v>0</v>
      </c>
      <c r="DI95" s="302">
        <v>0</v>
      </c>
    </row>
    <row r="96" spans="30:113">
      <c r="AD96" s="304" t="s">
        <v>656</v>
      </c>
      <c r="AE96" s="305">
        <v>0</v>
      </c>
      <c r="AF96" s="305">
        <v>5820.7321553561396</v>
      </c>
      <c r="AG96" s="305">
        <v>0</v>
      </c>
      <c r="AH96" s="305">
        <v>67354.020465940004</v>
      </c>
      <c r="AI96" s="305">
        <v>0</v>
      </c>
      <c r="AJ96" s="305">
        <v>0</v>
      </c>
      <c r="AK96" s="305">
        <v>0</v>
      </c>
      <c r="AL96" s="305">
        <v>0</v>
      </c>
      <c r="AM96" s="305">
        <v>0</v>
      </c>
      <c r="AN96" s="305">
        <v>0</v>
      </c>
      <c r="AO96" s="305">
        <v>0</v>
      </c>
      <c r="AP96" s="305">
        <v>0</v>
      </c>
      <c r="AQ96" s="305">
        <v>3155.63573488975</v>
      </c>
      <c r="AR96" s="305">
        <v>0</v>
      </c>
      <c r="AS96" s="305">
        <v>0</v>
      </c>
      <c r="AT96" s="305">
        <v>0</v>
      </c>
      <c r="AU96" s="305">
        <v>0</v>
      </c>
      <c r="AV96" s="305">
        <v>0</v>
      </c>
      <c r="AW96" s="305">
        <v>0</v>
      </c>
      <c r="AX96" s="305">
        <v>0</v>
      </c>
      <c r="AY96" s="305">
        <v>0</v>
      </c>
      <c r="AZ96" s="305">
        <v>0</v>
      </c>
      <c r="BA96" s="305">
        <v>0</v>
      </c>
      <c r="BB96" s="305">
        <v>0</v>
      </c>
      <c r="BC96" s="305">
        <v>0</v>
      </c>
      <c r="BD96" s="305">
        <v>0</v>
      </c>
      <c r="BE96" s="305">
        <v>0</v>
      </c>
      <c r="BF96" s="305">
        <v>0</v>
      </c>
      <c r="BG96" s="305">
        <v>0</v>
      </c>
      <c r="BH96" s="305">
        <v>0</v>
      </c>
      <c r="BI96" s="305">
        <v>0</v>
      </c>
      <c r="BJ96" s="305">
        <v>0</v>
      </c>
      <c r="BK96" s="305">
        <v>0</v>
      </c>
      <c r="BL96" s="305">
        <v>0</v>
      </c>
      <c r="BM96" s="305">
        <v>0</v>
      </c>
      <c r="BN96" s="305">
        <v>0</v>
      </c>
      <c r="BO96" s="305">
        <v>0</v>
      </c>
      <c r="BP96" s="305">
        <v>0</v>
      </c>
      <c r="BQ96" s="305">
        <v>0</v>
      </c>
      <c r="BR96" s="305">
        <v>0</v>
      </c>
      <c r="BU96" s="304" t="s">
        <v>656</v>
      </c>
      <c r="BV96" s="302">
        <v>0</v>
      </c>
      <c r="BW96" s="302">
        <v>0</v>
      </c>
      <c r="BX96" s="302">
        <v>0</v>
      </c>
      <c r="BY96" s="302">
        <v>0</v>
      </c>
      <c r="BZ96" s="302">
        <v>0</v>
      </c>
      <c r="CA96" s="302">
        <v>0</v>
      </c>
      <c r="CB96" s="302">
        <v>0</v>
      </c>
      <c r="CC96" s="302">
        <v>0</v>
      </c>
      <c r="CD96" s="302">
        <v>0</v>
      </c>
      <c r="CE96" s="302">
        <v>0</v>
      </c>
      <c r="CF96" s="302">
        <v>0</v>
      </c>
      <c r="CG96" s="302">
        <v>0</v>
      </c>
      <c r="CH96" s="302">
        <v>0</v>
      </c>
      <c r="CI96" s="302">
        <v>0</v>
      </c>
      <c r="CJ96" s="302">
        <v>0</v>
      </c>
      <c r="CK96" s="302">
        <v>0</v>
      </c>
      <c r="CL96" s="302">
        <v>0</v>
      </c>
      <c r="CM96" s="302">
        <v>0</v>
      </c>
      <c r="CN96" s="302">
        <v>0</v>
      </c>
      <c r="CO96" s="302">
        <v>0</v>
      </c>
      <c r="CP96" s="302">
        <v>0</v>
      </c>
      <c r="CQ96" s="302">
        <v>0</v>
      </c>
      <c r="CR96" s="302">
        <v>0</v>
      </c>
      <c r="CS96" s="302">
        <v>0</v>
      </c>
      <c r="CT96" s="302">
        <v>0</v>
      </c>
      <c r="CU96" s="302">
        <v>0</v>
      </c>
      <c r="CV96" s="302">
        <v>0</v>
      </c>
      <c r="CW96" s="302">
        <v>0</v>
      </c>
      <c r="CX96" s="302">
        <v>0</v>
      </c>
      <c r="CY96" s="302">
        <v>0</v>
      </c>
      <c r="CZ96" s="302">
        <v>0</v>
      </c>
      <c r="DA96" s="302">
        <v>0</v>
      </c>
      <c r="DB96" s="302">
        <v>0</v>
      </c>
      <c r="DC96" s="302">
        <v>0</v>
      </c>
      <c r="DD96" s="302">
        <v>0</v>
      </c>
      <c r="DE96" s="302">
        <v>0</v>
      </c>
      <c r="DF96" s="302">
        <v>0</v>
      </c>
      <c r="DG96" s="302">
        <v>0</v>
      </c>
      <c r="DH96" s="302">
        <v>0</v>
      </c>
      <c r="DI96" s="302">
        <v>0</v>
      </c>
    </row>
    <row r="97" spans="30:113">
      <c r="AD97" s="304" t="s">
        <v>657</v>
      </c>
      <c r="AE97" s="305">
        <v>0</v>
      </c>
      <c r="AF97" s="305">
        <v>0</v>
      </c>
      <c r="AG97" s="305">
        <v>0</v>
      </c>
      <c r="AH97" s="305">
        <v>0</v>
      </c>
      <c r="AI97" s="305">
        <v>0</v>
      </c>
      <c r="AJ97" s="305">
        <v>0</v>
      </c>
      <c r="AK97" s="305">
        <v>0</v>
      </c>
      <c r="AL97" s="305">
        <v>0</v>
      </c>
      <c r="AM97" s="305">
        <v>0</v>
      </c>
      <c r="AN97" s="305">
        <v>0</v>
      </c>
      <c r="AO97" s="305">
        <v>0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D97" s="305">
        <v>0</v>
      </c>
      <c r="BE97" s="305">
        <v>0</v>
      </c>
      <c r="BF97" s="305">
        <v>0</v>
      </c>
      <c r="BG97" s="305">
        <v>0</v>
      </c>
      <c r="BH97" s="305">
        <v>0</v>
      </c>
      <c r="BI97" s="305">
        <v>0</v>
      </c>
      <c r="BJ97" s="305">
        <v>0</v>
      </c>
      <c r="BK97" s="305">
        <v>0</v>
      </c>
      <c r="BL97" s="305">
        <v>0</v>
      </c>
      <c r="BM97" s="305">
        <v>0</v>
      </c>
      <c r="BN97" s="305">
        <v>0</v>
      </c>
      <c r="BO97" s="305">
        <v>0</v>
      </c>
      <c r="BP97" s="305">
        <v>0</v>
      </c>
      <c r="BQ97" s="305">
        <v>0</v>
      </c>
      <c r="BR97" s="305">
        <v>0</v>
      </c>
      <c r="BU97" s="304" t="s">
        <v>657</v>
      </c>
      <c r="BV97" s="302">
        <v>0</v>
      </c>
      <c r="BW97" s="302">
        <v>0</v>
      </c>
      <c r="BX97" s="302">
        <v>0</v>
      </c>
      <c r="BY97" s="302">
        <v>0</v>
      </c>
      <c r="BZ97" s="302">
        <v>0</v>
      </c>
      <c r="CA97" s="302">
        <v>0</v>
      </c>
      <c r="CB97" s="302">
        <v>0</v>
      </c>
      <c r="CC97" s="302">
        <v>0</v>
      </c>
      <c r="CD97" s="302">
        <v>0</v>
      </c>
      <c r="CE97" s="302">
        <v>0</v>
      </c>
      <c r="CF97" s="302">
        <v>0</v>
      </c>
      <c r="CG97" s="302">
        <v>0</v>
      </c>
      <c r="CH97" s="302">
        <v>0</v>
      </c>
      <c r="CI97" s="302">
        <v>0</v>
      </c>
      <c r="CJ97" s="302">
        <v>0</v>
      </c>
      <c r="CK97" s="302">
        <v>0</v>
      </c>
      <c r="CL97" s="302">
        <v>0</v>
      </c>
      <c r="CM97" s="302">
        <v>0</v>
      </c>
      <c r="CN97" s="302">
        <v>0</v>
      </c>
      <c r="CO97" s="302">
        <v>0</v>
      </c>
      <c r="CP97" s="302">
        <v>0</v>
      </c>
      <c r="CQ97" s="302">
        <v>0</v>
      </c>
      <c r="CR97" s="302">
        <v>0</v>
      </c>
      <c r="CS97" s="302">
        <v>0</v>
      </c>
      <c r="CT97" s="302">
        <v>0</v>
      </c>
      <c r="CU97" s="302">
        <v>0</v>
      </c>
      <c r="CV97" s="302">
        <v>0</v>
      </c>
      <c r="CW97" s="302">
        <v>0</v>
      </c>
      <c r="CX97" s="302">
        <v>0</v>
      </c>
      <c r="CY97" s="302">
        <v>0</v>
      </c>
      <c r="CZ97" s="302">
        <v>0</v>
      </c>
      <c r="DA97" s="302">
        <v>0</v>
      </c>
      <c r="DB97" s="302">
        <v>0</v>
      </c>
      <c r="DC97" s="302">
        <v>0</v>
      </c>
      <c r="DD97" s="302">
        <v>0</v>
      </c>
      <c r="DE97" s="302">
        <v>0</v>
      </c>
      <c r="DF97" s="302">
        <v>0</v>
      </c>
      <c r="DG97" s="302">
        <v>0</v>
      </c>
      <c r="DH97" s="302">
        <v>0</v>
      </c>
      <c r="DI97" s="302">
        <v>0</v>
      </c>
    </row>
    <row r="98" spans="30:113">
      <c r="AD98" s="304" t="s">
        <v>751</v>
      </c>
      <c r="AE98" s="305">
        <v>0</v>
      </c>
      <c r="AF98" s="305">
        <v>0</v>
      </c>
      <c r="AG98" s="305">
        <v>0</v>
      </c>
      <c r="AH98" s="305">
        <v>0</v>
      </c>
      <c r="AI98" s="305">
        <v>0</v>
      </c>
      <c r="AJ98" s="305">
        <v>0</v>
      </c>
      <c r="AK98" s="305">
        <v>0</v>
      </c>
      <c r="AL98" s="305">
        <v>0</v>
      </c>
      <c r="AM98" s="305">
        <v>0</v>
      </c>
      <c r="AN98" s="305">
        <v>0</v>
      </c>
      <c r="AO98" s="305">
        <v>0</v>
      </c>
      <c r="AP98" s="305">
        <v>0</v>
      </c>
      <c r="AQ98" s="305">
        <v>0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0</v>
      </c>
      <c r="AX98" s="305">
        <v>0</v>
      </c>
      <c r="AY98" s="305">
        <v>0</v>
      </c>
      <c r="AZ98" s="305">
        <v>0</v>
      </c>
      <c r="BA98" s="305">
        <v>0</v>
      </c>
      <c r="BB98" s="305">
        <v>0</v>
      </c>
      <c r="BC98" s="305">
        <v>0</v>
      </c>
      <c r="BD98" s="305">
        <v>0</v>
      </c>
      <c r="BE98" s="305">
        <v>0</v>
      </c>
      <c r="BF98" s="305">
        <v>0</v>
      </c>
      <c r="BG98" s="305">
        <v>0</v>
      </c>
      <c r="BH98" s="305">
        <v>0</v>
      </c>
      <c r="BI98" s="305">
        <v>0</v>
      </c>
      <c r="BJ98" s="305">
        <v>0</v>
      </c>
      <c r="BK98" s="305">
        <v>0</v>
      </c>
      <c r="BL98" s="305">
        <v>0</v>
      </c>
      <c r="BM98" s="305">
        <v>0</v>
      </c>
      <c r="BN98" s="305">
        <v>0</v>
      </c>
      <c r="BO98" s="305">
        <v>0</v>
      </c>
      <c r="BP98" s="305">
        <v>0</v>
      </c>
      <c r="BQ98" s="305">
        <v>0</v>
      </c>
      <c r="BR98" s="305">
        <v>0</v>
      </c>
      <c r="BU98" s="304" t="s">
        <v>751</v>
      </c>
      <c r="BV98" s="302">
        <v>0</v>
      </c>
      <c r="BW98" s="302">
        <v>0</v>
      </c>
      <c r="BX98" s="302">
        <v>0</v>
      </c>
      <c r="BY98" s="302">
        <v>0</v>
      </c>
      <c r="BZ98" s="302">
        <v>0</v>
      </c>
      <c r="CA98" s="302">
        <v>0</v>
      </c>
      <c r="CB98" s="302">
        <v>0</v>
      </c>
      <c r="CC98" s="302">
        <v>0</v>
      </c>
      <c r="CD98" s="302">
        <v>0</v>
      </c>
      <c r="CE98" s="302">
        <v>0</v>
      </c>
      <c r="CF98" s="302">
        <v>0</v>
      </c>
      <c r="CG98" s="302">
        <v>0</v>
      </c>
      <c r="CH98" s="302">
        <v>0</v>
      </c>
      <c r="CI98" s="302">
        <v>0</v>
      </c>
      <c r="CJ98" s="302">
        <v>0</v>
      </c>
      <c r="CK98" s="302">
        <v>0</v>
      </c>
      <c r="CL98" s="302">
        <v>0</v>
      </c>
      <c r="CM98" s="302">
        <v>0</v>
      </c>
      <c r="CN98" s="302">
        <v>0</v>
      </c>
      <c r="CO98" s="302">
        <v>0</v>
      </c>
      <c r="CP98" s="302">
        <v>0</v>
      </c>
      <c r="CQ98" s="302">
        <v>0</v>
      </c>
      <c r="CR98" s="302">
        <v>0</v>
      </c>
      <c r="CS98" s="302">
        <v>0</v>
      </c>
      <c r="CT98" s="302">
        <v>0</v>
      </c>
      <c r="CU98" s="302">
        <v>0</v>
      </c>
      <c r="CV98" s="302">
        <v>0</v>
      </c>
      <c r="CW98" s="302">
        <v>0</v>
      </c>
      <c r="CX98" s="302">
        <v>0</v>
      </c>
      <c r="CY98" s="302">
        <v>0</v>
      </c>
      <c r="CZ98" s="302">
        <v>0</v>
      </c>
      <c r="DA98" s="302">
        <v>0</v>
      </c>
      <c r="DB98" s="302">
        <v>0</v>
      </c>
      <c r="DC98" s="302">
        <v>0</v>
      </c>
      <c r="DD98" s="302">
        <v>0</v>
      </c>
      <c r="DE98" s="302">
        <v>0</v>
      </c>
      <c r="DF98" s="302">
        <v>0</v>
      </c>
      <c r="DG98" s="302">
        <v>0</v>
      </c>
      <c r="DH98" s="302">
        <v>0</v>
      </c>
      <c r="DI98" s="302">
        <v>0</v>
      </c>
    </row>
    <row r="99" spans="30:113">
      <c r="AD99" s="304" t="s">
        <v>658</v>
      </c>
      <c r="AE99" s="305">
        <v>0</v>
      </c>
      <c r="AF99" s="305">
        <v>0</v>
      </c>
      <c r="AG99" s="305">
        <v>0</v>
      </c>
      <c r="AH99" s="305">
        <v>2511.39821094118</v>
      </c>
      <c r="AI99" s="305">
        <v>0</v>
      </c>
      <c r="AJ99" s="305">
        <v>0</v>
      </c>
      <c r="AK99" s="305">
        <v>0</v>
      </c>
      <c r="AL99" s="305">
        <v>0</v>
      </c>
      <c r="AM99" s="305">
        <v>0</v>
      </c>
      <c r="AN99" s="305">
        <v>0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0</v>
      </c>
      <c r="BC99" s="305">
        <v>0</v>
      </c>
      <c r="BD99" s="305">
        <v>0</v>
      </c>
      <c r="BE99" s="305">
        <v>0</v>
      </c>
      <c r="BF99" s="305">
        <v>0</v>
      </c>
      <c r="BG99" s="305">
        <v>0</v>
      </c>
      <c r="BH99" s="305">
        <v>0</v>
      </c>
      <c r="BI99" s="305">
        <v>0</v>
      </c>
      <c r="BJ99" s="305">
        <v>0</v>
      </c>
      <c r="BK99" s="305">
        <v>0</v>
      </c>
      <c r="BL99" s="305">
        <v>0</v>
      </c>
      <c r="BM99" s="305">
        <v>0</v>
      </c>
      <c r="BN99" s="305">
        <v>0</v>
      </c>
      <c r="BO99" s="305">
        <v>0</v>
      </c>
      <c r="BP99" s="305">
        <v>0</v>
      </c>
      <c r="BQ99" s="305">
        <v>0</v>
      </c>
      <c r="BR99" s="305">
        <v>0</v>
      </c>
      <c r="BU99" s="304" t="s">
        <v>658</v>
      </c>
      <c r="BV99" s="302">
        <v>0</v>
      </c>
      <c r="BW99" s="302">
        <v>0</v>
      </c>
      <c r="BX99" s="302">
        <v>0</v>
      </c>
      <c r="BY99" s="302">
        <v>0</v>
      </c>
      <c r="BZ99" s="302">
        <v>0</v>
      </c>
      <c r="CA99" s="302">
        <v>0</v>
      </c>
      <c r="CB99" s="302">
        <v>0</v>
      </c>
      <c r="CC99" s="302">
        <v>0</v>
      </c>
      <c r="CD99" s="302">
        <v>0</v>
      </c>
      <c r="CE99" s="302">
        <v>0</v>
      </c>
      <c r="CF99" s="302">
        <v>0</v>
      </c>
      <c r="CG99" s="302">
        <v>0</v>
      </c>
      <c r="CH99" s="302">
        <v>0</v>
      </c>
      <c r="CI99" s="302">
        <v>0</v>
      </c>
      <c r="CJ99" s="302">
        <v>0</v>
      </c>
      <c r="CK99" s="302">
        <v>0</v>
      </c>
      <c r="CL99" s="302">
        <v>0</v>
      </c>
      <c r="CM99" s="302">
        <v>0</v>
      </c>
      <c r="CN99" s="302">
        <v>0</v>
      </c>
      <c r="CO99" s="302">
        <v>0</v>
      </c>
      <c r="CP99" s="302">
        <v>0</v>
      </c>
      <c r="CQ99" s="302">
        <v>0</v>
      </c>
      <c r="CR99" s="302">
        <v>0</v>
      </c>
      <c r="CS99" s="302">
        <v>0</v>
      </c>
      <c r="CT99" s="302">
        <v>0</v>
      </c>
      <c r="CU99" s="302">
        <v>0</v>
      </c>
      <c r="CV99" s="302">
        <v>0</v>
      </c>
      <c r="CW99" s="302">
        <v>0</v>
      </c>
      <c r="CX99" s="302">
        <v>0</v>
      </c>
      <c r="CY99" s="302">
        <v>0</v>
      </c>
      <c r="CZ99" s="302">
        <v>0</v>
      </c>
      <c r="DA99" s="302">
        <v>0</v>
      </c>
      <c r="DB99" s="302">
        <v>0</v>
      </c>
      <c r="DC99" s="302">
        <v>0</v>
      </c>
      <c r="DD99" s="302">
        <v>0</v>
      </c>
      <c r="DE99" s="302">
        <v>0</v>
      </c>
      <c r="DF99" s="302">
        <v>0</v>
      </c>
      <c r="DG99" s="302">
        <v>0</v>
      </c>
      <c r="DH99" s="302">
        <v>0</v>
      </c>
      <c r="DI99" s="302">
        <v>0</v>
      </c>
    </row>
    <row r="100" spans="30:113">
      <c r="AD100" s="304" t="s">
        <v>712</v>
      </c>
      <c r="AE100" s="305">
        <v>0</v>
      </c>
      <c r="AF100" s="305">
        <v>0</v>
      </c>
      <c r="AG100" s="305">
        <v>0</v>
      </c>
      <c r="AH100" s="305">
        <v>4830.4442158522497</v>
      </c>
      <c r="AI100" s="305">
        <v>0</v>
      </c>
      <c r="AJ100" s="305">
        <v>0</v>
      </c>
      <c r="AK100" s="305">
        <v>0</v>
      </c>
      <c r="AL100" s="305">
        <v>0</v>
      </c>
      <c r="AM100" s="305">
        <v>0</v>
      </c>
      <c r="AN100" s="305">
        <v>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0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D100" s="305">
        <v>0</v>
      </c>
      <c r="BE100" s="305">
        <v>0</v>
      </c>
      <c r="BF100" s="305">
        <v>0</v>
      </c>
      <c r="BG100" s="305">
        <v>0</v>
      </c>
      <c r="BH100" s="305">
        <v>0</v>
      </c>
      <c r="BI100" s="305">
        <v>0</v>
      </c>
      <c r="BJ100" s="305">
        <v>0</v>
      </c>
      <c r="BK100" s="305">
        <v>0</v>
      </c>
      <c r="BL100" s="305">
        <v>0</v>
      </c>
      <c r="BM100" s="305">
        <v>0</v>
      </c>
      <c r="BN100" s="305">
        <v>0</v>
      </c>
      <c r="BO100" s="305">
        <v>0</v>
      </c>
      <c r="BP100" s="305">
        <v>0</v>
      </c>
      <c r="BQ100" s="305">
        <v>0</v>
      </c>
      <c r="BR100" s="305">
        <v>0</v>
      </c>
      <c r="BU100" s="304" t="s">
        <v>712</v>
      </c>
      <c r="BV100" s="302">
        <v>0</v>
      </c>
      <c r="BW100" s="302">
        <v>0</v>
      </c>
      <c r="BX100" s="302">
        <v>0</v>
      </c>
      <c r="BY100" s="302">
        <v>0</v>
      </c>
      <c r="BZ100" s="302">
        <v>0</v>
      </c>
      <c r="CA100" s="302">
        <v>0</v>
      </c>
      <c r="CB100" s="302">
        <v>0</v>
      </c>
      <c r="CC100" s="302">
        <v>0</v>
      </c>
      <c r="CD100" s="302">
        <v>0</v>
      </c>
      <c r="CE100" s="302">
        <v>0</v>
      </c>
      <c r="CF100" s="302">
        <v>0</v>
      </c>
      <c r="CG100" s="302">
        <v>0</v>
      </c>
      <c r="CH100" s="302">
        <v>0</v>
      </c>
      <c r="CI100" s="302">
        <v>0</v>
      </c>
      <c r="CJ100" s="302">
        <v>0</v>
      </c>
      <c r="CK100" s="302">
        <v>0</v>
      </c>
      <c r="CL100" s="302">
        <v>0</v>
      </c>
      <c r="CM100" s="302">
        <v>0</v>
      </c>
      <c r="CN100" s="302">
        <v>0</v>
      </c>
      <c r="CO100" s="302">
        <v>0</v>
      </c>
      <c r="CP100" s="302">
        <v>0</v>
      </c>
      <c r="CQ100" s="302">
        <v>0</v>
      </c>
      <c r="CR100" s="302">
        <v>0</v>
      </c>
      <c r="CS100" s="302">
        <v>0</v>
      </c>
      <c r="CT100" s="302">
        <v>0</v>
      </c>
      <c r="CU100" s="302">
        <v>0</v>
      </c>
      <c r="CV100" s="302">
        <v>0</v>
      </c>
      <c r="CW100" s="302">
        <v>0</v>
      </c>
      <c r="CX100" s="302">
        <v>0</v>
      </c>
      <c r="CY100" s="302">
        <v>0</v>
      </c>
      <c r="CZ100" s="302">
        <v>0</v>
      </c>
      <c r="DA100" s="302">
        <v>0</v>
      </c>
      <c r="DB100" s="302">
        <v>0</v>
      </c>
      <c r="DC100" s="302">
        <v>0</v>
      </c>
      <c r="DD100" s="302">
        <v>0</v>
      </c>
      <c r="DE100" s="302">
        <v>0</v>
      </c>
      <c r="DF100" s="302">
        <v>0</v>
      </c>
      <c r="DG100" s="302">
        <v>0</v>
      </c>
      <c r="DH100" s="302">
        <v>0</v>
      </c>
      <c r="DI100" s="302">
        <v>0</v>
      </c>
    </row>
    <row r="101" spans="30:113">
      <c r="AD101" s="304" t="s">
        <v>713</v>
      </c>
      <c r="AE101" s="305">
        <v>0</v>
      </c>
      <c r="AF101" s="305">
        <v>0</v>
      </c>
      <c r="AG101" s="305">
        <v>0</v>
      </c>
      <c r="AH101" s="305">
        <v>0</v>
      </c>
      <c r="AI101" s="305">
        <v>4830.4442158522497</v>
      </c>
      <c r="AJ101" s="305">
        <v>0</v>
      </c>
      <c r="AK101" s="305">
        <v>0</v>
      </c>
      <c r="AL101" s="305">
        <v>0</v>
      </c>
      <c r="AM101" s="305">
        <v>0</v>
      </c>
      <c r="AN101" s="305">
        <v>0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0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D101" s="305">
        <v>0</v>
      </c>
      <c r="BE101" s="305">
        <v>0</v>
      </c>
      <c r="BF101" s="305">
        <v>0</v>
      </c>
      <c r="BG101" s="305">
        <v>0</v>
      </c>
      <c r="BH101" s="305">
        <v>0</v>
      </c>
      <c r="BI101" s="305">
        <v>0</v>
      </c>
      <c r="BJ101" s="305">
        <v>0</v>
      </c>
      <c r="BK101" s="305">
        <v>0</v>
      </c>
      <c r="BL101" s="305">
        <v>0</v>
      </c>
      <c r="BM101" s="305">
        <v>0</v>
      </c>
      <c r="BN101" s="305">
        <v>0</v>
      </c>
      <c r="BO101" s="305">
        <v>0</v>
      </c>
      <c r="BP101" s="305">
        <v>0</v>
      </c>
      <c r="BQ101" s="305">
        <v>0</v>
      </c>
      <c r="BR101" s="305">
        <v>0</v>
      </c>
      <c r="BU101" s="304" t="s">
        <v>713</v>
      </c>
      <c r="BV101" s="302">
        <v>0</v>
      </c>
      <c r="BW101" s="302">
        <v>0</v>
      </c>
      <c r="BX101" s="302">
        <v>0</v>
      </c>
      <c r="BY101" s="302">
        <v>0</v>
      </c>
      <c r="BZ101" s="302">
        <v>0</v>
      </c>
      <c r="CA101" s="302">
        <v>0</v>
      </c>
      <c r="CB101" s="302">
        <v>0</v>
      </c>
      <c r="CC101" s="302">
        <v>0</v>
      </c>
      <c r="CD101" s="302">
        <v>0</v>
      </c>
      <c r="CE101" s="302">
        <v>0</v>
      </c>
      <c r="CF101" s="302">
        <v>0</v>
      </c>
      <c r="CG101" s="302">
        <v>0</v>
      </c>
      <c r="CH101" s="302">
        <v>0</v>
      </c>
      <c r="CI101" s="302">
        <v>0</v>
      </c>
      <c r="CJ101" s="302">
        <v>0</v>
      </c>
      <c r="CK101" s="302">
        <v>0</v>
      </c>
      <c r="CL101" s="302">
        <v>0</v>
      </c>
      <c r="CM101" s="302">
        <v>0</v>
      </c>
      <c r="CN101" s="302">
        <v>0</v>
      </c>
      <c r="CO101" s="302">
        <v>0</v>
      </c>
      <c r="CP101" s="302">
        <v>0</v>
      </c>
      <c r="CQ101" s="302">
        <v>0</v>
      </c>
      <c r="CR101" s="302">
        <v>0</v>
      </c>
      <c r="CS101" s="302">
        <v>0</v>
      </c>
      <c r="CT101" s="302">
        <v>0</v>
      </c>
      <c r="CU101" s="302">
        <v>0</v>
      </c>
      <c r="CV101" s="302">
        <v>0</v>
      </c>
      <c r="CW101" s="302">
        <v>0</v>
      </c>
      <c r="CX101" s="302">
        <v>0</v>
      </c>
      <c r="CY101" s="302">
        <v>0</v>
      </c>
      <c r="CZ101" s="302">
        <v>0</v>
      </c>
      <c r="DA101" s="302">
        <v>0</v>
      </c>
      <c r="DB101" s="302">
        <v>0</v>
      </c>
      <c r="DC101" s="302">
        <v>0</v>
      </c>
      <c r="DD101" s="302">
        <v>0</v>
      </c>
      <c r="DE101" s="302">
        <v>0</v>
      </c>
      <c r="DF101" s="302">
        <v>0</v>
      </c>
      <c r="DG101" s="302">
        <v>0</v>
      </c>
      <c r="DH101" s="302">
        <v>0</v>
      </c>
      <c r="DI101" s="302">
        <v>0</v>
      </c>
    </row>
    <row r="102" spans="30:113">
      <c r="AD102" s="304" t="s">
        <v>752</v>
      </c>
      <c r="AE102" s="305">
        <v>0</v>
      </c>
      <c r="AF102" s="305">
        <v>0</v>
      </c>
      <c r="AG102" s="305">
        <v>0</v>
      </c>
      <c r="AH102" s="305">
        <v>0</v>
      </c>
      <c r="AI102" s="305">
        <v>0</v>
      </c>
      <c r="AJ102" s="305">
        <v>0</v>
      </c>
      <c r="AK102" s="305">
        <v>0</v>
      </c>
      <c r="AL102" s="305">
        <v>0</v>
      </c>
      <c r="AM102" s="305">
        <v>0</v>
      </c>
      <c r="AN102" s="305">
        <v>0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0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D102" s="305">
        <v>0</v>
      </c>
      <c r="BE102" s="305">
        <v>0</v>
      </c>
      <c r="BF102" s="305">
        <v>0</v>
      </c>
      <c r="BG102" s="305">
        <v>0</v>
      </c>
      <c r="BH102" s="305">
        <v>0</v>
      </c>
      <c r="BI102" s="305">
        <v>0</v>
      </c>
      <c r="BJ102" s="305">
        <v>0</v>
      </c>
      <c r="BK102" s="305">
        <v>0</v>
      </c>
      <c r="BL102" s="305">
        <v>0</v>
      </c>
      <c r="BM102" s="305">
        <v>0</v>
      </c>
      <c r="BN102" s="305">
        <v>0</v>
      </c>
      <c r="BO102" s="305">
        <v>0</v>
      </c>
      <c r="BP102" s="305">
        <v>0</v>
      </c>
      <c r="BQ102" s="305">
        <v>0</v>
      </c>
      <c r="BR102" s="305">
        <v>0</v>
      </c>
      <c r="BU102" s="304" t="s">
        <v>752</v>
      </c>
      <c r="BV102" s="302">
        <v>0</v>
      </c>
      <c r="BW102" s="302">
        <v>0</v>
      </c>
      <c r="BX102" s="302">
        <v>0</v>
      </c>
      <c r="BY102" s="302">
        <v>0</v>
      </c>
      <c r="BZ102" s="302">
        <v>0</v>
      </c>
      <c r="CA102" s="302">
        <v>0</v>
      </c>
      <c r="CB102" s="302">
        <v>0</v>
      </c>
      <c r="CC102" s="302">
        <v>0</v>
      </c>
      <c r="CD102" s="302">
        <v>0</v>
      </c>
      <c r="CE102" s="302">
        <v>0</v>
      </c>
      <c r="CF102" s="302">
        <v>0</v>
      </c>
      <c r="CG102" s="302">
        <v>0</v>
      </c>
      <c r="CH102" s="302">
        <v>0</v>
      </c>
      <c r="CI102" s="302">
        <v>0</v>
      </c>
      <c r="CJ102" s="302">
        <v>0</v>
      </c>
      <c r="CK102" s="302">
        <v>0</v>
      </c>
      <c r="CL102" s="302">
        <v>0</v>
      </c>
      <c r="CM102" s="302">
        <v>0</v>
      </c>
      <c r="CN102" s="302">
        <v>0</v>
      </c>
      <c r="CO102" s="302">
        <v>0</v>
      </c>
      <c r="CP102" s="302">
        <v>0</v>
      </c>
      <c r="CQ102" s="302">
        <v>0</v>
      </c>
      <c r="CR102" s="302">
        <v>0</v>
      </c>
      <c r="CS102" s="302">
        <v>0</v>
      </c>
      <c r="CT102" s="302">
        <v>0</v>
      </c>
      <c r="CU102" s="302">
        <v>0</v>
      </c>
      <c r="CV102" s="302">
        <v>0</v>
      </c>
      <c r="CW102" s="302">
        <v>0</v>
      </c>
      <c r="CX102" s="302">
        <v>0</v>
      </c>
      <c r="CY102" s="302">
        <v>0</v>
      </c>
      <c r="CZ102" s="302">
        <v>0</v>
      </c>
      <c r="DA102" s="302">
        <v>0</v>
      </c>
      <c r="DB102" s="302">
        <v>0</v>
      </c>
      <c r="DC102" s="302">
        <v>0</v>
      </c>
      <c r="DD102" s="302">
        <v>0</v>
      </c>
      <c r="DE102" s="302">
        <v>0</v>
      </c>
      <c r="DF102" s="302">
        <v>0</v>
      </c>
      <c r="DG102" s="302">
        <v>0</v>
      </c>
      <c r="DH102" s="302">
        <v>0</v>
      </c>
      <c r="DI102" s="302">
        <v>0</v>
      </c>
    </row>
    <row r="103" spans="30:113">
      <c r="AD103" s="304" t="s">
        <v>753</v>
      </c>
      <c r="AE103" s="305">
        <v>0</v>
      </c>
      <c r="AF103" s="305">
        <v>0</v>
      </c>
      <c r="AG103" s="305">
        <v>0</v>
      </c>
      <c r="AH103" s="305">
        <v>0</v>
      </c>
      <c r="AI103" s="305">
        <v>0</v>
      </c>
      <c r="AJ103" s="305">
        <v>0</v>
      </c>
      <c r="AK103" s="305">
        <v>0</v>
      </c>
      <c r="AL103" s="305">
        <v>0</v>
      </c>
      <c r="AM103" s="305">
        <v>0</v>
      </c>
      <c r="AN103" s="305">
        <v>0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D103" s="305">
        <v>0</v>
      </c>
      <c r="BE103" s="305">
        <v>0</v>
      </c>
      <c r="BF103" s="305">
        <v>0</v>
      </c>
      <c r="BG103" s="305">
        <v>0</v>
      </c>
      <c r="BH103" s="305">
        <v>0</v>
      </c>
      <c r="BI103" s="305">
        <v>0</v>
      </c>
      <c r="BJ103" s="305">
        <v>0</v>
      </c>
      <c r="BK103" s="305">
        <v>0</v>
      </c>
      <c r="BL103" s="305">
        <v>0</v>
      </c>
      <c r="BM103" s="305">
        <v>0</v>
      </c>
      <c r="BN103" s="305">
        <v>0</v>
      </c>
      <c r="BO103" s="305">
        <v>0</v>
      </c>
      <c r="BP103" s="305">
        <v>0</v>
      </c>
      <c r="BQ103" s="305">
        <v>0</v>
      </c>
      <c r="BR103" s="305">
        <v>0</v>
      </c>
      <c r="BU103" s="304" t="s">
        <v>753</v>
      </c>
      <c r="BV103" s="302">
        <v>0</v>
      </c>
      <c r="BW103" s="302">
        <v>0</v>
      </c>
      <c r="BX103" s="302">
        <v>0</v>
      </c>
      <c r="BY103" s="302">
        <v>0</v>
      </c>
      <c r="BZ103" s="302">
        <v>0</v>
      </c>
      <c r="CA103" s="302">
        <v>0</v>
      </c>
      <c r="CB103" s="302">
        <v>0</v>
      </c>
      <c r="CC103" s="302">
        <v>0</v>
      </c>
      <c r="CD103" s="302">
        <v>0</v>
      </c>
      <c r="CE103" s="302">
        <v>0</v>
      </c>
      <c r="CF103" s="302">
        <v>0</v>
      </c>
      <c r="CG103" s="302">
        <v>0</v>
      </c>
      <c r="CH103" s="302">
        <v>0</v>
      </c>
      <c r="CI103" s="302">
        <v>0</v>
      </c>
      <c r="CJ103" s="302">
        <v>0</v>
      </c>
      <c r="CK103" s="302">
        <v>0</v>
      </c>
      <c r="CL103" s="302">
        <v>0</v>
      </c>
      <c r="CM103" s="302">
        <v>0</v>
      </c>
      <c r="CN103" s="302">
        <v>0</v>
      </c>
      <c r="CO103" s="302">
        <v>0</v>
      </c>
      <c r="CP103" s="302">
        <v>0</v>
      </c>
      <c r="CQ103" s="302">
        <v>0</v>
      </c>
      <c r="CR103" s="302">
        <v>0</v>
      </c>
      <c r="CS103" s="302">
        <v>0</v>
      </c>
      <c r="CT103" s="302">
        <v>0</v>
      </c>
      <c r="CU103" s="302">
        <v>0</v>
      </c>
      <c r="CV103" s="302">
        <v>0</v>
      </c>
      <c r="CW103" s="302">
        <v>0</v>
      </c>
      <c r="CX103" s="302">
        <v>0</v>
      </c>
      <c r="CY103" s="302">
        <v>0</v>
      </c>
      <c r="CZ103" s="302">
        <v>0</v>
      </c>
      <c r="DA103" s="302">
        <v>0</v>
      </c>
      <c r="DB103" s="302">
        <v>0</v>
      </c>
      <c r="DC103" s="302">
        <v>0</v>
      </c>
      <c r="DD103" s="302">
        <v>0</v>
      </c>
      <c r="DE103" s="302">
        <v>0</v>
      </c>
      <c r="DF103" s="302">
        <v>0</v>
      </c>
      <c r="DG103" s="302">
        <v>0</v>
      </c>
      <c r="DH103" s="302">
        <v>0</v>
      </c>
      <c r="DI103" s="302">
        <v>0</v>
      </c>
    </row>
    <row r="104" spans="30:113">
      <c r="AD104" s="304" t="s">
        <v>754</v>
      </c>
      <c r="AE104" s="305">
        <v>0</v>
      </c>
      <c r="AF104" s="305">
        <v>0</v>
      </c>
      <c r="AG104" s="305">
        <v>0</v>
      </c>
      <c r="AH104" s="305">
        <v>0</v>
      </c>
      <c r="AI104" s="305">
        <v>0</v>
      </c>
      <c r="AJ104" s="305">
        <v>0</v>
      </c>
      <c r="AK104" s="305">
        <v>0</v>
      </c>
      <c r="AL104" s="305">
        <v>0</v>
      </c>
      <c r="AM104" s="305">
        <v>0</v>
      </c>
      <c r="AN104" s="305">
        <v>0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D104" s="305">
        <v>0</v>
      </c>
      <c r="BE104" s="305">
        <v>0</v>
      </c>
      <c r="BF104" s="305">
        <v>0</v>
      </c>
      <c r="BG104" s="305">
        <v>0</v>
      </c>
      <c r="BH104" s="305">
        <v>0</v>
      </c>
      <c r="BI104" s="305">
        <v>0</v>
      </c>
      <c r="BJ104" s="305">
        <v>0</v>
      </c>
      <c r="BK104" s="305">
        <v>0</v>
      </c>
      <c r="BL104" s="305">
        <v>0</v>
      </c>
      <c r="BM104" s="305">
        <v>0</v>
      </c>
      <c r="BN104" s="305">
        <v>0</v>
      </c>
      <c r="BO104" s="305">
        <v>0</v>
      </c>
      <c r="BP104" s="305">
        <v>0</v>
      </c>
      <c r="BQ104" s="305">
        <v>0</v>
      </c>
      <c r="BR104" s="305">
        <v>0</v>
      </c>
      <c r="BU104" s="304" t="s">
        <v>754</v>
      </c>
      <c r="BV104" s="302">
        <v>0</v>
      </c>
      <c r="BW104" s="302">
        <v>0</v>
      </c>
      <c r="BX104" s="302">
        <v>0</v>
      </c>
      <c r="BY104" s="302">
        <v>0</v>
      </c>
      <c r="BZ104" s="302">
        <v>0</v>
      </c>
      <c r="CA104" s="302">
        <v>0</v>
      </c>
      <c r="CB104" s="302">
        <v>0</v>
      </c>
      <c r="CC104" s="302">
        <v>0</v>
      </c>
      <c r="CD104" s="302">
        <v>0</v>
      </c>
      <c r="CE104" s="302">
        <v>0</v>
      </c>
      <c r="CF104" s="302">
        <v>0</v>
      </c>
      <c r="CG104" s="302">
        <v>0</v>
      </c>
      <c r="CH104" s="302">
        <v>0</v>
      </c>
      <c r="CI104" s="302">
        <v>0</v>
      </c>
      <c r="CJ104" s="302">
        <v>0</v>
      </c>
      <c r="CK104" s="302">
        <v>0</v>
      </c>
      <c r="CL104" s="302">
        <v>0</v>
      </c>
      <c r="CM104" s="302">
        <v>0</v>
      </c>
      <c r="CN104" s="302">
        <v>0</v>
      </c>
      <c r="CO104" s="302">
        <v>0</v>
      </c>
      <c r="CP104" s="302">
        <v>0</v>
      </c>
      <c r="CQ104" s="302">
        <v>0</v>
      </c>
      <c r="CR104" s="302">
        <v>0</v>
      </c>
      <c r="CS104" s="302">
        <v>0</v>
      </c>
      <c r="CT104" s="302">
        <v>0</v>
      </c>
      <c r="CU104" s="302">
        <v>0</v>
      </c>
      <c r="CV104" s="302">
        <v>0</v>
      </c>
      <c r="CW104" s="302">
        <v>0</v>
      </c>
      <c r="CX104" s="302">
        <v>0</v>
      </c>
      <c r="CY104" s="302">
        <v>0</v>
      </c>
      <c r="CZ104" s="302">
        <v>0</v>
      </c>
      <c r="DA104" s="302">
        <v>0</v>
      </c>
      <c r="DB104" s="302">
        <v>0</v>
      </c>
      <c r="DC104" s="302">
        <v>0</v>
      </c>
      <c r="DD104" s="302">
        <v>0</v>
      </c>
      <c r="DE104" s="302">
        <v>0</v>
      </c>
      <c r="DF104" s="302">
        <v>0</v>
      </c>
      <c r="DG104" s="302">
        <v>0</v>
      </c>
      <c r="DH104" s="302">
        <v>0</v>
      </c>
      <c r="DI104" s="302">
        <v>0</v>
      </c>
    </row>
    <row r="105" spans="30:113">
      <c r="AD105" s="304" t="s">
        <v>755</v>
      </c>
      <c r="AE105" s="305">
        <v>0</v>
      </c>
      <c r="AF105" s="305">
        <v>0</v>
      </c>
      <c r="AG105" s="305">
        <v>0</v>
      </c>
      <c r="AH105" s="305">
        <v>0</v>
      </c>
      <c r="AI105" s="305">
        <v>0</v>
      </c>
      <c r="AJ105" s="305">
        <v>0</v>
      </c>
      <c r="AK105" s="305">
        <v>0</v>
      </c>
      <c r="AL105" s="305">
        <v>0</v>
      </c>
      <c r="AM105" s="305">
        <v>0</v>
      </c>
      <c r="AN105" s="305">
        <v>0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0</v>
      </c>
      <c r="BD105" s="305">
        <v>0</v>
      </c>
      <c r="BE105" s="305">
        <v>0</v>
      </c>
      <c r="BF105" s="305">
        <v>0</v>
      </c>
      <c r="BG105" s="305">
        <v>0</v>
      </c>
      <c r="BH105" s="305">
        <v>0</v>
      </c>
      <c r="BI105" s="305">
        <v>0</v>
      </c>
      <c r="BJ105" s="305">
        <v>0</v>
      </c>
      <c r="BK105" s="305">
        <v>0</v>
      </c>
      <c r="BL105" s="305">
        <v>0</v>
      </c>
      <c r="BM105" s="305">
        <v>0</v>
      </c>
      <c r="BN105" s="305">
        <v>0</v>
      </c>
      <c r="BO105" s="305">
        <v>0</v>
      </c>
      <c r="BP105" s="305">
        <v>0</v>
      </c>
      <c r="BQ105" s="305">
        <v>0</v>
      </c>
      <c r="BR105" s="305">
        <v>0</v>
      </c>
      <c r="BU105" s="304" t="s">
        <v>755</v>
      </c>
      <c r="BV105" s="302">
        <v>0</v>
      </c>
      <c r="BW105" s="302">
        <v>0</v>
      </c>
      <c r="BX105" s="302">
        <v>0</v>
      </c>
      <c r="BY105" s="302">
        <v>0</v>
      </c>
      <c r="BZ105" s="302">
        <v>0</v>
      </c>
      <c r="CA105" s="302">
        <v>0</v>
      </c>
      <c r="CB105" s="302">
        <v>0</v>
      </c>
      <c r="CC105" s="302">
        <v>0</v>
      </c>
      <c r="CD105" s="302">
        <v>0</v>
      </c>
      <c r="CE105" s="302">
        <v>0</v>
      </c>
      <c r="CF105" s="302">
        <v>0</v>
      </c>
      <c r="CG105" s="302">
        <v>0</v>
      </c>
      <c r="CH105" s="302">
        <v>0</v>
      </c>
      <c r="CI105" s="302">
        <v>0</v>
      </c>
      <c r="CJ105" s="302">
        <v>0</v>
      </c>
      <c r="CK105" s="302">
        <v>0</v>
      </c>
      <c r="CL105" s="302">
        <v>0</v>
      </c>
      <c r="CM105" s="302">
        <v>0</v>
      </c>
      <c r="CN105" s="302">
        <v>0</v>
      </c>
      <c r="CO105" s="302">
        <v>0</v>
      </c>
      <c r="CP105" s="302">
        <v>0</v>
      </c>
      <c r="CQ105" s="302">
        <v>0</v>
      </c>
      <c r="CR105" s="302">
        <v>0</v>
      </c>
      <c r="CS105" s="302">
        <v>0</v>
      </c>
      <c r="CT105" s="302">
        <v>0</v>
      </c>
      <c r="CU105" s="302">
        <v>0</v>
      </c>
      <c r="CV105" s="302">
        <v>0</v>
      </c>
      <c r="CW105" s="302">
        <v>0</v>
      </c>
      <c r="CX105" s="302">
        <v>0</v>
      </c>
      <c r="CY105" s="302">
        <v>0</v>
      </c>
      <c r="CZ105" s="302">
        <v>0</v>
      </c>
      <c r="DA105" s="302">
        <v>0</v>
      </c>
      <c r="DB105" s="302">
        <v>0</v>
      </c>
      <c r="DC105" s="302">
        <v>0</v>
      </c>
      <c r="DD105" s="302">
        <v>0</v>
      </c>
      <c r="DE105" s="302">
        <v>0</v>
      </c>
      <c r="DF105" s="302">
        <v>0</v>
      </c>
      <c r="DG105" s="302">
        <v>0</v>
      </c>
      <c r="DH105" s="302">
        <v>0</v>
      </c>
      <c r="DI105" s="302">
        <v>0</v>
      </c>
    </row>
    <row r="106" spans="30:113">
      <c r="AD106" s="304" t="s">
        <v>756</v>
      </c>
      <c r="AE106" s="305">
        <v>0</v>
      </c>
      <c r="AF106" s="305">
        <v>0</v>
      </c>
      <c r="AG106" s="305">
        <v>0</v>
      </c>
      <c r="AH106" s="305">
        <v>0</v>
      </c>
      <c r="AI106" s="305">
        <v>0</v>
      </c>
      <c r="AJ106" s="305">
        <v>0</v>
      </c>
      <c r="AK106" s="305">
        <v>0</v>
      </c>
      <c r="AL106" s="305">
        <v>0</v>
      </c>
      <c r="AM106" s="305">
        <v>0</v>
      </c>
      <c r="AN106" s="305">
        <v>0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0</v>
      </c>
      <c r="BB106" s="305">
        <v>0</v>
      </c>
      <c r="BC106" s="305">
        <v>0</v>
      </c>
      <c r="BD106" s="305">
        <v>0</v>
      </c>
      <c r="BE106" s="305">
        <v>0</v>
      </c>
      <c r="BF106" s="305">
        <v>0</v>
      </c>
      <c r="BG106" s="305">
        <v>0</v>
      </c>
      <c r="BH106" s="305">
        <v>0</v>
      </c>
      <c r="BI106" s="305">
        <v>0</v>
      </c>
      <c r="BJ106" s="305">
        <v>0</v>
      </c>
      <c r="BK106" s="305">
        <v>0</v>
      </c>
      <c r="BL106" s="305">
        <v>0</v>
      </c>
      <c r="BM106" s="305">
        <v>0</v>
      </c>
      <c r="BN106" s="305">
        <v>0</v>
      </c>
      <c r="BO106" s="305">
        <v>0</v>
      </c>
      <c r="BP106" s="305">
        <v>0</v>
      </c>
      <c r="BQ106" s="305">
        <v>0</v>
      </c>
      <c r="BR106" s="305">
        <v>0</v>
      </c>
      <c r="BU106" s="304" t="s">
        <v>756</v>
      </c>
      <c r="BV106" s="302">
        <v>0</v>
      </c>
      <c r="BW106" s="302">
        <v>0</v>
      </c>
      <c r="BX106" s="302">
        <v>0</v>
      </c>
      <c r="BY106" s="302">
        <v>0</v>
      </c>
      <c r="BZ106" s="302">
        <v>0</v>
      </c>
      <c r="CA106" s="302">
        <v>0</v>
      </c>
      <c r="CB106" s="302">
        <v>0</v>
      </c>
      <c r="CC106" s="302">
        <v>0</v>
      </c>
      <c r="CD106" s="302">
        <v>0</v>
      </c>
      <c r="CE106" s="302">
        <v>0</v>
      </c>
      <c r="CF106" s="302">
        <v>0</v>
      </c>
      <c r="CG106" s="302">
        <v>0</v>
      </c>
      <c r="CH106" s="302">
        <v>0</v>
      </c>
      <c r="CI106" s="302">
        <v>0</v>
      </c>
      <c r="CJ106" s="302">
        <v>0</v>
      </c>
      <c r="CK106" s="302">
        <v>0</v>
      </c>
      <c r="CL106" s="302">
        <v>0</v>
      </c>
      <c r="CM106" s="302">
        <v>0</v>
      </c>
      <c r="CN106" s="302">
        <v>0</v>
      </c>
      <c r="CO106" s="302">
        <v>0</v>
      </c>
      <c r="CP106" s="302">
        <v>0</v>
      </c>
      <c r="CQ106" s="302">
        <v>0</v>
      </c>
      <c r="CR106" s="302">
        <v>0</v>
      </c>
      <c r="CS106" s="302">
        <v>0</v>
      </c>
      <c r="CT106" s="302">
        <v>0</v>
      </c>
      <c r="CU106" s="302">
        <v>0</v>
      </c>
      <c r="CV106" s="302">
        <v>0</v>
      </c>
      <c r="CW106" s="302">
        <v>0</v>
      </c>
      <c r="CX106" s="302">
        <v>0</v>
      </c>
      <c r="CY106" s="302">
        <v>0</v>
      </c>
      <c r="CZ106" s="302">
        <v>0</v>
      </c>
      <c r="DA106" s="302">
        <v>0</v>
      </c>
      <c r="DB106" s="302">
        <v>0</v>
      </c>
      <c r="DC106" s="302">
        <v>0</v>
      </c>
      <c r="DD106" s="302">
        <v>0</v>
      </c>
      <c r="DE106" s="302">
        <v>0</v>
      </c>
      <c r="DF106" s="302">
        <v>0</v>
      </c>
      <c r="DG106" s="302">
        <v>0</v>
      </c>
      <c r="DH106" s="302">
        <v>0</v>
      </c>
      <c r="DI106" s="302">
        <v>0</v>
      </c>
    </row>
    <row r="107" spans="30:113">
      <c r="AD107" s="304" t="s">
        <v>757</v>
      </c>
      <c r="AE107" s="305">
        <v>0</v>
      </c>
      <c r="AF107" s="305">
        <v>0</v>
      </c>
      <c r="AG107" s="305">
        <v>0</v>
      </c>
      <c r="AH107" s="305">
        <v>0</v>
      </c>
      <c r="AI107" s="305">
        <v>0</v>
      </c>
      <c r="AJ107" s="305">
        <v>0</v>
      </c>
      <c r="AK107" s="305">
        <v>0</v>
      </c>
      <c r="AL107" s="305">
        <v>0</v>
      </c>
      <c r="AM107" s="305">
        <v>0</v>
      </c>
      <c r="AN107" s="305">
        <v>0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0</v>
      </c>
      <c r="AZ107" s="305">
        <v>0</v>
      </c>
      <c r="BA107" s="305">
        <v>0</v>
      </c>
      <c r="BB107" s="305">
        <v>0</v>
      </c>
      <c r="BC107" s="305">
        <v>0</v>
      </c>
      <c r="BD107" s="305">
        <v>0</v>
      </c>
      <c r="BE107" s="305">
        <v>0</v>
      </c>
      <c r="BF107" s="305">
        <v>0</v>
      </c>
      <c r="BG107" s="305">
        <v>0</v>
      </c>
      <c r="BH107" s="305">
        <v>0</v>
      </c>
      <c r="BI107" s="305">
        <v>0</v>
      </c>
      <c r="BJ107" s="305">
        <v>0</v>
      </c>
      <c r="BK107" s="305">
        <v>0</v>
      </c>
      <c r="BL107" s="305">
        <v>0</v>
      </c>
      <c r="BM107" s="305">
        <v>0</v>
      </c>
      <c r="BN107" s="305">
        <v>0</v>
      </c>
      <c r="BO107" s="305">
        <v>0</v>
      </c>
      <c r="BP107" s="305">
        <v>0</v>
      </c>
      <c r="BQ107" s="305">
        <v>0</v>
      </c>
      <c r="BR107" s="305">
        <v>0</v>
      </c>
      <c r="BU107" s="304" t="s">
        <v>757</v>
      </c>
      <c r="BV107" s="302">
        <v>0</v>
      </c>
      <c r="BW107" s="302">
        <v>0</v>
      </c>
      <c r="BX107" s="302">
        <v>0</v>
      </c>
      <c r="BY107" s="302">
        <v>0</v>
      </c>
      <c r="BZ107" s="302">
        <v>0</v>
      </c>
      <c r="CA107" s="302">
        <v>0</v>
      </c>
      <c r="CB107" s="302">
        <v>0</v>
      </c>
      <c r="CC107" s="302">
        <v>0</v>
      </c>
      <c r="CD107" s="302">
        <v>0</v>
      </c>
      <c r="CE107" s="302">
        <v>0</v>
      </c>
      <c r="CF107" s="302">
        <v>0</v>
      </c>
      <c r="CG107" s="302">
        <v>0</v>
      </c>
      <c r="CH107" s="302">
        <v>0</v>
      </c>
      <c r="CI107" s="302">
        <v>0</v>
      </c>
      <c r="CJ107" s="302">
        <v>0</v>
      </c>
      <c r="CK107" s="302">
        <v>0</v>
      </c>
      <c r="CL107" s="302">
        <v>0</v>
      </c>
      <c r="CM107" s="302">
        <v>0</v>
      </c>
      <c r="CN107" s="302">
        <v>0</v>
      </c>
      <c r="CO107" s="302">
        <v>0</v>
      </c>
      <c r="CP107" s="302">
        <v>0</v>
      </c>
      <c r="CQ107" s="302">
        <v>0</v>
      </c>
      <c r="CR107" s="302">
        <v>0</v>
      </c>
      <c r="CS107" s="302">
        <v>0</v>
      </c>
      <c r="CT107" s="302">
        <v>0</v>
      </c>
      <c r="CU107" s="302">
        <v>0</v>
      </c>
      <c r="CV107" s="302">
        <v>0</v>
      </c>
      <c r="CW107" s="302">
        <v>0</v>
      </c>
      <c r="CX107" s="302">
        <v>0</v>
      </c>
      <c r="CY107" s="302">
        <v>0</v>
      </c>
      <c r="CZ107" s="302">
        <v>0</v>
      </c>
      <c r="DA107" s="302">
        <v>0</v>
      </c>
      <c r="DB107" s="302">
        <v>0</v>
      </c>
      <c r="DC107" s="302">
        <v>0</v>
      </c>
      <c r="DD107" s="302">
        <v>0</v>
      </c>
      <c r="DE107" s="302">
        <v>0</v>
      </c>
      <c r="DF107" s="302">
        <v>0</v>
      </c>
      <c r="DG107" s="302">
        <v>0</v>
      </c>
      <c r="DH107" s="302">
        <v>0</v>
      </c>
      <c r="DI107" s="302">
        <v>0</v>
      </c>
    </row>
    <row r="108" spans="30:113">
      <c r="AD108" s="304" t="s">
        <v>670</v>
      </c>
      <c r="AE108" s="305">
        <v>0</v>
      </c>
      <c r="AF108" s="305">
        <v>0</v>
      </c>
      <c r="AG108" s="305">
        <v>0</v>
      </c>
      <c r="AH108" s="305">
        <v>0</v>
      </c>
      <c r="AI108" s="305">
        <v>0</v>
      </c>
      <c r="AJ108" s="305">
        <v>0</v>
      </c>
      <c r="AK108" s="305">
        <v>0</v>
      </c>
      <c r="AL108" s="305">
        <v>0</v>
      </c>
      <c r="AM108" s="305">
        <v>0</v>
      </c>
      <c r="AN108" s="305">
        <v>0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0</v>
      </c>
      <c r="BA108" s="305">
        <v>0</v>
      </c>
      <c r="BB108" s="305">
        <v>0</v>
      </c>
      <c r="BC108" s="305">
        <v>0</v>
      </c>
      <c r="BD108" s="305">
        <v>0</v>
      </c>
      <c r="BE108" s="305">
        <v>0</v>
      </c>
      <c r="BF108" s="305">
        <v>0</v>
      </c>
      <c r="BG108" s="305">
        <v>0</v>
      </c>
      <c r="BH108" s="305">
        <v>0</v>
      </c>
      <c r="BI108" s="305">
        <v>0</v>
      </c>
      <c r="BJ108" s="305">
        <v>0</v>
      </c>
      <c r="BK108" s="305">
        <v>0</v>
      </c>
      <c r="BL108" s="305">
        <v>0</v>
      </c>
      <c r="BM108" s="305">
        <v>0</v>
      </c>
      <c r="BN108" s="305">
        <v>0</v>
      </c>
      <c r="BO108" s="305">
        <v>0</v>
      </c>
      <c r="BP108" s="305">
        <v>0</v>
      </c>
      <c r="BQ108" s="305">
        <v>0</v>
      </c>
      <c r="BR108" s="305">
        <v>0</v>
      </c>
      <c r="BU108" s="304" t="s">
        <v>670</v>
      </c>
      <c r="BV108" s="302">
        <v>0</v>
      </c>
      <c r="BW108" s="302">
        <v>0</v>
      </c>
      <c r="BX108" s="302">
        <v>0</v>
      </c>
      <c r="BY108" s="302">
        <v>0</v>
      </c>
      <c r="BZ108" s="302">
        <v>0</v>
      </c>
      <c r="CA108" s="302">
        <v>0</v>
      </c>
      <c r="CB108" s="302">
        <v>0</v>
      </c>
      <c r="CC108" s="302">
        <v>0</v>
      </c>
      <c r="CD108" s="302">
        <v>0</v>
      </c>
      <c r="CE108" s="302">
        <v>0</v>
      </c>
      <c r="CF108" s="302">
        <v>0</v>
      </c>
      <c r="CG108" s="302">
        <v>0</v>
      </c>
      <c r="CH108" s="302">
        <v>0</v>
      </c>
      <c r="CI108" s="302">
        <v>0</v>
      </c>
      <c r="CJ108" s="302">
        <v>0</v>
      </c>
      <c r="CK108" s="302">
        <v>0</v>
      </c>
      <c r="CL108" s="302">
        <v>0</v>
      </c>
      <c r="CM108" s="302">
        <v>0</v>
      </c>
      <c r="CN108" s="302">
        <v>0</v>
      </c>
      <c r="CO108" s="302">
        <v>0</v>
      </c>
      <c r="CP108" s="302">
        <v>0</v>
      </c>
      <c r="CQ108" s="302">
        <v>0</v>
      </c>
      <c r="CR108" s="302">
        <v>0</v>
      </c>
      <c r="CS108" s="302">
        <v>0</v>
      </c>
      <c r="CT108" s="302">
        <v>0</v>
      </c>
      <c r="CU108" s="302">
        <v>0</v>
      </c>
      <c r="CV108" s="302">
        <v>0</v>
      </c>
      <c r="CW108" s="302">
        <v>0</v>
      </c>
      <c r="CX108" s="302">
        <v>0</v>
      </c>
      <c r="CY108" s="302">
        <v>0</v>
      </c>
      <c r="CZ108" s="302">
        <v>0</v>
      </c>
      <c r="DA108" s="302">
        <v>0</v>
      </c>
      <c r="DB108" s="302">
        <v>0</v>
      </c>
      <c r="DC108" s="302">
        <v>0</v>
      </c>
      <c r="DD108" s="302">
        <v>0</v>
      </c>
      <c r="DE108" s="302">
        <v>0</v>
      </c>
      <c r="DF108" s="302">
        <v>0</v>
      </c>
      <c r="DG108" s="302">
        <v>0</v>
      </c>
      <c r="DH108" s="302">
        <v>0</v>
      </c>
      <c r="DI108" s="302">
        <v>0</v>
      </c>
    </row>
    <row r="109" spans="30:113">
      <c r="AD109" s="304" t="s">
        <v>671</v>
      </c>
      <c r="AE109" s="305">
        <v>0</v>
      </c>
      <c r="AF109" s="305">
        <v>0</v>
      </c>
      <c r="AG109" s="305">
        <v>10407.5335702297</v>
      </c>
      <c r="AH109" s="305">
        <v>0</v>
      </c>
      <c r="AI109" s="305">
        <v>0</v>
      </c>
      <c r="AJ109" s="305">
        <v>0</v>
      </c>
      <c r="AK109" s="305">
        <v>0</v>
      </c>
      <c r="AL109" s="305">
        <v>0</v>
      </c>
      <c r="AM109" s="305">
        <v>0</v>
      </c>
      <c r="AN109" s="305">
        <v>0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D109" s="305">
        <v>0</v>
      </c>
      <c r="BE109" s="305">
        <v>0</v>
      </c>
      <c r="BF109" s="305">
        <v>0</v>
      </c>
      <c r="BG109" s="305">
        <v>0</v>
      </c>
      <c r="BH109" s="305">
        <v>0</v>
      </c>
      <c r="BI109" s="305">
        <v>0</v>
      </c>
      <c r="BJ109" s="305">
        <v>0</v>
      </c>
      <c r="BK109" s="305">
        <v>0</v>
      </c>
      <c r="BL109" s="305">
        <v>0</v>
      </c>
      <c r="BM109" s="305">
        <v>0</v>
      </c>
      <c r="BN109" s="305">
        <v>0</v>
      </c>
      <c r="BO109" s="305">
        <v>0</v>
      </c>
      <c r="BP109" s="305">
        <v>0</v>
      </c>
      <c r="BQ109" s="305">
        <v>0</v>
      </c>
      <c r="BR109" s="305">
        <v>0</v>
      </c>
      <c r="BU109" s="304" t="s">
        <v>671</v>
      </c>
      <c r="BV109" s="302">
        <v>0</v>
      </c>
      <c r="BW109" s="302">
        <v>0</v>
      </c>
      <c r="BX109" s="302">
        <v>0</v>
      </c>
      <c r="BY109" s="302">
        <v>0</v>
      </c>
      <c r="BZ109" s="302">
        <v>0</v>
      </c>
      <c r="CA109" s="302">
        <v>0</v>
      </c>
      <c r="CB109" s="302">
        <v>0</v>
      </c>
      <c r="CC109" s="302">
        <v>0</v>
      </c>
      <c r="CD109" s="302">
        <v>0</v>
      </c>
      <c r="CE109" s="302">
        <v>0</v>
      </c>
      <c r="CF109" s="302">
        <v>0</v>
      </c>
      <c r="CG109" s="302">
        <v>0</v>
      </c>
      <c r="CH109" s="302">
        <v>0</v>
      </c>
      <c r="CI109" s="302">
        <v>0</v>
      </c>
      <c r="CJ109" s="302">
        <v>0</v>
      </c>
      <c r="CK109" s="302">
        <v>0</v>
      </c>
      <c r="CL109" s="302">
        <v>0</v>
      </c>
      <c r="CM109" s="302">
        <v>0</v>
      </c>
      <c r="CN109" s="302">
        <v>0</v>
      </c>
      <c r="CO109" s="302">
        <v>0</v>
      </c>
      <c r="CP109" s="302">
        <v>0</v>
      </c>
      <c r="CQ109" s="302">
        <v>0</v>
      </c>
      <c r="CR109" s="302">
        <v>0</v>
      </c>
      <c r="CS109" s="302">
        <v>0</v>
      </c>
      <c r="CT109" s="302">
        <v>0</v>
      </c>
      <c r="CU109" s="302">
        <v>0</v>
      </c>
      <c r="CV109" s="302">
        <v>0</v>
      </c>
      <c r="CW109" s="302">
        <v>0</v>
      </c>
      <c r="CX109" s="302">
        <v>0</v>
      </c>
      <c r="CY109" s="302">
        <v>0</v>
      </c>
      <c r="CZ109" s="302">
        <v>0</v>
      </c>
      <c r="DA109" s="302">
        <v>0</v>
      </c>
      <c r="DB109" s="302">
        <v>0</v>
      </c>
      <c r="DC109" s="302">
        <v>0</v>
      </c>
      <c r="DD109" s="302">
        <v>0</v>
      </c>
      <c r="DE109" s="302">
        <v>0</v>
      </c>
      <c r="DF109" s="302">
        <v>0</v>
      </c>
      <c r="DG109" s="302">
        <v>0</v>
      </c>
      <c r="DH109" s="302">
        <v>0</v>
      </c>
      <c r="DI109" s="302">
        <v>0</v>
      </c>
    </row>
    <row r="110" spans="30:113">
      <c r="AD110" s="304" t="s">
        <v>714</v>
      </c>
      <c r="AE110" s="305">
        <v>0</v>
      </c>
      <c r="AF110" s="305">
        <v>0</v>
      </c>
      <c r="AG110" s="305">
        <v>0</v>
      </c>
      <c r="AH110" s="305">
        <v>0</v>
      </c>
      <c r="AI110" s="305">
        <v>0</v>
      </c>
      <c r="AJ110" s="305">
        <v>0</v>
      </c>
      <c r="AK110" s="305">
        <v>0</v>
      </c>
      <c r="AL110" s="305">
        <v>0</v>
      </c>
      <c r="AM110" s="305">
        <v>0</v>
      </c>
      <c r="AN110" s="305">
        <v>3749358.3680556798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0</v>
      </c>
      <c r="BA110" s="305">
        <v>0</v>
      </c>
      <c r="BB110" s="305">
        <v>0</v>
      </c>
      <c r="BC110" s="305">
        <v>0</v>
      </c>
      <c r="BD110" s="305">
        <v>0</v>
      </c>
      <c r="BE110" s="305">
        <v>0</v>
      </c>
      <c r="BF110" s="305">
        <v>0</v>
      </c>
      <c r="BG110" s="305">
        <v>0</v>
      </c>
      <c r="BH110" s="305">
        <v>0</v>
      </c>
      <c r="BI110" s="305">
        <v>0</v>
      </c>
      <c r="BJ110" s="305">
        <v>0</v>
      </c>
      <c r="BK110" s="305">
        <v>0</v>
      </c>
      <c r="BL110" s="305">
        <v>0</v>
      </c>
      <c r="BM110" s="305">
        <v>0</v>
      </c>
      <c r="BN110" s="305">
        <v>0</v>
      </c>
      <c r="BO110" s="305">
        <v>0</v>
      </c>
      <c r="BP110" s="305">
        <v>0</v>
      </c>
      <c r="BQ110" s="305">
        <v>0</v>
      </c>
      <c r="BR110" s="305">
        <v>0</v>
      </c>
      <c r="BU110" s="304" t="s">
        <v>714</v>
      </c>
      <c r="BV110" s="302">
        <v>0</v>
      </c>
      <c r="BW110" s="302">
        <v>0</v>
      </c>
      <c r="BX110" s="302">
        <v>0</v>
      </c>
      <c r="BY110" s="302">
        <v>0</v>
      </c>
      <c r="BZ110" s="302">
        <v>0</v>
      </c>
      <c r="CA110" s="302">
        <v>0</v>
      </c>
      <c r="CB110" s="302">
        <v>0</v>
      </c>
      <c r="CC110" s="302">
        <v>0</v>
      </c>
      <c r="CD110" s="302">
        <v>0</v>
      </c>
      <c r="CE110" s="302">
        <v>0</v>
      </c>
      <c r="CF110" s="302">
        <v>0</v>
      </c>
      <c r="CG110" s="302">
        <v>0</v>
      </c>
      <c r="CH110" s="302">
        <v>0</v>
      </c>
      <c r="CI110" s="302">
        <v>0</v>
      </c>
      <c r="CJ110" s="302">
        <v>0</v>
      </c>
      <c r="CK110" s="302">
        <v>0</v>
      </c>
      <c r="CL110" s="302">
        <v>0</v>
      </c>
      <c r="CM110" s="302">
        <v>0</v>
      </c>
      <c r="CN110" s="302">
        <v>0</v>
      </c>
      <c r="CO110" s="302">
        <v>0</v>
      </c>
      <c r="CP110" s="302">
        <v>0</v>
      </c>
      <c r="CQ110" s="302">
        <v>0</v>
      </c>
      <c r="CR110" s="302">
        <v>0</v>
      </c>
      <c r="CS110" s="302">
        <v>0</v>
      </c>
      <c r="CT110" s="302">
        <v>0</v>
      </c>
      <c r="CU110" s="302">
        <v>0</v>
      </c>
      <c r="CV110" s="302">
        <v>0</v>
      </c>
      <c r="CW110" s="302">
        <v>0</v>
      </c>
      <c r="CX110" s="302">
        <v>0</v>
      </c>
      <c r="CY110" s="302">
        <v>0</v>
      </c>
      <c r="CZ110" s="302">
        <v>0</v>
      </c>
      <c r="DA110" s="302">
        <v>0</v>
      </c>
      <c r="DB110" s="302">
        <v>0</v>
      </c>
      <c r="DC110" s="302">
        <v>0</v>
      </c>
      <c r="DD110" s="302">
        <v>0</v>
      </c>
      <c r="DE110" s="302">
        <v>0</v>
      </c>
      <c r="DF110" s="302">
        <v>0</v>
      </c>
      <c r="DG110" s="302">
        <v>0</v>
      </c>
      <c r="DH110" s="302">
        <v>0</v>
      </c>
      <c r="DI110" s="302">
        <v>0</v>
      </c>
    </row>
    <row r="111" spans="30:113">
      <c r="AD111" s="304" t="s">
        <v>758</v>
      </c>
      <c r="AE111" s="305">
        <v>0</v>
      </c>
      <c r="AF111" s="305">
        <v>0</v>
      </c>
      <c r="AG111" s="305">
        <v>0</v>
      </c>
      <c r="AH111" s="305">
        <v>0</v>
      </c>
      <c r="AI111" s="305">
        <v>0</v>
      </c>
      <c r="AJ111" s="305">
        <v>0</v>
      </c>
      <c r="AK111" s="305">
        <v>0</v>
      </c>
      <c r="AL111" s="305">
        <v>0</v>
      </c>
      <c r="AM111" s="305">
        <v>0</v>
      </c>
      <c r="AN111" s="305">
        <v>0</v>
      </c>
      <c r="AO111" s="305">
        <v>0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0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0</v>
      </c>
      <c r="BD111" s="305">
        <v>0</v>
      </c>
      <c r="BE111" s="305">
        <v>0</v>
      </c>
      <c r="BF111" s="305">
        <v>0</v>
      </c>
      <c r="BG111" s="305">
        <v>0</v>
      </c>
      <c r="BH111" s="305">
        <v>0</v>
      </c>
      <c r="BI111" s="305">
        <v>0</v>
      </c>
      <c r="BJ111" s="305">
        <v>0</v>
      </c>
      <c r="BK111" s="305">
        <v>0</v>
      </c>
      <c r="BL111" s="305">
        <v>0</v>
      </c>
      <c r="BM111" s="305">
        <v>0</v>
      </c>
      <c r="BN111" s="305">
        <v>0</v>
      </c>
      <c r="BO111" s="305">
        <v>0</v>
      </c>
      <c r="BP111" s="305">
        <v>0</v>
      </c>
      <c r="BQ111" s="305">
        <v>0</v>
      </c>
      <c r="BR111" s="305">
        <v>0</v>
      </c>
      <c r="BU111" s="304" t="s">
        <v>758</v>
      </c>
      <c r="BV111" s="302">
        <v>0</v>
      </c>
      <c r="BW111" s="302">
        <v>0</v>
      </c>
      <c r="BX111" s="302">
        <v>0</v>
      </c>
      <c r="BY111" s="302">
        <v>0</v>
      </c>
      <c r="BZ111" s="302">
        <v>0</v>
      </c>
      <c r="CA111" s="302">
        <v>0</v>
      </c>
      <c r="CB111" s="302">
        <v>0</v>
      </c>
      <c r="CC111" s="302">
        <v>0</v>
      </c>
      <c r="CD111" s="302">
        <v>0</v>
      </c>
      <c r="CE111" s="302">
        <v>0</v>
      </c>
      <c r="CF111" s="302">
        <v>0</v>
      </c>
      <c r="CG111" s="302">
        <v>0</v>
      </c>
      <c r="CH111" s="302">
        <v>0</v>
      </c>
      <c r="CI111" s="302">
        <v>0</v>
      </c>
      <c r="CJ111" s="302">
        <v>0</v>
      </c>
      <c r="CK111" s="302">
        <v>0</v>
      </c>
      <c r="CL111" s="302">
        <v>0</v>
      </c>
      <c r="CM111" s="302">
        <v>0</v>
      </c>
      <c r="CN111" s="302">
        <v>0</v>
      </c>
      <c r="CO111" s="302">
        <v>0</v>
      </c>
      <c r="CP111" s="302">
        <v>0</v>
      </c>
      <c r="CQ111" s="302">
        <v>0</v>
      </c>
      <c r="CR111" s="302">
        <v>0</v>
      </c>
      <c r="CS111" s="302">
        <v>0</v>
      </c>
      <c r="CT111" s="302">
        <v>0</v>
      </c>
      <c r="CU111" s="302">
        <v>0</v>
      </c>
      <c r="CV111" s="302">
        <v>0</v>
      </c>
      <c r="CW111" s="302">
        <v>0</v>
      </c>
      <c r="CX111" s="302">
        <v>0</v>
      </c>
      <c r="CY111" s="302">
        <v>0</v>
      </c>
      <c r="CZ111" s="302">
        <v>0</v>
      </c>
      <c r="DA111" s="302">
        <v>0</v>
      </c>
      <c r="DB111" s="302">
        <v>0</v>
      </c>
      <c r="DC111" s="302">
        <v>0</v>
      </c>
      <c r="DD111" s="302">
        <v>0</v>
      </c>
      <c r="DE111" s="302">
        <v>0</v>
      </c>
      <c r="DF111" s="302">
        <v>0</v>
      </c>
      <c r="DG111" s="302">
        <v>0</v>
      </c>
      <c r="DH111" s="302">
        <v>0</v>
      </c>
      <c r="DI111" s="302">
        <v>0</v>
      </c>
    </row>
    <row r="112" spans="30:113">
      <c r="AD112" s="304" t="s">
        <v>715</v>
      </c>
      <c r="AE112" s="305">
        <v>0</v>
      </c>
      <c r="AF112" s="305">
        <v>0</v>
      </c>
      <c r="AG112" s="305">
        <v>0</v>
      </c>
      <c r="AH112" s="305">
        <v>0</v>
      </c>
      <c r="AI112" s="305">
        <v>0</v>
      </c>
      <c r="AJ112" s="305">
        <v>0</v>
      </c>
      <c r="AK112" s="305">
        <v>0</v>
      </c>
      <c r="AL112" s="305">
        <v>0</v>
      </c>
      <c r="AM112" s="305">
        <v>0</v>
      </c>
      <c r="AN112" s="305">
        <v>0</v>
      </c>
      <c r="AO112" s="305">
        <v>0</v>
      </c>
      <c r="AP112" s="305">
        <v>0</v>
      </c>
      <c r="AQ112" s="305">
        <v>668.84165319492104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D112" s="305">
        <v>0</v>
      </c>
      <c r="BE112" s="305">
        <v>0</v>
      </c>
      <c r="BF112" s="305">
        <v>0</v>
      </c>
      <c r="BG112" s="305">
        <v>0</v>
      </c>
      <c r="BH112" s="305">
        <v>0</v>
      </c>
      <c r="BI112" s="305">
        <v>0</v>
      </c>
      <c r="BJ112" s="305">
        <v>0</v>
      </c>
      <c r="BK112" s="305">
        <v>0</v>
      </c>
      <c r="BL112" s="305">
        <v>0</v>
      </c>
      <c r="BM112" s="305">
        <v>0</v>
      </c>
      <c r="BN112" s="305">
        <v>0</v>
      </c>
      <c r="BO112" s="305">
        <v>0</v>
      </c>
      <c r="BP112" s="305">
        <v>0</v>
      </c>
      <c r="BQ112" s="305">
        <v>0</v>
      </c>
      <c r="BR112" s="305">
        <v>0</v>
      </c>
      <c r="BU112" s="304" t="s">
        <v>715</v>
      </c>
      <c r="BV112" s="302">
        <v>0</v>
      </c>
      <c r="BW112" s="302">
        <v>0</v>
      </c>
      <c r="BX112" s="302">
        <v>0</v>
      </c>
      <c r="BY112" s="302">
        <v>0</v>
      </c>
      <c r="BZ112" s="302">
        <v>0</v>
      </c>
      <c r="CA112" s="302">
        <v>0</v>
      </c>
      <c r="CB112" s="302">
        <v>0</v>
      </c>
      <c r="CC112" s="302">
        <v>0</v>
      </c>
      <c r="CD112" s="302">
        <v>0</v>
      </c>
      <c r="CE112" s="302">
        <v>0</v>
      </c>
      <c r="CF112" s="302">
        <v>0</v>
      </c>
      <c r="CG112" s="302">
        <v>0</v>
      </c>
      <c r="CH112" s="302">
        <v>0</v>
      </c>
      <c r="CI112" s="302">
        <v>0</v>
      </c>
      <c r="CJ112" s="302">
        <v>0</v>
      </c>
      <c r="CK112" s="302">
        <v>0</v>
      </c>
      <c r="CL112" s="302">
        <v>0</v>
      </c>
      <c r="CM112" s="302">
        <v>0</v>
      </c>
      <c r="CN112" s="302">
        <v>0</v>
      </c>
      <c r="CO112" s="302">
        <v>0</v>
      </c>
      <c r="CP112" s="302">
        <v>0</v>
      </c>
      <c r="CQ112" s="302">
        <v>0</v>
      </c>
      <c r="CR112" s="302">
        <v>0</v>
      </c>
      <c r="CS112" s="302">
        <v>0</v>
      </c>
      <c r="CT112" s="302">
        <v>0</v>
      </c>
      <c r="CU112" s="302">
        <v>0</v>
      </c>
      <c r="CV112" s="302">
        <v>0</v>
      </c>
      <c r="CW112" s="302">
        <v>0</v>
      </c>
      <c r="CX112" s="302">
        <v>0</v>
      </c>
      <c r="CY112" s="302">
        <v>0</v>
      </c>
      <c r="CZ112" s="302">
        <v>0</v>
      </c>
      <c r="DA112" s="302">
        <v>0</v>
      </c>
      <c r="DB112" s="302">
        <v>0</v>
      </c>
      <c r="DC112" s="302">
        <v>0</v>
      </c>
      <c r="DD112" s="302">
        <v>0</v>
      </c>
      <c r="DE112" s="302">
        <v>0</v>
      </c>
      <c r="DF112" s="302">
        <v>0</v>
      </c>
      <c r="DG112" s="302">
        <v>0</v>
      </c>
      <c r="DH112" s="302">
        <v>0</v>
      </c>
      <c r="DI112" s="302">
        <v>0</v>
      </c>
    </row>
    <row r="113" spans="30:113">
      <c r="AD113" s="304" t="s">
        <v>716</v>
      </c>
      <c r="AE113" s="305">
        <v>0</v>
      </c>
      <c r="AF113" s="305">
        <v>0</v>
      </c>
      <c r="AG113" s="305">
        <v>0</v>
      </c>
      <c r="AH113" s="305">
        <v>0</v>
      </c>
      <c r="AI113" s="305">
        <v>0</v>
      </c>
      <c r="AJ113" s="305">
        <v>0</v>
      </c>
      <c r="AK113" s="305">
        <v>0</v>
      </c>
      <c r="AL113" s="305">
        <v>0</v>
      </c>
      <c r="AM113" s="305">
        <v>0</v>
      </c>
      <c r="AN113" s="305">
        <v>0</v>
      </c>
      <c r="AO113" s="305">
        <v>0</v>
      </c>
      <c r="AP113" s="305">
        <v>668.84165319492104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D113" s="305">
        <v>0</v>
      </c>
      <c r="BE113" s="305">
        <v>0</v>
      </c>
      <c r="BF113" s="305">
        <v>0</v>
      </c>
      <c r="BG113" s="305">
        <v>0</v>
      </c>
      <c r="BH113" s="305">
        <v>0</v>
      </c>
      <c r="BI113" s="305">
        <v>0</v>
      </c>
      <c r="BJ113" s="305">
        <v>0</v>
      </c>
      <c r="BK113" s="305">
        <v>0</v>
      </c>
      <c r="BL113" s="305">
        <v>0</v>
      </c>
      <c r="BM113" s="305">
        <v>0</v>
      </c>
      <c r="BN113" s="305">
        <v>0</v>
      </c>
      <c r="BO113" s="305">
        <v>0</v>
      </c>
      <c r="BP113" s="305">
        <v>0</v>
      </c>
      <c r="BQ113" s="305">
        <v>0</v>
      </c>
      <c r="BR113" s="305">
        <v>0</v>
      </c>
      <c r="BU113" s="304" t="s">
        <v>716</v>
      </c>
      <c r="BV113" s="302">
        <v>0</v>
      </c>
      <c r="BW113" s="302">
        <v>0</v>
      </c>
      <c r="BX113" s="302">
        <v>0</v>
      </c>
      <c r="BY113" s="302">
        <v>0</v>
      </c>
      <c r="BZ113" s="302">
        <v>0</v>
      </c>
      <c r="CA113" s="302">
        <v>0</v>
      </c>
      <c r="CB113" s="302">
        <v>0</v>
      </c>
      <c r="CC113" s="302">
        <v>0</v>
      </c>
      <c r="CD113" s="302">
        <v>0</v>
      </c>
      <c r="CE113" s="302">
        <v>0</v>
      </c>
      <c r="CF113" s="302">
        <v>0</v>
      </c>
      <c r="CG113" s="302">
        <v>0</v>
      </c>
      <c r="CH113" s="302">
        <v>0</v>
      </c>
      <c r="CI113" s="302">
        <v>0</v>
      </c>
      <c r="CJ113" s="302">
        <v>0</v>
      </c>
      <c r="CK113" s="302">
        <v>0</v>
      </c>
      <c r="CL113" s="302">
        <v>0</v>
      </c>
      <c r="CM113" s="302">
        <v>0</v>
      </c>
      <c r="CN113" s="302">
        <v>0</v>
      </c>
      <c r="CO113" s="302">
        <v>0</v>
      </c>
      <c r="CP113" s="302">
        <v>0</v>
      </c>
      <c r="CQ113" s="302">
        <v>0</v>
      </c>
      <c r="CR113" s="302">
        <v>0</v>
      </c>
      <c r="CS113" s="302">
        <v>0</v>
      </c>
      <c r="CT113" s="302">
        <v>0</v>
      </c>
      <c r="CU113" s="302">
        <v>0</v>
      </c>
      <c r="CV113" s="302">
        <v>0</v>
      </c>
      <c r="CW113" s="302">
        <v>0</v>
      </c>
      <c r="CX113" s="302">
        <v>0</v>
      </c>
      <c r="CY113" s="302">
        <v>0</v>
      </c>
      <c r="CZ113" s="302">
        <v>0</v>
      </c>
      <c r="DA113" s="302">
        <v>0</v>
      </c>
      <c r="DB113" s="302">
        <v>0</v>
      </c>
      <c r="DC113" s="302">
        <v>0</v>
      </c>
      <c r="DD113" s="302">
        <v>0</v>
      </c>
      <c r="DE113" s="302">
        <v>0</v>
      </c>
      <c r="DF113" s="302">
        <v>0</v>
      </c>
      <c r="DG113" s="302">
        <v>0</v>
      </c>
      <c r="DH113" s="302">
        <v>0</v>
      </c>
      <c r="DI113" s="302">
        <v>0</v>
      </c>
    </row>
    <row r="114" spans="30:113">
      <c r="AD114" s="304" t="s">
        <v>717</v>
      </c>
      <c r="AE114" s="305">
        <v>0</v>
      </c>
      <c r="AF114" s="305">
        <v>0</v>
      </c>
      <c r="AG114" s="305">
        <v>0</v>
      </c>
      <c r="AH114" s="305">
        <v>0</v>
      </c>
      <c r="AI114" s="305">
        <v>0</v>
      </c>
      <c r="AJ114" s="305">
        <v>0</v>
      </c>
      <c r="AK114" s="305">
        <v>0</v>
      </c>
      <c r="AL114" s="305">
        <v>0</v>
      </c>
      <c r="AM114" s="305">
        <v>0</v>
      </c>
      <c r="AN114" s="305">
        <v>0</v>
      </c>
      <c r="AO114" s="305">
        <v>184686.52821315001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0</v>
      </c>
      <c r="BC114" s="305">
        <v>0</v>
      </c>
      <c r="BD114" s="305">
        <v>0</v>
      </c>
      <c r="BE114" s="305">
        <v>0</v>
      </c>
      <c r="BF114" s="305">
        <v>0</v>
      </c>
      <c r="BG114" s="305">
        <v>0</v>
      </c>
      <c r="BH114" s="305">
        <v>0</v>
      </c>
      <c r="BI114" s="305">
        <v>0</v>
      </c>
      <c r="BJ114" s="305">
        <v>0</v>
      </c>
      <c r="BK114" s="305">
        <v>0</v>
      </c>
      <c r="BL114" s="305">
        <v>0</v>
      </c>
      <c r="BM114" s="305">
        <v>0</v>
      </c>
      <c r="BN114" s="305">
        <v>0</v>
      </c>
      <c r="BO114" s="305">
        <v>0</v>
      </c>
      <c r="BP114" s="305">
        <v>0</v>
      </c>
      <c r="BQ114" s="305">
        <v>0</v>
      </c>
      <c r="BR114" s="305">
        <v>0</v>
      </c>
      <c r="BU114" s="304" t="s">
        <v>717</v>
      </c>
      <c r="BV114" s="302">
        <v>0</v>
      </c>
      <c r="BW114" s="302">
        <v>0</v>
      </c>
      <c r="BX114" s="302">
        <v>0</v>
      </c>
      <c r="BY114" s="302">
        <v>0</v>
      </c>
      <c r="BZ114" s="302">
        <v>0</v>
      </c>
      <c r="CA114" s="302">
        <v>0</v>
      </c>
      <c r="CB114" s="302">
        <v>0</v>
      </c>
      <c r="CC114" s="302">
        <v>0</v>
      </c>
      <c r="CD114" s="302">
        <v>0</v>
      </c>
      <c r="CE114" s="302">
        <v>0</v>
      </c>
      <c r="CF114" s="302">
        <v>0</v>
      </c>
      <c r="CG114" s="302">
        <v>0</v>
      </c>
      <c r="CH114" s="302">
        <v>0</v>
      </c>
      <c r="CI114" s="302">
        <v>0</v>
      </c>
      <c r="CJ114" s="302">
        <v>0</v>
      </c>
      <c r="CK114" s="302">
        <v>0</v>
      </c>
      <c r="CL114" s="302">
        <v>0</v>
      </c>
      <c r="CM114" s="302">
        <v>0</v>
      </c>
      <c r="CN114" s="302">
        <v>0</v>
      </c>
      <c r="CO114" s="302">
        <v>0</v>
      </c>
      <c r="CP114" s="302">
        <v>0</v>
      </c>
      <c r="CQ114" s="302">
        <v>0</v>
      </c>
      <c r="CR114" s="302">
        <v>0</v>
      </c>
      <c r="CS114" s="302">
        <v>0</v>
      </c>
      <c r="CT114" s="302">
        <v>0</v>
      </c>
      <c r="CU114" s="302">
        <v>0</v>
      </c>
      <c r="CV114" s="302">
        <v>0</v>
      </c>
      <c r="CW114" s="302">
        <v>0</v>
      </c>
      <c r="CX114" s="302">
        <v>0</v>
      </c>
      <c r="CY114" s="302">
        <v>0</v>
      </c>
      <c r="CZ114" s="302">
        <v>0</v>
      </c>
      <c r="DA114" s="302">
        <v>0</v>
      </c>
      <c r="DB114" s="302">
        <v>0</v>
      </c>
      <c r="DC114" s="302">
        <v>0</v>
      </c>
      <c r="DD114" s="302">
        <v>0</v>
      </c>
      <c r="DE114" s="302">
        <v>0</v>
      </c>
      <c r="DF114" s="302">
        <v>0</v>
      </c>
      <c r="DG114" s="302">
        <v>0</v>
      </c>
      <c r="DH114" s="302">
        <v>0</v>
      </c>
      <c r="DI114" s="302">
        <v>0</v>
      </c>
    </row>
    <row r="115" spans="30:113">
      <c r="AD115" s="304" t="s">
        <v>718</v>
      </c>
      <c r="AE115" s="305">
        <v>0</v>
      </c>
      <c r="AF115" s="305">
        <v>0</v>
      </c>
      <c r="AG115" s="305">
        <v>0</v>
      </c>
      <c r="AH115" s="305">
        <v>0</v>
      </c>
      <c r="AI115" s="305">
        <v>0</v>
      </c>
      <c r="AJ115" s="305">
        <v>184686.52821315001</v>
      </c>
      <c r="AK115" s="305">
        <v>0</v>
      </c>
      <c r="AL115" s="305">
        <v>0</v>
      </c>
      <c r="AM115" s="305">
        <v>0</v>
      </c>
      <c r="AN115" s="305">
        <v>0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D115" s="305">
        <v>0</v>
      </c>
      <c r="BE115" s="305">
        <v>0</v>
      </c>
      <c r="BF115" s="305">
        <v>0</v>
      </c>
      <c r="BG115" s="305">
        <v>0</v>
      </c>
      <c r="BH115" s="305">
        <v>0</v>
      </c>
      <c r="BI115" s="305">
        <v>0</v>
      </c>
      <c r="BJ115" s="305">
        <v>0</v>
      </c>
      <c r="BK115" s="305">
        <v>0</v>
      </c>
      <c r="BL115" s="305">
        <v>0</v>
      </c>
      <c r="BM115" s="305">
        <v>0</v>
      </c>
      <c r="BN115" s="305">
        <v>0</v>
      </c>
      <c r="BO115" s="305">
        <v>0</v>
      </c>
      <c r="BP115" s="305">
        <v>0</v>
      </c>
      <c r="BQ115" s="305">
        <v>0</v>
      </c>
      <c r="BR115" s="305">
        <v>0</v>
      </c>
      <c r="BU115" s="304" t="s">
        <v>718</v>
      </c>
      <c r="BV115" s="302">
        <v>0</v>
      </c>
      <c r="BW115" s="302">
        <v>0</v>
      </c>
      <c r="BX115" s="302">
        <v>0</v>
      </c>
      <c r="BY115" s="302">
        <v>0</v>
      </c>
      <c r="BZ115" s="302">
        <v>0</v>
      </c>
      <c r="CA115" s="302">
        <v>0</v>
      </c>
      <c r="CB115" s="302">
        <v>0</v>
      </c>
      <c r="CC115" s="302">
        <v>0</v>
      </c>
      <c r="CD115" s="302">
        <v>0</v>
      </c>
      <c r="CE115" s="302">
        <v>0</v>
      </c>
      <c r="CF115" s="302">
        <v>0</v>
      </c>
      <c r="CG115" s="302">
        <v>0</v>
      </c>
      <c r="CH115" s="302">
        <v>0</v>
      </c>
      <c r="CI115" s="302">
        <v>0</v>
      </c>
      <c r="CJ115" s="302">
        <v>0</v>
      </c>
      <c r="CK115" s="302">
        <v>0</v>
      </c>
      <c r="CL115" s="302">
        <v>0</v>
      </c>
      <c r="CM115" s="302">
        <v>0</v>
      </c>
      <c r="CN115" s="302">
        <v>0</v>
      </c>
      <c r="CO115" s="302">
        <v>0</v>
      </c>
      <c r="CP115" s="302">
        <v>0</v>
      </c>
      <c r="CQ115" s="302">
        <v>0</v>
      </c>
      <c r="CR115" s="302">
        <v>0</v>
      </c>
      <c r="CS115" s="302">
        <v>0</v>
      </c>
      <c r="CT115" s="302">
        <v>0</v>
      </c>
      <c r="CU115" s="302">
        <v>0</v>
      </c>
      <c r="CV115" s="302">
        <v>0</v>
      </c>
      <c r="CW115" s="302">
        <v>0</v>
      </c>
      <c r="CX115" s="302">
        <v>0</v>
      </c>
      <c r="CY115" s="302">
        <v>0</v>
      </c>
      <c r="CZ115" s="302">
        <v>0</v>
      </c>
      <c r="DA115" s="302">
        <v>0</v>
      </c>
      <c r="DB115" s="302">
        <v>0</v>
      </c>
      <c r="DC115" s="302">
        <v>0</v>
      </c>
      <c r="DD115" s="302">
        <v>0</v>
      </c>
      <c r="DE115" s="302">
        <v>0</v>
      </c>
      <c r="DF115" s="302">
        <v>0</v>
      </c>
      <c r="DG115" s="302">
        <v>0</v>
      </c>
      <c r="DH115" s="302">
        <v>0</v>
      </c>
      <c r="DI115" s="302">
        <v>0</v>
      </c>
    </row>
    <row r="116" spans="30:113">
      <c r="AD116" s="304" t="s">
        <v>759</v>
      </c>
      <c r="AE116" s="305">
        <v>0</v>
      </c>
      <c r="AF116" s="305">
        <v>0</v>
      </c>
      <c r="AG116" s="305">
        <v>0</v>
      </c>
      <c r="AH116" s="305">
        <v>0</v>
      </c>
      <c r="AI116" s="305">
        <v>0</v>
      </c>
      <c r="AJ116" s="305">
        <v>0</v>
      </c>
      <c r="AK116" s="305">
        <v>0</v>
      </c>
      <c r="AL116" s="305">
        <v>0</v>
      </c>
      <c r="AM116" s="305">
        <v>0</v>
      </c>
      <c r="AN116" s="305">
        <v>0</v>
      </c>
      <c r="AO116" s="305">
        <v>0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D116" s="305">
        <v>0</v>
      </c>
      <c r="BE116" s="305">
        <v>0</v>
      </c>
      <c r="BF116" s="305">
        <v>0</v>
      </c>
      <c r="BG116" s="305">
        <v>0</v>
      </c>
      <c r="BH116" s="305">
        <v>0</v>
      </c>
      <c r="BI116" s="305">
        <v>0</v>
      </c>
      <c r="BJ116" s="305">
        <v>0</v>
      </c>
      <c r="BK116" s="305">
        <v>0</v>
      </c>
      <c r="BL116" s="305">
        <v>0</v>
      </c>
      <c r="BM116" s="305">
        <v>0</v>
      </c>
      <c r="BN116" s="305">
        <v>0</v>
      </c>
      <c r="BO116" s="305">
        <v>0</v>
      </c>
      <c r="BP116" s="305">
        <v>0</v>
      </c>
      <c r="BQ116" s="305">
        <v>0</v>
      </c>
      <c r="BR116" s="305">
        <v>0</v>
      </c>
      <c r="BU116" s="304" t="s">
        <v>759</v>
      </c>
      <c r="BV116" s="302">
        <v>0</v>
      </c>
      <c r="BW116" s="302">
        <v>0</v>
      </c>
      <c r="BX116" s="302">
        <v>0</v>
      </c>
      <c r="BY116" s="302">
        <v>0</v>
      </c>
      <c r="BZ116" s="302">
        <v>0</v>
      </c>
      <c r="CA116" s="302">
        <v>0</v>
      </c>
      <c r="CB116" s="302">
        <v>0</v>
      </c>
      <c r="CC116" s="302">
        <v>0</v>
      </c>
      <c r="CD116" s="302">
        <v>0</v>
      </c>
      <c r="CE116" s="302">
        <v>0</v>
      </c>
      <c r="CF116" s="302">
        <v>0</v>
      </c>
      <c r="CG116" s="302">
        <v>0</v>
      </c>
      <c r="CH116" s="302">
        <v>0</v>
      </c>
      <c r="CI116" s="302">
        <v>0</v>
      </c>
      <c r="CJ116" s="302">
        <v>0</v>
      </c>
      <c r="CK116" s="302">
        <v>0</v>
      </c>
      <c r="CL116" s="302">
        <v>0</v>
      </c>
      <c r="CM116" s="302">
        <v>0</v>
      </c>
      <c r="CN116" s="302">
        <v>0</v>
      </c>
      <c r="CO116" s="302">
        <v>0</v>
      </c>
      <c r="CP116" s="302">
        <v>0</v>
      </c>
      <c r="CQ116" s="302">
        <v>0</v>
      </c>
      <c r="CR116" s="302">
        <v>0</v>
      </c>
      <c r="CS116" s="302">
        <v>0</v>
      </c>
      <c r="CT116" s="302">
        <v>0</v>
      </c>
      <c r="CU116" s="302">
        <v>0</v>
      </c>
      <c r="CV116" s="302">
        <v>0</v>
      </c>
      <c r="CW116" s="302">
        <v>0</v>
      </c>
      <c r="CX116" s="302">
        <v>0</v>
      </c>
      <c r="CY116" s="302">
        <v>0</v>
      </c>
      <c r="CZ116" s="302">
        <v>0</v>
      </c>
      <c r="DA116" s="302">
        <v>0</v>
      </c>
      <c r="DB116" s="302">
        <v>0</v>
      </c>
      <c r="DC116" s="302">
        <v>0</v>
      </c>
      <c r="DD116" s="302">
        <v>0</v>
      </c>
      <c r="DE116" s="302">
        <v>0</v>
      </c>
      <c r="DF116" s="302">
        <v>0</v>
      </c>
      <c r="DG116" s="302">
        <v>0</v>
      </c>
      <c r="DH116" s="302">
        <v>0</v>
      </c>
      <c r="DI116" s="302">
        <v>0</v>
      </c>
    </row>
    <row r="117" spans="30:113">
      <c r="AD117" s="304" t="s">
        <v>760</v>
      </c>
      <c r="AE117" s="305">
        <v>0</v>
      </c>
      <c r="AF117" s="305">
        <v>0</v>
      </c>
      <c r="AG117" s="305">
        <v>0</v>
      </c>
      <c r="AH117" s="305">
        <v>0</v>
      </c>
      <c r="AI117" s="305">
        <v>0</v>
      </c>
      <c r="AJ117" s="305">
        <v>0</v>
      </c>
      <c r="AK117" s="305">
        <v>0</v>
      </c>
      <c r="AL117" s="305">
        <v>0</v>
      </c>
      <c r="AM117" s="305">
        <v>0</v>
      </c>
      <c r="AN117" s="305">
        <v>0</v>
      </c>
      <c r="AO117" s="305">
        <v>0</v>
      </c>
      <c r="AP117" s="305">
        <v>0</v>
      </c>
      <c r="AQ117" s="305">
        <v>0</v>
      </c>
      <c r="AR117" s="305">
        <v>0</v>
      </c>
      <c r="AS117" s="305">
        <v>0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D117" s="305">
        <v>0</v>
      </c>
      <c r="BE117" s="305">
        <v>0</v>
      </c>
      <c r="BF117" s="305">
        <v>0</v>
      </c>
      <c r="BG117" s="305">
        <v>0</v>
      </c>
      <c r="BH117" s="305">
        <v>0</v>
      </c>
      <c r="BI117" s="305">
        <v>0</v>
      </c>
      <c r="BJ117" s="305">
        <v>0</v>
      </c>
      <c r="BK117" s="305">
        <v>0</v>
      </c>
      <c r="BL117" s="305">
        <v>0</v>
      </c>
      <c r="BM117" s="305">
        <v>0</v>
      </c>
      <c r="BN117" s="305">
        <v>0</v>
      </c>
      <c r="BO117" s="305">
        <v>0</v>
      </c>
      <c r="BP117" s="305">
        <v>0</v>
      </c>
      <c r="BQ117" s="305">
        <v>0</v>
      </c>
      <c r="BR117" s="305">
        <v>0</v>
      </c>
      <c r="BU117" s="304" t="s">
        <v>760</v>
      </c>
      <c r="BV117" s="302">
        <v>0</v>
      </c>
      <c r="BW117" s="302">
        <v>0</v>
      </c>
      <c r="BX117" s="302">
        <v>0</v>
      </c>
      <c r="BY117" s="302">
        <v>0</v>
      </c>
      <c r="BZ117" s="302">
        <v>0</v>
      </c>
      <c r="CA117" s="302">
        <v>0</v>
      </c>
      <c r="CB117" s="302">
        <v>0</v>
      </c>
      <c r="CC117" s="302">
        <v>0</v>
      </c>
      <c r="CD117" s="302">
        <v>0</v>
      </c>
      <c r="CE117" s="302">
        <v>0</v>
      </c>
      <c r="CF117" s="302">
        <v>0</v>
      </c>
      <c r="CG117" s="302">
        <v>0</v>
      </c>
      <c r="CH117" s="302">
        <v>0</v>
      </c>
      <c r="CI117" s="302">
        <v>0</v>
      </c>
      <c r="CJ117" s="302">
        <v>0</v>
      </c>
      <c r="CK117" s="302">
        <v>0</v>
      </c>
      <c r="CL117" s="302">
        <v>0</v>
      </c>
      <c r="CM117" s="302">
        <v>0</v>
      </c>
      <c r="CN117" s="302">
        <v>0</v>
      </c>
      <c r="CO117" s="302">
        <v>0</v>
      </c>
      <c r="CP117" s="302">
        <v>0</v>
      </c>
      <c r="CQ117" s="302">
        <v>0</v>
      </c>
      <c r="CR117" s="302">
        <v>0</v>
      </c>
      <c r="CS117" s="302">
        <v>0</v>
      </c>
      <c r="CT117" s="302">
        <v>0</v>
      </c>
      <c r="CU117" s="302">
        <v>0</v>
      </c>
      <c r="CV117" s="302">
        <v>0</v>
      </c>
      <c r="CW117" s="302">
        <v>0</v>
      </c>
      <c r="CX117" s="302">
        <v>0</v>
      </c>
      <c r="CY117" s="302">
        <v>0</v>
      </c>
      <c r="CZ117" s="302">
        <v>0</v>
      </c>
      <c r="DA117" s="302">
        <v>0</v>
      </c>
      <c r="DB117" s="302">
        <v>0</v>
      </c>
      <c r="DC117" s="302">
        <v>0</v>
      </c>
      <c r="DD117" s="302">
        <v>0</v>
      </c>
      <c r="DE117" s="302">
        <v>0</v>
      </c>
      <c r="DF117" s="302">
        <v>0</v>
      </c>
      <c r="DG117" s="302">
        <v>0</v>
      </c>
      <c r="DH117" s="302">
        <v>0</v>
      </c>
      <c r="DI117" s="302">
        <v>0</v>
      </c>
    </row>
    <row r="118" spans="30:113">
      <c r="AD118" s="304" t="s">
        <v>761</v>
      </c>
      <c r="AE118" s="305">
        <v>0</v>
      </c>
      <c r="AF118" s="305">
        <v>0</v>
      </c>
      <c r="AG118" s="305">
        <v>0</v>
      </c>
      <c r="AH118" s="305">
        <v>0</v>
      </c>
      <c r="AI118" s="305">
        <v>0</v>
      </c>
      <c r="AJ118" s="305">
        <v>0</v>
      </c>
      <c r="AK118" s="305">
        <v>0</v>
      </c>
      <c r="AL118" s="305">
        <v>0</v>
      </c>
      <c r="AM118" s="305">
        <v>0</v>
      </c>
      <c r="AN118" s="305">
        <v>0</v>
      </c>
      <c r="AO118" s="305">
        <v>0</v>
      </c>
      <c r="AP118" s="305">
        <v>0</v>
      </c>
      <c r="AQ118" s="305">
        <v>0</v>
      </c>
      <c r="AR118" s="305">
        <v>0</v>
      </c>
      <c r="AS118" s="305">
        <v>0</v>
      </c>
      <c r="AT118" s="305">
        <v>0</v>
      </c>
      <c r="AU118" s="305">
        <v>0</v>
      </c>
      <c r="AV118" s="305">
        <v>0</v>
      </c>
      <c r="AW118" s="305">
        <v>0</v>
      </c>
      <c r="AX118" s="305">
        <v>0</v>
      </c>
      <c r="AY118" s="305">
        <v>0</v>
      </c>
      <c r="AZ118" s="305">
        <v>0</v>
      </c>
      <c r="BA118" s="305">
        <v>0</v>
      </c>
      <c r="BB118" s="305">
        <v>0</v>
      </c>
      <c r="BC118" s="305">
        <v>0</v>
      </c>
      <c r="BD118" s="305">
        <v>0</v>
      </c>
      <c r="BE118" s="305">
        <v>0</v>
      </c>
      <c r="BF118" s="305">
        <v>0</v>
      </c>
      <c r="BG118" s="305">
        <v>0</v>
      </c>
      <c r="BH118" s="305">
        <v>0</v>
      </c>
      <c r="BI118" s="305">
        <v>0</v>
      </c>
      <c r="BJ118" s="305">
        <v>0</v>
      </c>
      <c r="BK118" s="305">
        <v>0</v>
      </c>
      <c r="BL118" s="305">
        <v>0</v>
      </c>
      <c r="BM118" s="305">
        <v>0</v>
      </c>
      <c r="BN118" s="305">
        <v>0</v>
      </c>
      <c r="BO118" s="305">
        <v>0</v>
      </c>
      <c r="BP118" s="305">
        <v>0</v>
      </c>
      <c r="BQ118" s="305">
        <v>0</v>
      </c>
      <c r="BR118" s="305">
        <v>0</v>
      </c>
      <c r="BU118" s="304" t="s">
        <v>761</v>
      </c>
      <c r="BV118" s="302">
        <v>0</v>
      </c>
      <c r="BW118" s="302">
        <v>0</v>
      </c>
      <c r="BX118" s="302">
        <v>0</v>
      </c>
      <c r="BY118" s="302">
        <v>0</v>
      </c>
      <c r="BZ118" s="302">
        <v>0</v>
      </c>
      <c r="CA118" s="302">
        <v>0</v>
      </c>
      <c r="CB118" s="302">
        <v>0</v>
      </c>
      <c r="CC118" s="302">
        <v>0</v>
      </c>
      <c r="CD118" s="302">
        <v>0</v>
      </c>
      <c r="CE118" s="302">
        <v>0</v>
      </c>
      <c r="CF118" s="302">
        <v>0</v>
      </c>
      <c r="CG118" s="302">
        <v>0</v>
      </c>
      <c r="CH118" s="302">
        <v>0</v>
      </c>
      <c r="CI118" s="302">
        <v>0</v>
      </c>
      <c r="CJ118" s="302">
        <v>0</v>
      </c>
      <c r="CK118" s="302">
        <v>0</v>
      </c>
      <c r="CL118" s="302">
        <v>0</v>
      </c>
      <c r="CM118" s="302">
        <v>0</v>
      </c>
      <c r="CN118" s="302">
        <v>0</v>
      </c>
      <c r="CO118" s="302">
        <v>0</v>
      </c>
      <c r="CP118" s="302">
        <v>0</v>
      </c>
      <c r="CQ118" s="302">
        <v>0</v>
      </c>
      <c r="CR118" s="302">
        <v>0</v>
      </c>
      <c r="CS118" s="302">
        <v>0</v>
      </c>
      <c r="CT118" s="302">
        <v>0</v>
      </c>
      <c r="CU118" s="302">
        <v>0</v>
      </c>
      <c r="CV118" s="302">
        <v>0</v>
      </c>
      <c r="CW118" s="302">
        <v>0</v>
      </c>
      <c r="CX118" s="302">
        <v>0</v>
      </c>
      <c r="CY118" s="302">
        <v>0</v>
      </c>
      <c r="CZ118" s="302">
        <v>0</v>
      </c>
      <c r="DA118" s="302">
        <v>0</v>
      </c>
      <c r="DB118" s="302">
        <v>0</v>
      </c>
      <c r="DC118" s="302">
        <v>0</v>
      </c>
      <c r="DD118" s="302">
        <v>0</v>
      </c>
      <c r="DE118" s="302">
        <v>0</v>
      </c>
      <c r="DF118" s="302">
        <v>0</v>
      </c>
      <c r="DG118" s="302">
        <v>0</v>
      </c>
      <c r="DH118" s="302">
        <v>0</v>
      </c>
      <c r="DI118" s="302">
        <v>0</v>
      </c>
    </row>
    <row r="119" spans="30:113">
      <c r="AD119" s="304" t="s">
        <v>719</v>
      </c>
      <c r="AE119" s="305">
        <v>80113.817233021196</v>
      </c>
      <c r="AF119" s="305">
        <v>0</v>
      </c>
      <c r="AG119" s="305">
        <v>0</v>
      </c>
      <c r="AH119" s="305">
        <v>3204496.1178020099</v>
      </c>
      <c r="AI119" s="305">
        <v>0</v>
      </c>
      <c r="AJ119" s="305">
        <v>0</v>
      </c>
      <c r="AK119" s="305">
        <v>0</v>
      </c>
      <c r="AL119" s="305">
        <v>0</v>
      </c>
      <c r="AM119" s="305">
        <v>0</v>
      </c>
      <c r="AN119" s="305">
        <v>0</v>
      </c>
      <c r="AO119" s="305">
        <v>0</v>
      </c>
      <c r="AP119" s="305">
        <v>0</v>
      </c>
      <c r="AQ119" s="305">
        <v>0</v>
      </c>
      <c r="AR119" s="305">
        <v>0</v>
      </c>
      <c r="AS119" s="305">
        <v>0</v>
      </c>
      <c r="AT119" s="305">
        <v>0</v>
      </c>
      <c r="AU119" s="305">
        <v>0</v>
      </c>
      <c r="AV119" s="305">
        <v>0</v>
      </c>
      <c r="AW119" s="305">
        <v>0</v>
      </c>
      <c r="AX119" s="305">
        <v>0</v>
      </c>
      <c r="AY119" s="305">
        <v>0</v>
      </c>
      <c r="AZ119" s="305">
        <v>0</v>
      </c>
      <c r="BA119" s="305">
        <v>0</v>
      </c>
      <c r="BB119" s="305">
        <v>0</v>
      </c>
      <c r="BC119" s="305">
        <v>0</v>
      </c>
      <c r="BD119" s="305">
        <v>0</v>
      </c>
      <c r="BE119" s="305">
        <v>0</v>
      </c>
      <c r="BF119" s="305">
        <v>0</v>
      </c>
      <c r="BG119" s="305">
        <v>0</v>
      </c>
      <c r="BH119" s="305">
        <v>0</v>
      </c>
      <c r="BI119" s="305">
        <v>0</v>
      </c>
      <c r="BJ119" s="305">
        <v>0</v>
      </c>
      <c r="BK119" s="305">
        <v>0</v>
      </c>
      <c r="BL119" s="305">
        <v>0</v>
      </c>
      <c r="BM119" s="305">
        <v>0</v>
      </c>
      <c r="BN119" s="305">
        <v>0</v>
      </c>
      <c r="BO119" s="305">
        <v>0</v>
      </c>
      <c r="BP119" s="305">
        <v>0</v>
      </c>
      <c r="BQ119" s="305">
        <v>0</v>
      </c>
      <c r="BR119" s="305">
        <v>0</v>
      </c>
      <c r="BU119" s="304" t="s">
        <v>719</v>
      </c>
      <c r="BV119" s="302">
        <v>0</v>
      </c>
      <c r="BW119" s="302">
        <v>0</v>
      </c>
      <c r="BX119" s="302">
        <v>0</v>
      </c>
      <c r="BY119" s="302">
        <v>0</v>
      </c>
      <c r="BZ119" s="302">
        <v>0</v>
      </c>
      <c r="CA119" s="302">
        <v>0</v>
      </c>
      <c r="CB119" s="302">
        <v>0</v>
      </c>
      <c r="CC119" s="302">
        <v>0</v>
      </c>
      <c r="CD119" s="302">
        <v>0</v>
      </c>
      <c r="CE119" s="302">
        <v>0</v>
      </c>
      <c r="CF119" s="302">
        <v>0</v>
      </c>
      <c r="CG119" s="302">
        <v>0</v>
      </c>
      <c r="CH119" s="302">
        <v>0</v>
      </c>
      <c r="CI119" s="302">
        <v>0</v>
      </c>
      <c r="CJ119" s="302">
        <v>0</v>
      </c>
      <c r="CK119" s="302">
        <v>0</v>
      </c>
      <c r="CL119" s="302">
        <v>0</v>
      </c>
      <c r="CM119" s="302">
        <v>0</v>
      </c>
      <c r="CN119" s="302">
        <v>0</v>
      </c>
      <c r="CO119" s="302">
        <v>0</v>
      </c>
      <c r="CP119" s="302">
        <v>0</v>
      </c>
      <c r="CQ119" s="302">
        <v>0</v>
      </c>
      <c r="CR119" s="302">
        <v>0</v>
      </c>
      <c r="CS119" s="302">
        <v>0</v>
      </c>
      <c r="CT119" s="302">
        <v>0</v>
      </c>
      <c r="CU119" s="302">
        <v>0</v>
      </c>
      <c r="CV119" s="302">
        <v>0</v>
      </c>
      <c r="CW119" s="302">
        <v>0</v>
      </c>
      <c r="CX119" s="302">
        <v>0</v>
      </c>
      <c r="CY119" s="302">
        <v>0</v>
      </c>
      <c r="CZ119" s="302">
        <v>0</v>
      </c>
      <c r="DA119" s="302">
        <v>0</v>
      </c>
      <c r="DB119" s="302">
        <v>0</v>
      </c>
      <c r="DC119" s="302">
        <v>0</v>
      </c>
      <c r="DD119" s="302">
        <v>0</v>
      </c>
      <c r="DE119" s="302">
        <v>0</v>
      </c>
      <c r="DF119" s="302">
        <v>0</v>
      </c>
      <c r="DG119" s="302">
        <v>0</v>
      </c>
      <c r="DH119" s="302">
        <v>0</v>
      </c>
      <c r="DI119" s="302">
        <v>0</v>
      </c>
    </row>
    <row r="120" spans="30:113">
      <c r="AD120" s="304" t="s">
        <v>720</v>
      </c>
      <c r="AE120" s="305">
        <v>0</v>
      </c>
      <c r="AF120" s="305">
        <v>3090735.3644190198</v>
      </c>
      <c r="AG120" s="305">
        <v>0</v>
      </c>
      <c r="AH120" s="305">
        <v>0</v>
      </c>
      <c r="AI120" s="305">
        <v>0</v>
      </c>
      <c r="AJ120" s="305">
        <v>0</v>
      </c>
      <c r="AK120" s="305">
        <v>0</v>
      </c>
      <c r="AL120" s="305">
        <v>0</v>
      </c>
      <c r="AM120" s="305">
        <v>0</v>
      </c>
      <c r="AN120" s="305">
        <v>0</v>
      </c>
      <c r="AO120" s="305">
        <v>0</v>
      </c>
      <c r="AP120" s="305">
        <v>0</v>
      </c>
      <c r="AQ120" s="305">
        <v>0</v>
      </c>
      <c r="AR120" s="305">
        <v>0</v>
      </c>
      <c r="AS120" s="305">
        <v>0</v>
      </c>
      <c r="AT120" s="305">
        <v>0</v>
      </c>
      <c r="AU120" s="305">
        <v>0</v>
      </c>
      <c r="AV120" s="305">
        <v>0</v>
      </c>
      <c r="AW120" s="305">
        <v>0</v>
      </c>
      <c r="AX120" s="305">
        <v>0</v>
      </c>
      <c r="AY120" s="305">
        <v>0</v>
      </c>
      <c r="AZ120" s="305">
        <v>0</v>
      </c>
      <c r="BA120" s="305">
        <v>0</v>
      </c>
      <c r="BB120" s="305">
        <v>0</v>
      </c>
      <c r="BC120" s="305">
        <v>0</v>
      </c>
      <c r="BD120" s="305">
        <v>0</v>
      </c>
      <c r="BE120" s="305">
        <v>0</v>
      </c>
      <c r="BF120" s="305">
        <v>0</v>
      </c>
      <c r="BG120" s="305">
        <v>0</v>
      </c>
      <c r="BH120" s="305">
        <v>0</v>
      </c>
      <c r="BI120" s="305">
        <v>0</v>
      </c>
      <c r="BJ120" s="305">
        <v>0</v>
      </c>
      <c r="BK120" s="305">
        <v>0</v>
      </c>
      <c r="BL120" s="305">
        <v>0</v>
      </c>
      <c r="BM120" s="305">
        <v>0</v>
      </c>
      <c r="BN120" s="305">
        <v>0</v>
      </c>
      <c r="BO120" s="305">
        <v>0</v>
      </c>
      <c r="BP120" s="305">
        <v>0</v>
      </c>
      <c r="BQ120" s="305">
        <v>0</v>
      </c>
      <c r="BR120" s="305">
        <v>0</v>
      </c>
      <c r="BU120" s="304" t="s">
        <v>720</v>
      </c>
      <c r="BV120" s="302">
        <v>0</v>
      </c>
      <c r="BW120" s="302">
        <v>0</v>
      </c>
      <c r="BX120" s="302">
        <v>0</v>
      </c>
      <c r="BY120" s="302">
        <v>0</v>
      </c>
      <c r="BZ120" s="302">
        <v>0</v>
      </c>
      <c r="CA120" s="302">
        <v>0</v>
      </c>
      <c r="CB120" s="302">
        <v>0</v>
      </c>
      <c r="CC120" s="302">
        <v>0</v>
      </c>
      <c r="CD120" s="302">
        <v>0</v>
      </c>
      <c r="CE120" s="302">
        <v>0</v>
      </c>
      <c r="CF120" s="302">
        <v>0</v>
      </c>
      <c r="CG120" s="302">
        <v>0</v>
      </c>
      <c r="CH120" s="302">
        <v>0</v>
      </c>
      <c r="CI120" s="302">
        <v>0</v>
      </c>
      <c r="CJ120" s="302">
        <v>0</v>
      </c>
      <c r="CK120" s="302">
        <v>0</v>
      </c>
      <c r="CL120" s="302">
        <v>0</v>
      </c>
      <c r="CM120" s="302">
        <v>0</v>
      </c>
      <c r="CN120" s="302">
        <v>0</v>
      </c>
      <c r="CO120" s="302">
        <v>0</v>
      </c>
      <c r="CP120" s="302">
        <v>0</v>
      </c>
      <c r="CQ120" s="302">
        <v>0</v>
      </c>
      <c r="CR120" s="302">
        <v>0</v>
      </c>
      <c r="CS120" s="302">
        <v>0</v>
      </c>
      <c r="CT120" s="302">
        <v>0</v>
      </c>
      <c r="CU120" s="302">
        <v>0</v>
      </c>
      <c r="CV120" s="302">
        <v>0</v>
      </c>
      <c r="CW120" s="302">
        <v>0</v>
      </c>
      <c r="CX120" s="302">
        <v>0</v>
      </c>
      <c r="CY120" s="302">
        <v>0</v>
      </c>
      <c r="CZ120" s="302">
        <v>0</v>
      </c>
      <c r="DA120" s="302">
        <v>0</v>
      </c>
      <c r="DB120" s="302">
        <v>0</v>
      </c>
      <c r="DC120" s="302">
        <v>0</v>
      </c>
      <c r="DD120" s="302">
        <v>0</v>
      </c>
      <c r="DE120" s="302">
        <v>0</v>
      </c>
      <c r="DF120" s="302">
        <v>0</v>
      </c>
      <c r="DG120" s="302">
        <v>0</v>
      </c>
      <c r="DH120" s="302">
        <v>0</v>
      </c>
      <c r="DI120" s="302">
        <v>0</v>
      </c>
    </row>
    <row r="121" spans="30:113">
      <c r="AD121" s="304" t="s">
        <v>721</v>
      </c>
      <c r="AE121" s="305">
        <v>0</v>
      </c>
      <c r="AF121" s="305">
        <v>0</v>
      </c>
      <c r="AG121" s="305">
        <v>0</v>
      </c>
      <c r="AH121" s="305">
        <v>0</v>
      </c>
      <c r="AI121" s="305">
        <v>0</v>
      </c>
      <c r="AJ121" s="305">
        <v>0</v>
      </c>
      <c r="AK121" s="305">
        <v>0</v>
      </c>
      <c r="AL121" s="305">
        <v>0</v>
      </c>
      <c r="AM121" s="305">
        <v>0</v>
      </c>
      <c r="AN121" s="305">
        <v>0</v>
      </c>
      <c r="AO121" s="305">
        <v>0</v>
      </c>
      <c r="AP121" s="305">
        <v>0</v>
      </c>
      <c r="AQ121" s="305">
        <v>0</v>
      </c>
      <c r="AR121" s="305">
        <v>21683.690906267198</v>
      </c>
      <c r="AS121" s="305">
        <v>0</v>
      </c>
      <c r="AT121" s="305">
        <v>0</v>
      </c>
      <c r="AU121" s="305">
        <v>0</v>
      </c>
      <c r="AV121" s="305">
        <v>0</v>
      </c>
      <c r="AW121" s="305">
        <v>0</v>
      </c>
      <c r="AX121" s="305">
        <v>0</v>
      </c>
      <c r="AY121" s="305">
        <v>0</v>
      </c>
      <c r="AZ121" s="305">
        <v>0</v>
      </c>
      <c r="BA121" s="305">
        <v>0</v>
      </c>
      <c r="BB121" s="305">
        <v>0</v>
      </c>
      <c r="BC121" s="305">
        <v>0</v>
      </c>
      <c r="BD121" s="305">
        <v>0</v>
      </c>
      <c r="BE121" s="305">
        <v>0</v>
      </c>
      <c r="BF121" s="305">
        <v>0</v>
      </c>
      <c r="BG121" s="305">
        <v>0</v>
      </c>
      <c r="BH121" s="305">
        <v>0</v>
      </c>
      <c r="BI121" s="305">
        <v>0</v>
      </c>
      <c r="BJ121" s="305">
        <v>0</v>
      </c>
      <c r="BK121" s="305">
        <v>0</v>
      </c>
      <c r="BL121" s="305">
        <v>0</v>
      </c>
      <c r="BM121" s="305">
        <v>0</v>
      </c>
      <c r="BN121" s="305">
        <v>0</v>
      </c>
      <c r="BO121" s="305">
        <v>0</v>
      </c>
      <c r="BP121" s="305">
        <v>0</v>
      </c>
      <c r="BQ121" s="305">
        <v>0</v>
      </c>
      <c r="BR121" s="305">
        <v>0</v>
      </c>
      <c r="BU121" s="304" t="s">
        <v>721</v>
      </c>
      <c r="BV121" s="302">
        <v>0</v>
      </c>
      <c r="BW121" s="302">
        <v>0</v>
      </c>
      <c r="BX121" s="302">
        <v>0</v>
      </c>
      <c r="BY121" s="302">
        <v>0</v>
      </c>
      <c r="BZ121" s="302">
        <v>0</v>
      </c>
      <c r="CA121" s="302">
        <v>0</v>
      </c>
      <c r="CB121" s="302">
        <v>0</v>
      </c>
      <c r="CC121" s="302">
        <v>0</v>
      </c>
      <c r="CD121" s="302">
        <v>0</v>
      </c>
      <c r="CE121" s="302">
        <v>0</v>
      </c>
      <c r="CF121" s="302">
        <v>0</v>
      </c>
      <c r="CG121" s="302">
        <v>0</v>
      </c>
      <c r="CH121" s="302">
        <v>0</v>
      </c>
      <c r="CI121" s="302">
        <v>0</v>
      </c>
      <c r="CJ121" s="302">
        <v>0</v>
      </c>
      <c r="CK121" s="302">
        <v>0</v>
      </c>
      <c r="CL121" s="302">
        <v>0</v>
      </c>
      <c r="CM121" s="302">
        <v>0</v>
      </c>
      <c r="CN121" s="302">
        <v>0</v>
      </c>
      <c r="CO121" s="302">
        <v>0</v>
      </c>
      <c r="CP121" s="302">
        <v>0</v>
      </c>
      <c r="CQ121" s="302">
        <v>0</v>
      </c>
      <c r="CR121" s="302">
        <v>0</v>
      </c>
      <c r="CS121" s="302">
        <v>0</v>
      </c>
      <c r="CT121" s="302">
        <v>0</v>
      </c>
      <c r="CU121" s="302">
        <v>0</v>
      </c>
      <c r="CV121" s="302">
        <v>0</v>
      </c>
      <c r="CW121" s="302">
        <v>0</v>
      </c>
      <c r="CX121" s="302">
        <v>0</v>
      </c>
      <c r="CY121" s="302">
        <v>0</v>
      </c>
      <c r="CZ121" s="302">
        <v>0</v>
      </c>
      <c r="DA121" s="302">
        <v>0</v>
      </c>
      <c r="DB121" s="302">
        <v>0</v>
      </c>
      <c r="DC121" s="302">
        <v>0</v>
      </c>
      <c r="DD121" s="302">
        <v>0</v>
      </c>
      <c r="DE121" s="302">
        <v>0</v>
      </c>
      <c r="DF121" s="302">
        <v>0</v>
      </c>
      <c r="DG121" s="302">
        <v>0</v>
      </c>
      <c r="DH121" s="302">
        <v>0</v>
      </c>
      <c r="DI121" s="302">
        <v>0</v>
      </c>
    </row>
    <row r="122" spans="30:113">
      <c r="AD122" s="304" t="s">
        <v>722</v>
      </c>
      <c r="AE122" s="305">
        <v>0</v>
      </c>
      <c r="AF122" s="305">
        <v>0</v>
      </c>
      <c r="AG122" s="305">
        <v>0</v>
      </c>
      <c r="AH122" s="305">
        <v>5048.7551388456604</v>
      </c>
      <c r="AI122" s="305">
        <v>0</v>
      </c>
      <c r="AJ122" s="305">
        <v>0</v>
      </c>
      <c r="AK122" s="305">
        <v>0</v>
      </c>
      <c r="AL122" s="305">
        <v>0</v>
      </c>
      <c r="AM122" s="305">
        <v>0</v>
      </c>
      <c r="AN122" s="305">
        <v>0</v>
      </c>
      <c r="AO122" s="305">
        <v>0</v>
      </c>
      <c r="AP122" s="305">
        <v>0</v>
      </c>
      <c r="AQ122" s="305">
        <v>0</v>
      </c>
      <c r="AR122" s="305">
        <v>0</v>
      </c>
      <c r="AS122" s="305">
        <v>0</v>
      </c>
      <c r="AT122" s="305">
        <v>0</v>
      </c>
      <c r="AU122" s="305">
        <v>0</v>
      </c>
      <c r="AV122" s="305">
        <v>0</v>
      </c>
      <c r="AW122" s="305">
        <v>0</v>
      </c>
      <c r="AX122" s="305">
        <v>0</v>
      </c>
      <c r="AY122" s="305">
        <v>0</v>
      </c>
      <c r="AZ122" s="305">
        <v>0</v>
      </c>
      <c r="BA122" s="305">
        <v>0</v>
      </c>
      <c r="BB122" s="305">
        <v>0</v>
      </c>
      <c r="BC122" s="305">
        <v>0</v>
      </c>
      <c r="BD122" s="305">
        <v>0</v>
      </c>
      <c r="BE122" s="305">
        <v>0</v>
      </c>
      <c r="BF122" s="305">
        <v>0</v>
      </c>
      <c r="BG122" s="305">
        <v>0</v>
      </c>
      <c r="BH122" s="305">
        <v>0</v>
      </c>
      <c r="BI122" s="305">
        <v>0</v>
      </c>
      <c r="BJ122" s="305">
        <v>0</v>
      </c>
      <c r="BK122" s="305">
        <v>0</v>
      </c>
      <c r="BL122" s="305">
        <v>0</v>
      </c>
      <c r="BM122" s="305">
        <v>0</v>
      </c>
      <c r="BN122" s="305">
        <v>0</v>
      </c>
      <c r="BO122" s="305">
        <v>0</v>
      </c>
      <c r="BP122" s="305">
        <v>0</v>
      </c>
      <c r="BQ122" s="305">
        <v>0</v>
      </c>
      <c r="BR122" s="305">
        <v>0</v>
      </c>
      <c r="BU122" s="304" t="s">
        <v>722</v>
      </c>
      <c r="BV122" s="302">
        <v>0</v>
      </c>
      <c r="BW122" s="302">
        <v>0</v>
      </c>
      <c r="BX122" s="302">
        <v>0</v>
      </c>
      <c r="BY122" s="302">
        <v>0</v>
      </c>
      <c r="BZ122" s="302">
        <v>0</v>
      </c>
      <c r="CA122" s="302">
        <v>0</v>
      </c>
      <c r="CB122" s="302">
        <v>0</v>
      </c>
      <c r="CC122" s="302">
        <v>0</v>
      </c>
      <c r="CD122" s="302">
        <v>0</v>
      </c>
      <c r="CE122" s="302">
        <v>0</v>
      </c>
      <c r="CF122" s="302">
        <v>0</v>
      </c>
      <c r="CG122" s="302">
        <v>0</v>
      </c>
      <c r="CH122" s="302">
        <v>0</v>
      </c>
      <c r="CI122" s="302">
        <v>0</v>
      </c>
      <c r="CJ122" s="302">
        <v>0</v>
      </c>
      <c r="CK122" s="302">
        <v>0</v>
      </c>
      <c r="CL122" s="302">
        <v>0</v>
      </c>
      <c r="CM122" s="302">
        <v>0</v>
      </c>
      <c r="CN122" s="302">
        <v>0</v>
      </c>
      <c r="CO122" s="302">
        <v>0</v>
      </c>
      <c r="CP122" s="302">
        <v>0</v>
      </c>
      <c r="CQ122" s="302">
        <v>0</v>
      </c>
      <c r="CR122" s="302">
        <v>0</v>
      </c>
      <c r="CS122" s="302">
        <v>0</v>
      </c>
      <c r="CT122" s="302">
        <v>0</v>
      </c>
      <c r="CU122" s="302">
        <v>0</v>
      </c>
      <c r="CV122" s="302">
        <v>0</v>
      </c>
      <c r="CW122" s="302">
        <v>0</v>
      </c>
      <c r="CX122" s="302">
        <v>0</v>
      </c>
      <c r="CY122" s="302">
        <v>0</v>
      </c>
      <c r="CZ122" s="302">
        <v>0</v>
      </c>
      <c r="DA122" s="302">
        <v>0</v>
      </c>
      <c r="DB122" s="302">
        <v>0</v>
      </c>
      <c r="DC122" s="302">
        <v>0</v>
      </c>
      <c r="DD122" s="302">
        <v>0</v>
      </c>
      <c r="DE122" s="302">
        <v>0</v>
      </c>
      <c r="DF122" s="302">
        <v>0</v>
      </c>
      <c r="DG122" s="302">
        <v>0</v>
      </c>
      <c r="DH122" s="302">
        <v>0</v>
      </c>
      <c r="DI122" s="302">
        <v>0</v>
      </c>
    </row>
    <row r="123" spans="30:113">
      <c r="AD123" s="304" t="s">
        <v>723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5023.7890204089899</v>
      </c>
      <c r="AL123" s="305">
        <v>0</v>
      </c>
      <c r="AM123" s="305">
        <v>0</v>
      </c>
      <c r="AN123" s="305">
        <v>0</v>
      </c>
      <c r="AO123" s="305">
        <v>0</v>
      </c>
      <c r="AP123" s="305">
        <v>0</v>
      </c>
      <c r="AQ123" s="305">
        <v>0</v>
      </c>
      <c r="AR123" s="305">
        <v>0</v>
      </c>
      <c r="AS123" s="305">
        <v>0</v>
      </c>
      <c r="AT123" s="305">
        <v>0</v>
      </c>
      <c r="AU123" s="305">
        <v>0</v>
      </c>
      <c r="AV123" s="305">
        <v>0</v>
      </c>
      <c r="AW123" s="305">
        <v>0</v>
      </c>
      <c r="AX123" s="305">
        <v>0</v>
      </c>
      <c r="AY123" s="305">
        <v>0</v>
      </c>
      <c r="AZ123" s="305">
        <v>0</v>
      </c>
      <c r="BA123" s="305">
        <v>0</v>
      </c>
      <c r="BB123" s="305">
        <v>0</v>
      </c>
      <c r="BC123" s="305">
        <v>0</v>
      </c>
      <c r="BD123" s="305">
        <v>0</v>
      </c>
      <c r="BE123" s="305">
        <v>0</v>
      </c>
      <c r="BF123" s="305">
        <v>0</v>
      </c>
      <c r="BG123" s="305">
        <v>0</v>
      </c>
      <c r="BH123" s="305">
        <v>0</v>
      </c>
      <c r="BI123" s="305">
        <v>0</v>
      </c>
      <c r="BJ123" s="305">
        <v>0</v>
      </c>
      <c r="BK123" s="305">
        <v>0</v>
      </c>
      <c r="BL123" s="305">
        <v>0</v>
      </c>
      <c r="BM123" s="305">
        <v>0</v>
      </c>
      <c r="BN123" s="305">
        <v>0</v>
      </c>
      <c r="BO123" s="305">
        <v>0</v>
      </c>
      <c r="BP123" s="305">
        <v>0</v>
      </c>
      <c r="BQ123" s="305">
        <v>0</v>
      </c>
      <c r="BR123" s="305">
        <v>0</v>
      </c>
      <c r="BU123" s="304" t="s">
        <v>723</v>
      </c>
      <c r="BV123" s="302">
        <v>0</v>
      </c>
      <c r="BW123" s="302">
        <v>0</v>
      </c>
      <c r="BX123" s="302">
        <v>0</v>
      </c>
      <c r="BY123" s="302">
        <v>0</v>
      </c>
      <c r="BZ123" s="302">
        <v>0</v>
      </c>
      <c r="CA123" s="302">
        <v>0</v>
      </c>
      <c r="CB123" s="302">
        <v>0</v>
      </c>
      <c r="CC123" s="302">
        <v>0</v>
      </c>
      <c r="CD123" s="302">
        <v>0</v>
      </c>
      <c r="CE123" s="302">
        <v>0</v>
      </c>
      <c r="CF123" s="302">
        <v>0</v>
      </c>
      <c r="CG123" s="302">
        <v>0</v>
      </c>
      <c r="CH123" s="302">
        <v>0</v>
      </c>
      <c r="CI123" s="302">
        <v>0</v>
      </c>
      <c r="CJ123" s="302">
        <v>0</v>
      </c>
      <c r="CK123" s="302">
        <v>0</v>
      </c>
      <c r="CL123" s="302">
        <v>0</v>
      </c>
      <c r="CM123" s="302">
        <v>0</v>
      </c>
      <c r="CN123" s="302">
        <v>0</v>
      </c>
      <c r="CO123" s="302">
        <v>0</v>
      </c>
      <c r="CP123" s="302">
        <v>0</v>
      </c>
      <c r="CQ123" s="302">
        <v>0</v>
      </c>
      <c r="CR123" s="302">
        <v>0</v>
      </c>
      <c r="CS123" s="302">
        <v>0</v>
      </c>
      <c r="CT123" s="302">
        <v>0</v>
      </c>
      <c r="CU123" s="302">
        <v>0</v>
      </c>
      <c r="CV123" s="302">
        <v>0</v>
      </c>
      <c r="CW123" s="302">
        <v>0</v>
      </c>
      <c r="CX123" s="302">
        <v>0</v>
      </c>
      <c r="CY123" s="302">
        <v>0</v>
      </c>
      <c r="CZ123" s="302">
        <v>0</v>
      </c>
      <c r="DA123" s="302">
        <v>0</v>
      </c>
      <c r="DB123" s="302">
        <v>0</v>
      </c>
      <c r="DC123" s="302">
        <v>0</v>
      </c>
      <c r="DD123" s="302">
        <v>0</v>
      </c>
      <c r="DE123" s="302">
        <v>0</v>
      </c>
      <c r="DF123" s="302">
        <v>0</v>
      </c>
      <c r="DG123" s="302">
        <v>0</v>
      </c>
      <c r="DH123" s="302">
        <v>0</v>
      </c>
      <c r="DI123" s="302">
        <v>0</v>
      </c>
    </row>
    <row r="124" spans="30:113">
      <c r="AD124" s="304" t="s">
        <v>724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  <c r="AL124" s="305">
        <v>0</v>
      </c>
      <c r="AM124" s="305">
        <v>0</v>
      </c>
      <c r="AN124" s="305">
        <v>0</v>
      </c>
      <c r="AO124" s="305">
        <v>0</v>
      </c>
      <c r="AP124" s="305">
        <v>0</v>
      </c>
      <c r="AQ124" s="305">
        <v>4306.0802326205903</v>
      </c>
      <c r="AR124" s="305">
        <v>0</v>
      </c>
      <c r="AS124" s="305">
        <v>0</v>
      </c>
      <c r="AT124" s="305">
        <v>0</v>
      </c>
      <c r="AU124" s="305">
        <v>0</v>
      </c>
      <c r="AV124" s="305">
        <v>0</v>
      </c>
      <c r="AW124" s="305">
        <v>0</v>
      </c>
      <c r="AX124" s="305">
        <v>0</v>
      </c>
      <c r="AY124" s="305">
        <v>0</v>
      </c>
      <c r="AZ124" s="305">
        <v>0</v>
      </c>
      <c r="BA124" s="305">
        <v>0</v>
      </c>
      <c r="BB124" s="305">
        <v>0</v>
      </c>
      <c r="BC124" s="305">
        <v>0</v>
      </c>
      <c r="BD124" s="305">
        <v>0</v>
      </c>
      <c r="BE124" s="305">
        <v>0</v>
      </c>
      <c r="BF124" s="305">
        <v>0</v>
      </c>
      <c r="BG124" s="305">
        <v>0</v>
      </c>
      <c r="BH124" s="305">
        <v>0</v>
      </c>
      <c r="BI124" s="305">
        <v>0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U124" s="304" t="s">
        <v>724</v>
      </c>
      <c r="BV124" s="302">
        <v>0</v>
      </c>
      <c r="BW124" s="302">
        <v>0</v>
      </c>
      <c r="BX124" s="302">
        <v>0</v>
      </c>
      <c r="BY124" s="302">
        <v>0</v>
      </c>
      <c r="BZ124" s="302">
        <v>0</v>
      </c>
      <c r="CA124" s="302">
        <v>0</v>
      </c>
      <c r="CB124" s="302">
        <v>0</v>
      </c>
      <c r="CC124" s="302">
        <v>0</v>
      </c>
      <c r="CD124" s="302">
        <v>0</v>
      </c>
      <c r="CE124" s="302">
        <v>0</v>
      </c>
      <c r="CF124" s="302">
        <v>0</v>
      </c>
      <c r="CG124" s="302">
        <v>0</v>
      </c>
      <c r="CH124" s="302">
        <v>0</v>
      </c>
      <c r="CI124" s="302">
        <v>0</v>
      </c>
      <c r="CJ124" s="302">
        <v>0</v>
      </c>
      <c r="CK124" s="302">
        <v>0</v>
      </c>
      <c r="CL124" s="302">
        <v>0</v>
      </c>
      <c r="CM124" s="302">
        <v>0</v>
      </c>
      <c r="CN124" s="302">
        <v>0</v>
      </c>
      <c r="CO124" s="302">
        <v>0</v>
      </c>
      <c r="CP124" s="302">
        <v>0</v>
      </c>
      <c r="CQ124" s="302">
        <v>0</v>
      </c>
      <c r="CR124" s="302">
        <v>0</v>
      </c>
      <c r="CS124" s="302">
        <v>0</v>
      </c>
      <c r="CT124" s="302">
        <v>0</v>
      </c>
      <c r="CU124" s="302">
        <v>0</v>
      </c>
      <c r="CV124" s="302">
        <v>0</v>
      </c>
      <c r="CW124" s="302">
        <v>0</v>
      </c>
      <c r="CX124" s="302">
        <v>0</v>
      </c>
      <c r="CY124" s="302">
        <v>0</v>
      </c>
      <c r="CZ124" s="302">
        <v>0</v>
      </c>
      <c r="DA124" s="302">
        <v>0</v>
      </c>
      <c r="DB124" s="302">
        <v>0</v>
      </c>
      <c r="DC124" s="302">
        <v>0</v>
      </c>
      <c r="DD124" s="302">
        <v>0</v>
      </c>
      <c r="DE124" s="302">
        <v>0</v>
      </c>
      <c r="DF124" s="302">
        <v>0</v>
      </c>
      <c r="DG124" s="302">
        <v>0</v>
      </c>
      <c r="DH124" s="302">
        <v>0</v>
      </c>
      <c r="DI124" s="302">
        <v>0</v>
      </c>
    </row>
    <row r="125" spans="30:113">
      <c r="AD125" s="304" t="s">
        <v>725</v>
      </c>
      <c r="AE125" s="305">
        <v>0</v>
      </c>
      <c r="AF125" s="305">
        <v>0</v>
      </c>
      <c r="AG125" s="305">
        <v>0</v>
      </c>
      <c r="AH125" s="305">
        <v>82.091627997489695</v>
      </c>
      <c r="AI125" s="305">
        <v>0</v>
      </c>
      <c r="AJ125" s="305">
        <v>0</v>
      </c>
      <c r="AK125" s="305">
        <v>0</v>
      </c>
      <c r="AL125" s="305">
        <v>0</v>
      </c>
      <c r="AM125" s="305">
        <v>0</v>
      </c>
      <c r="AN125" s="305">
        <v>0</v>
      </c>
      <c r="AO125" s="305">
        <v>0</v>
      </c>
      <c r="AP125" s="305">
        <v>0</v>
      </c>
      <c r="AQ125" s="305">
        <v>0</v>
      </c>
      <c r="AR125" s="305">
        <v>0</v>
      </c>
      <c r="AS125" s="305">
        <v>0</v>
      </c>
      <c r="AT125" s="305">
        <v>0</v>
      </c>
      <c r="AU125" s="305">
        <v>0</v>
      </c>
      <c r="AV125" s="305">
        <v>0</v>
      </c>
      <c r="AW125" s="305">
        <v>0</v>
      </c>
      <c r="AX125" s="305">
        <v>0</v>
      </c>
      <c r="AY125" s="305">
        <v>0</v>
      </c>
      <c r="AZ125" s="305">
        <v>0</v>
      </c>
      <c r="BA125" s="305">
        <v>0</v>
      </c>
      <c r="BB125" s="305">
        <v>0</v>
      </c>
      <c r="BC125" s="305">
        <v>0</v>
      </c>
      <c r="BD125" s="305">
        <v>0</v>
      </c>
      <c r="BE125" s="305">
        <v>0</v>
      </c>
      <c r="BF125" s="305">
        <v>0</v>
      </c>
      <c r="BG125" s="305">
        <v>0</v>
      </c>
      <c r="BH125" s="305">
        <v>0</v>
      </c>
      <c r="BI125" s="305">
        <v>0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0</v>
      </c>
      <c r="BP125" s="305">
        <v>0</v>
      </c>
      <c r="BQ125" s="305">
        <v>0</v>
      </c>
      <c r="BR125" s="305">
        <v>0</v>
      </c>
      <c r="BU125" s="304" t="s">
        <v>725</v>
      </c>
      <c r="BV125" s="302">
        <v>0</v>
      </c>
      <c r="BW125" s="302">
        <v>0</v>
      </c>
      <c r="BX125" s="302">
        <v>0</v>
      </c>
      <c r="BY125" s="302">
        <v>0</v>
      </c>
      <c r="BZ125" s="302">
        <v>0</v>
      </c>
      <c r="CA125" s="302">
        <v>0</v>
      </c>
      <c r="CB125" s="302">
        <v>0</v>
      </c>
      <c r="CC125" s="302">
        <v>0</v>
      </c>
      <c r="CD125" s="302">
        <v>0</v>
      </c>
      <c r="CE125" s="302">
        <v>0</v>
      </c>
      <c r="CF125" s="302">
        <v>0</v>
      </c>
      <c r="CG125" s="302">
        <v>0</v>
      </c>
      <c r="CH125" s="302">
        <v>0</v>
      </c>
      <c r="CI125" s="302">
        <v>0</v>
      </c>
      <c r="CJ125" s="302">
        <v>0</v>
      </c>
      <c r="CK125" s="302">
        <v>0</v>
      </c>
      <c r="CL125" s="302">
        <v>0</v>
      </c>
      <c r="CM125" s="302">
        <v>0</v>
      </c>
      <c r="CN125" s="302">
        <v>0</v>
      </c>
      <c r="CO125" s="302">
        <v>0</v>
      </c>
      <c r="CP125" s="302">
        <v>0</v>
      </c>
      <c r="CQ125" s="302">
        <v>0</v>
      </c>
      <c r="CR125" s="302">
        <v>0</v>
      </c>
      <c r="CS125" s="302">
        <v>0</v>
      </c>
      <c r="CT125" s="302">
        <v>0</v>
      </c>
      <c r="CU125" s="302">
        <v>0</v>
      </c>
      <c r="CV125" s="302">
        <v>0</v>
      </c>
      <c r="CW125" s="302">
        <v>0</v>
      </c>
      <c r="CX125" s="302">
        <v>0</v>
      </c>
      <c r="CY125" s="302">
        <v>0</v>
      </c>
      <c r="CZ125" s="302">
        <v>0</v>
      </c>
      <c r="DA125" s="302">
        <v>0</v>
      </c>
      <c r="DB125" s="302">
        <v>0</v>
      </c>
      <c r="DC125" s="302">
        <v>0</v>
      </c>
      <c r="DD125" s="302">
        <v>0</v>
      </c>
      <c r="DE125" s="302">
        <v>0</v>
      </c>
      <c r="DF125" s="302">
        <v>0</v>
      </c>
      <c r="DG125" s="302">
        <v>0</v>
      </c>
      <c r="DH125" s="302">
        <v>0</v>
      </c>
      <c r="DI125" s="302">
        <v>0</v>
      </c>
    </row>
    <row r="126" spans="30:113">
      <c r="AD126" s="304" t="s">
        <v>726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0</v>
      </c>
      <c r="AK126" s="305">
        <v>0</v>
      </c>
      <c r="AL126" s="305">
        <v>82.091627997489695</v>
      </c>
      <c r="AM126" s="305">
        <v>0</v>
      </c>
      <c r="AN126" s="305">
        <v>0</v>
      </c>
      <c r="AO126" s="305">
        <v>0</v>
      </c>
      <c r="AP126" s="305">
        <v>0</v>
      </c>
      <c r="AQ126" s="305">
        <v>0</v>
      </c>
      <c r="AR126" s="305">
        <v>0</v>
      </c>
      <c r="AS126" s="305">
        <v>0</v>
      </c>
      <c r="AT126" s="305">
        <v>0</v>
      </c>
      <c r="AU126" s="305">
        <v>0</v>
      </c>
      <c r="AV126" s="305">
        <v>0</v>
      </c>
      <c r="AW126" s="305">
        <v>0</v>
      </c>
      <c r="AX126" s="305">
        <v>0</v>
      </c>
      <c r="AY126" s="305">
        <v>0</v>
      </c>
      <c r="AZ126" s="305">
        <v>0</v>
      </c>
      <c r="BA126" s="305">
        <v>0</v>
      </c>
      <c r="BB126" s="305">
        <v>0</v>
      </c>
      <c r="BC126" s="305">
        <v>0</v>
      </c>
      <c r="BD126" s="305">
        <v>0</v>
      </c>
      <c r="BE126" s="305">
        <v>0</v>
      </c>
      <c r="BF126" s="305">
        <v>0</v>
      </c>
      <c r="BG126" s="305">
        <v>0</v>
      </c>
      <c r="BH126" s="305">
        <v>0</v>
      </c>
      <c r="BI126" s="305">
        <v>0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U126" s="304" t="s">
        <v>726</v>
      </c>
      <c r="BV126" s="302">
        <v>0</v>
      </c>
      <c r="BW126" s="302">
        <v>0</v>
      </c>
      <c r="BX126" s="302">
        <v>0</v>
      </c>
      <c r="BY126" s="302">
        <v>0</v>
      </c>
      <c r="BZ126" s="302">
        <v>0</v>
      </c>
      <c r="CA126" s="302">
        <v>0</v>
      </c>
      <c r="CB126" s="302">
        <v>0</v>
      </c>
      <c r="CC126" s="302">
        <v>0</v>
      </c>
      <c r="CD126" s="302">
        <v>0</v>
      </c>
      <c r="CE126" s="302">
        <v>0</v>
      </c>
      <c r="CF126" s="302">
        <v>0</v>
      </c>
      <c r="CG126" s="302">
        <v>0</v>
      </c>
      <c r="CH126" s="302">
        <v>0</v>
      </c>
      <c r="CI126" s="302">
        <v>0</v>
      </c>
      <c r="CJ126" s="302">
        <v>0</v>
      </c>
      <c r="CK126" s="302">
        <v>0</v>
      </c>
      <c r="CL126" s="302">
        <v>0</v>
      </c>
      <c r="CM126" s="302">
        <v>0</v>
      </c>
      <c r="CN126" s="302">
        <v>0</v>
      </c>
      <c r="CO126" s="302">
        <v>0</v>
      </c>
      <c r="CP126" s="302">
        <v>0</v>
      </c>
      <c r="CQ126" s="302">
        <v>0</v>
      </c>
      <c r="CR126" s="302">
        <v>0</v>
      </c>
      <c r="CS126" s="302">
        <v>0</v>
      </c>
      <c r="CT126" s="302">
        <v>0</v>
      </c>
      <c r="CU126" s="302">
        <v>0</v>
      </c>
      <c r="CV126" s="302">
        <v>0</v>
      </c>
      <c r="CW126" s="302">
        <v>0</v>
      </c>
      <c r="CX126" s="302">
        <v>0</v>
      </c>
      <c r="CY126" s="302">
        <v>0</v>
      </c>
      <c r="CZ126" s="302">
        <v>0</v>
      </c>
      <c r="DA126" s="302">
        <v>0</v>
      </c>
      <c r="DB126" s="302">
        <v>0</v>
      </c>
      <c r="DC126" s="302">
        <v>0</v>
      </c>
      <c r="DD126" s="302">
        <v>0</v>
      </c>
      <c r="DE126" s="302">
        <v>0</v>
      </c>
      <c r="DF126" s="302">
        <v>0</v>
      </c>
      <c r="DG126" s="302">
        <v>0</v>
      </c>
      <c r="DH126" s="302">
        <v>0</v>
      </c>
      <c r="DI126" s="302">
        <v>0</v>
      </c>
    </row>
    <row r="127" spans="30:113">
      <c r="AD127" s="304" t="s">
        <v>762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0</v>
      </c>
      <c r="AL127" s="305">
        <v>0</v>
      </c>
      <c r="AM127" s="305">
        <v>0</v>
      </c>
      <c r="AN127" s="305">
        <v>0</v>
      </c>
      <c r="AO127" s="305">
        <v>0</v>
      </c>
      <c r="AP127" s="305">
        <v>0</v>
      </c>
      <c r="AQ127" s="305">
        <v>0</v>
      </c>
      <c r="AR127" s="305">
        <v>0</v>
      </c>
      <c r="AS127" s="305">
        <v>0</v>
      </c>
      <c r="AT127" s="305">
        <v>0</v>
      </c>
      <c r="AU127" s="305">
        <v>0</v>
      </c>
      <c r="AV127" s="305">
        <v>0</v>
      </c>
      <c r="AW127" s="305">
        <v>0</v>
      </c>
      <c r="AX127" s="305">
        <v>0</v>
      </c>
      <c r="AY127" s="305">
        <v>0</v>
      </c>
      <c r="AZ127" s="305">
        <v>0</v>
      </c>
      <c r="BA127" s="305">
        <v>0</v>
      </c>
      <c r="BB127" s="305">
        <v>0</v>
      </c>
      <c r="BC127" s="305">
        <v>0</v>
      </c>
      <c r="BD127" s="305">
        <v>0</v>
      </c>
      <c r="BE127" s="305">
        <v>0</v>
      </c>
      <c r="BF127" s="305">
        <v>0</v>
      </c>
      <c r="BG127" s="305">
        <v>0</v>
      </c>
      <c r="BH127" s="305">
        <v>0</v>
      </c>
      <c r="BI127" s="305">
        <v>0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U127" s="304" t="s">
        <v>762</v>
      </c>
      <c r="BV127" s="302">
        <v>0</v>
      </c>
      <c r="BW127" s="302">
        <v>0</v>
      </c>
      <c r="BX127" s="302">
        <v>0</v>
      </c>
      <c r="BY127" s="302">
        <v>0</v>
      </c>
      <c r="BZ127" s="302">
        <v>0</v>
      </c>
      <c r="CA127" s="302">
        <v>0</v>
      </c>
      <c r="CB127" s="302">
        <v>0</v>
      </c>
      <c r="CC127" s="302">
        <v>0</v>
      </c>
      <c r="CD127" s="302">
        <v>0</v>
      </c>
      <c r="CE127" s="302">
        <v>0</v>
      </c>
      <c r="CF127" s="302">
        <v>0</v>
      </c>
      <c r="CG127" s="302">
        <v>0</v>
      </c>
      <c r="CH127" s="302">
        <v>0</v>
      </c>
      <c r="CI127" s="302">
        <v>0</v>
      </c>
      <c r="CJ127" s="302">
        <v>0</v>
      </c>
      <c r="CK127" s="302">
        <v>0</v>
      </c>
      <c r="CL127" s="302">
        <v>0</v>
      </c>
      <c r="CM127" s="302">
        <v>0</v>
      </c>
      <c r="CN127" s="302">
        <v>0</v>
      </c>
      <c r="CO127" s="302">
        <v>0</v>
      </c>
      <c r="CP127" s="302">
        <v>0</v>
      </c>
      <c r="CQ127" s="302">
        <v>0</v>
      </c>
      <c r="CR127" s="302">
        <v>0</v>
      </c>
      <c r="CS127" s="302">
        <v>0</v>
      </c>
      <c r="CT127" s="302">
        <v>0</v>
      </c>
      <c r="CU127" s="302">
        <v>0</v>
      </c>
      <c r="CV127" s="302">
        <v>0</v>
      </c>
      <c r="CW127" s="302">
        <v>0</v>
      </c>
      <c r="CX127" s="302">
        <v>0</v>
      </c>
      <c r="CY127" s="302">
        <v>0</v>
      </c>
      <c r="CZ127" s="302">
        <v>0</v>
      </c>
      <c r="DA127" s="302">
        <v>0</v>
      </c>
      <c r="DB127" s="302">
        <v>0</v>
      </c>
      <c r="DC127" s="302">
        <v>0</v>
      </c>
      <c r="DD127" s="302">
        <v>0</v>
      </c>
      <c r="DE127" s="302">
        <v>0</v>
      </c>
      <c r="DF127" s="302">
        <v>0</v>
      </c>
      <c r="DG127" s="302">
        <v>0</v>
      </c>
      <c r="DH127" s="302">
        <v>0</v>
      </c>
      <c r="DI127" s="302">
        <v>0</v>
      </c>
    </row>
    <row r="128" spans="30:113">
      <c r="AD128" s="304" t="s">
        <v>727</v>
      </c>
      <c r="AE128" s="305">
        <v>0</v>
      </c>
      <c r="AF128" s="305">
        <v>0</v>
      </c>
      <c r="AG128" s="305">
        <v>0</v>
      </c>
      <c r="AH128" s="305">
        <v>43.206119998678503</v>
      </c>
      <c r="AI128" s="305">
        <v>0</v>
      </c>
      <c r="AJ128" s="305">
        <v>0</v>
      </c>
      <c r="AK128" s="305">
        <v>0</v>
      </c>
      <c r="AL128" s="305">
        <v>0</v>
      </c>
      <c r="AM128" s="305">
        <v>0</v>
      </c>
      <c r="AN128" s="305">
        <v>0</v>
      </c>
      <c r="AO128" s="305">
        <v>0</v>
      </c>
      <c r="AP128" s="305">
        <v>0</v>
      </c>
      <c r="AQ128" s="305">
        <v>0</v>
      </c>
      <c r="AR128" s="305">
        <v>0</v>
      </c>
      <c r="AS128" s="305">
        <v>0</v>
      </c>
      <c r="AT128" s="305">
        <v>0</v>
      </c>
      <c r="AU128" s="305">
        <v>0</v>
      </c>
      <c r="AV128" s="305">
        <v>0</v>
      </c>
      <c r="AW128" s="305">
        <v>0</v>
      </c>
      <c r="AX128" s="305">
        <v>0</v>
      </c>
      <c r="AY128" s="305">
        <v>0</v>
      </c>
      <c r="AZ128" s="305">
        <v>0</v>
      </c>
      <c r="BA128" s="305">
        <v>0</v>
      </c>
      <c r="BB128" s="305">
        <v>0</v>
      </c>
      <c r="BC128" s="305">
        <v>0</v>
      </c>
      <c r="BD128" s="305">
        <v>0</v>
      </c>
      <c r="BE128" s="305">
        <v>0</v>
      </c>
      <c r="BF128" s="305">
        <v>0</v>
      </c>
      <c r="BG128" s="305">
        <v>0</v>
      </c>
      <c r="BH128" s="305">
        <v>0</v>
      </c>
      <c r="BI128" s="305">
        <v>0</v>
      </c>
      <c r="BJ128" s="305">
        <v>0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U128" s="304" t="s">
        <v>727</v>
      </c>
      <c r="BV128" s="302">
        <v>0</v>
      </c>
      <c r="BW128" s="302">
        <v>0</v>
      </c>
      <c r="BX128" s="302">
        <v>0</v>
      </c>
      <c r="BY128" s="302">
        <v>0</v>
      </c>
      <c r="BZ128" s="302">
        <v>0</v>
      </c>
      <c r="CA128" s="302">
        <v>0</v>
      </c>
      <c r="CB128" s="302">
        <v>0</v>
      </c>
      <c r="CC128" s="302">
        <v>0</v>
      </c>
      <c r="CD128" s="302">
        <v>0</v>
      </c>
      <c r="CE128" s="302">
        <v>0</v>
      </c>
      <c r="CF128" s="302">
        <v>0</v>
      </c>
      <c r="CG128" s="302">
        <v>0</v>
      </c>
      <c r="CH128" s="302">
        <v>0</v>
      </c>
      <c r="CI128" s="302">
        <v>0</v>
      </c>
      <c r="CJ128" s="302">
        <v>0</v>
      </c>
      <c r="CK128" s="302">
        <v>0</v>
      </c>
      <c r="CL128" s="302">
        <v>0</v>
      </c>
      <c r="CM128" s="302">
        <v>0</v>
      </c>
      <c r="CN128" s="302">
        <v>0</v>
      </c>
      <c r="CO128" s="302">
        <v>0</v>
      </c>
      <c r="CP128" s="302">
        <v>0</v>
      </c>
      <c r="CQ128" s="302">
        <v>0</v>
      </c>
      <c r="CR128" s="302">
        <v>0</v>
      </c>
      <c r="CS128" s="302">
        <v>0</v>
      </c>
      <c r="CT128" s="302">
        <v>0</v>
      </c>
      <c r="CU128" s="302">
        <v>0</v>
      </c>
      <c r="CV128" s="302">
        <v>0</v>
      </c>
      <c r="CW128" s="302">
        <v>0</v>
      </c>
      <c r="CX128" s="302">
        <v>0</v>
      </c>
      <c r="CY128" s="302">
        <v>0</v>
      </c>
      <c r="CZ128" s="302">
        <v>0</v>
      </c>
      <c r="DA128" s="302">
        <v>0</v>
      </c>
      <c r="DB128" s="302">
        <v>0</v>
      </c>
      <c r="DC128" s="302">
        <v>0</v>
      </c>
      <c r="DD128" s="302">
        <v>0</v>
      </c>
      <c r="DE128" s="302">
        <v>0</v>
      </c>
      <c r="DF128" s="302">
        <v>0</v>
      </c>
      <c r="DG128" s="302">
        <v>0</v>
      </c>
      <c r="DH128" s="302">
        <v>0</v>
      </c>
      <c r="DI128" s="302">
        <v>0</v>
      </c>
    </row>
    <row r="129" spans="1:113">
      <c r="AD129" s="304" t="s">
        <v>728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  <c r="AL129" s="305">
        <v>0</v>
      </c>
      <c r="AM129" s="305">
        <v>43.206119998678503</v>
      </c>
      <c r="AN129" s="305">
        <v>0</v>
      </c>
      <c r="AO129" s="305">
        <v>0</v>
      </c>
      <c r="AP129" s="305">
        <v>0</v>
      </c>
      <c r="AQ129" s="305">
        <v>0</v>
      </c>
      <c r="AR129" s="305">
        <v>0</v>
      </c>
      <c r="AS129" s="305">
        <v>0</v>
      </c>
      <c r="AT129" s="305">
        <v>0</v>
      </c>
      <c r="AU129" s="305">
        <v>0</v>
      </c>
      <c r="AV129" s="305">
        <v>0</v>
      </c>
      <c r="AW129" s="305">
        <v>0</v>
      </c>
      <c r="AX129" s="305">
        <v>0</v>
      </c>
      <c r="AY129" s="305">
        <v>0</v>
      </c>
      <c r="AZ129" s="305">
        <v>0</v>
      </c>
      <c r="BA129" s="305">
        <v>0</v>
      </c>
      <c r="BB129" s="305">
        <v>0</v>
      </c>
      <c r="BC129" s="305">
        <v>0</v>
      </c>
      <c r="BD129" s="305">
        <v>0</v>
      </c>
      <c r="BE129" s="305">
        <v>0</v>
      </c>
      <c r="BF129" s="305">
        <v>0</v>
      </c>
      <c r="BG129" s="305">
        <v>0</v>
      </c>
      <c r="BH129" s="305">
        <v>0</v>
      </c>
      <c r="BI129" s="305">
        <v>0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0</v>
      </c>
      <c r="BU129" s="304" t="s">
        <v>728</v>
      </c>
      <c r="BV129" s="302">
        <v>0</v>
      </c>
      <c r="BW129" s="302">
        <v>0</v>
      </c>
      <c r="BX129" s="302">
        <v>0</v>
      </c>
      <c r="BY129" s="302">
        <v>0</v>
      </c>
      <c r="BZ129" s="302">
        <v>0</v>
      </c>
      <c r="CA129" s="302">
        <v>0</v>
      </c>
      <c r="CB129" s="302">
        <v>0</v>
      </c>
      <c r="CC129" s="302">
        <v>0</v>
      </c>
      <c r="CD129" s="302">
        <v>0</v>
      </c>
      <c r="CE129" s="302">
        <v>0</v>
      </c>
      <c r="CF129" s="302">
        <v>0</v>
      </c>
      <c r="CG129" s="302">
        <v>0</v>
      </c>
      <c r="CH129" s="302">
        <v>0</v>
      </c>
      <c r="CI129" s="302">
        <v>0</v>
      </c>
      <c r="CJ129" s="302">
        <v>0</v>
      </c>
      <c r="CK129" s="302">
        <v>0</v>
      </c>
      <c r="CL129" s="302">
        <v>0</v>
      </c>
      <c r="CM129" s="302">
        <v>0</v>
      </c>
      <c r="CN129" s="302">
        <v>0</v>
      </c>
      <c r="CO129" s="302">
        <v>0</v>
      </c>
      <c r="CP129" s="302">
        <v>0</v>
      </c>
      <c r="CQ129" s="302">
        <v>0</v>
      </c>
      <c r="CR129" s="302">
        <v>0</v>
      </c>
      <c r="CS129" s="302">
        <v>0</v>
      </c>
      <c r="CT129" s="302">
        <v>0</v>
      </c>
      <c r="CU129" s="302">
        <v>0</v>
      </c>
      <c r="CV129" s="302">
        <v>0</v>
      </c>
      <c r="CW129" s="302">
        <v>0</v>
      </c>
      <c r="CX129" s="302">
        <v>0</v>
      </c>
      <c r="CY129" s="302">
        <v>0</v>
      </c>
      <c r="CZ129" s="302">
        <v>0</v>
      </c>
      <c r="DA129" s="302">
        <v>0</v>
      </c>
      <c r="DB129" s="302">
        <v>0</v>
      </c>
      <c r="DC129" s="302">
        <v>0</v>
      </c>
      <c r="DD129" s="302">
        <v>0</v>
      </c>
      <c r="DE129" s="302">
        <v>0</v>
      </c>
      <c r="DF129" s="302">
        <v>0</v>
      </c>
      <c r="DG129" s="302">
        <v>0</v>
      </c>
      <c r="DH129" s="302">
        <v>0</v>
      </c>
      <c r="DI129" s="302">
        <v>0</v>
      </c>
    </row>
    <row r="130" spans="1:113">
      <c r="AD130" s="304"/>
      <c r="AE130" s="358" t="s">
        <v>698</v>
      </c>
      <c r="AF130" s="371"/>
      <c r="AG130" s="371"/>
      <c r="AH130" s="371"/>
      <c r="AI130" s="371"/>
      <c r="AJ130" s="371"/>
      <c r="AK130" s="371"/>
      <c r="AL130" s="371"/>
      <c r="AM130" s="371"/>
      <c r="AN130" s="371"/>
      <c r="AO130" s="371"/>
      <c r="AP130" s="371"/>
      <c r="AQ130" s="371"/>
      <c r="AR130" s="371"/>
      <c r="AS130" s="371"/>
      <c r="AT130" s="371"/>
      <c r="AU130" s="371"/>
      <c r="AV130" s="371"/>
      <c r="AW130" s="371"/>
      <c r="AX130" s="371"/>
      <c r="AY130" s="371"/>
      <c r="AZ130" s="371"/>
      <c r="BA130" s="371"/>
      <c r="BB130" s="371"/>
      <c r="BC130" s="371"/>
      <c r="BD130" s="371"/>
      <c r="BE130" s="371"/>
      <c r="BF130" s="371"/>
      <c r="BG130" s="371"/>
      <c r="BH130" s="371"/>
      <c r="BI130" s="371"/>
      <c r="BJ130" s="371"/>
      <c r="BK130" s="371"/>
      <c r="BL130" s="371"/>
      <c r="BM130" s="371"/>
      <c r="BN130" s="371"/>
      <c r="BO130" s="371"/>
      <c r="BP130" s="371"/>
      <c r="BQ130" s="371"/>
      <c r="BR130" s="371"/>
      <c r="BU130" s="304"/>
      <c r="BV130" s="358" t="s">
        <v>702</v>
      </c>
      <c r="BW130" s="371"/>
      <c r="BX130" s="371"/>
      <c r="BY130" s="371"/>
      <c r="BZ130" s="371"/>
      <c r="CA130" s="371"/>
      <c r="CB130" s="371"/>
      <c r="CC130" s="371"/>
      <c r="CD130" s="371"/>
      <c r="CE130" s="371"/>
      <c r="CF130" s="371"/>
      <c r="CG130" s="371"/>
      <c r="CH130" s="371"/>
      <c r="CI130" s="371"/>
      <c r="CJ130" s="371"/>
      <c r="CK130" s="371"/>
      <c r="CL130" s="371"/>
      <c r="CM130" s="371"/>
      <c r="CN130" s="371"/>
      <c r="CO130" s="371"/>
      <c r="CP130" s="371"/>
      <c r="CQ130" s="371"/>
      <c r="CR130" s="371"/>
      <c r="CS130" s="371"/>
      <c r="CT130" s="371"/>
      <c r="CU130" s="371"/>
      <c r="CV130" s="371"/>
      <c r="CW130" s="371"/>
      <c r="CX130" s="371"/>
      <c r="CY130" s="371"/>
      <c r="CZ130" s="371"/>
      <c r="DA130" s="371"/>
      <c r="DB130" s="371"/>
      <c r="DC130" s="371"/>
      <c r="DD130" s="371"/>
      <c r="DE130" s="371"/>
      <c r="DF130" s="371"/>
      <c r="DG130" s="371"/>
      <c r="DH130" s="371"/>
      <c r="DI130" s="371"/>
    </row>
    <row r="133" spans="1:113" ht="179.4">
      <c r="A133" s="303" t="s">
        <v>641</v>
      </c>
      <c r="B133" s="234" t="s">
        <v>708</v>
      </c>
      <c r="C133" s="234" t="s">
        <v>709</v>
      </c>
      <c r="D133" s="234" t="s">
        <v>710</v>
      </c>
      <c r="E133" s="234" t="s">
        <v>711</v>
      </c>
      <c r="F133" s="234" t="s">
        <v>656</v>
      </c>
      <c r="G133" s="234" t="s">
        <v>657</v>
      </c>
      <c r="H133" s="234" t="s">
        <v>658</v>
      </c>
      <c r="I133" s="234" t="s">
        <v>712</v>
      </c>
      <c r="J133" s="234" t="s">
        <v>713</v>
      </c>
      <c r="K133" s="234" t="s">
        <v>670</v>
      </c>
      <c r="L133" s="234" t="s">
        <v>671</v>
      </c>
      <c r="M133" s="234" t="s">
        <v>714</v>
      </c>
      <c r="N133" s="234" t="s">
        <v>715</v>
      </c>
      <c r="O133" s="234" t="s">
        <v>716</v>
      </c>
      <c r="P133" s="234" t="s">
        <v>717</v>
      </c>
      <c r="Q133" s="234" t="s">
        <v>718</v>
      </c>
      <c r="R133" s="234" t="s">
        <v>719</v>
      </c>
      <c r="S133" s="234" t="s">
        <v>720</v>
      </c>
      <c r="T133" s="234" t="s">
        <v>721</v>
      </c>
      <c r="U133" s="234" t="s">
        <v>722</v>
      </c>
      <c r="V133" s="234" t="s">
        <v>723</v>
      </c>
      <c r="W133" s="234" t="s">
        <v>724</v>
      </c>
      <c r="X133" s="234" t="s">
        <v>725</v>
      </c>
      <c r="Y133" s="234" t="s">
        <v>726</v>
      </c>
      <c r="Z133" s="234" t="s">
        <v>727</v>
      </c>
      <c r="AA133" s="234" t="s">
        <v>728</v>
      </c>
    </row>
    <row r="134" spans="1:113">
      <c r="A134" s="304" t="s">
        <v>749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16030.243919636299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0</v>
      </c>
    </row>
    <row r="135" spans="1:113">
      <c r="A135" s="304" t="s">
        <v>750</v>
      </c>
      <c r="B135" s="305">
        <v>0</v>
      </c>
      <c r="C135" s="305">
        <v>0</v>
      </c>
      <c r="D135" s="305">
        <v>0</v>
      </c>
      <c r="E135" s="305">
        <v>0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3202004.12978845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</row>
    <row r="136" spans="1:113">
      <c r="A136" s="304" t="s">
        <v>751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5653.4469866310001</v>
      </c>
      <c r="U136" s="305">
        <v>0</v>
      </c>
      <c r="V136" s="305">
        <v>0</v>
      </c>
      <c r="W136" s="305">
        <v>0</v>
      </c>
      <c r="X136" s="305">
        <v>0</v>
      </c>
      <c r="Y136" s="305">
        <v>0</v>
      </c>
      <c r="Z136" s="305">
        <v>0</v>
      </c>
      <c r="AA136" s="305">
        <v>0</v>
      </c>
    </row>
    <row r="137" spans="1:113">
      <c r="A137" s="304" t="s">
        <v>752</v>
      </c>
      <c r="B137" s="305">
        <v>0</v>
      </c>
      <c r="C137" s="305">
        <v>0</v>
      </c>
      <c r="D137" s="305">
        <v>0</v>
      </c>
      <c r="E137" s="305">
        <v>0</v>
      </c>
      <c r="F137" s="305">
        <v>1032997.83916021</v>
      </c>
      <c r="G137" s="305">
        <v>0</v>
      </c>
      <c r="H137" s="305">
        <v>0</v>
      </c>
      <c r="I137" s="305">
        <v>0</v>
      </c>
      <c r="J137" s="305">
        <v>0</v>
      </c>
      <c r="K137" s="305">
        <v>0</v>
      </c>
      <c r="L137" s="305">
        <v>0</v>
      </c>
      <c r="M137" s="305">
        <v>0</v>
      </c>
      <c r="N137" s="305">
        <v>0</v>
      </c>
      <c r="O137" s="305">
        <v>0</v>
      </c>
      <c r="P137" s="305">
        <v>0</v>
      </c>
      <c r="Q137" s="305">
        <v>0</v>
      </c>
      <c r="R137" s="305">
        <v>0</v>
      </c>
      <c r="S137" s="305">
        <v>0</v>
      </c>
      <c r="T137" s="305">
        <v>0</v>
      </c>
      <c r="U137" s="305">
        <v>0</v>
      </c>
      <c r="V137" s="305">
        <v>0</v>
      </c>
      <c r="W137" s="305">
        <v>0</v>
      </c>
      <c r="X137" s="305">
        <v>0</v>
      </c>
      <c r="Y137" s="305">
        <v>0</v>
      </c>
      <c r="Z137" s="305">
        <v>0</v>
      </c>
      <c r="AA137" s="305">
        <v>0</v>
      </c>
    </row>
    <row r="138" spans="1:113">
      <c r="A138" s="304" t="s">
        <v>753</v>
      </c>
      <c r="B138" s="305">
        <v>0</v>
      </c>
      <c r="C138" s="305">
        <v>0</v>
      </c>
      <c r="D138" s="305">
        <v>0</v>
      </c>
      <c r="E138" s="305">
        <v>0</v>
      </c>
      <c r="F138" s="305">
        <v>0</v>
      </c>
      <c r="G138" s="305">
        <v>0</v>
      </c>
      <c r="H138" s="305">
        <v>0</v>
      </c>
      <c r="I138" s="305">
        <v>4830.4442158522497</v>
      </c>
      <c r="J138" s="305">
        <v>0</v>
      </c>
      <c r="K138" s="305">
        <v>0</v>
      </c>
      <c r="L138" s="305">
        <v>0</v>
      </c>
      <c r="M138" s="305">
        <v>0</v>
      </c>
      <c r="N138" s="305">
        <v>0</v>
      </c>
      <c r="O138" s="305">
        <v>0</v>
      </c>
      <c r="P138" s="305">
        <v>0</v>
      </c>
      <c r="Q138" s="305">
        <v>0</v>
      </c>
      <c r="R138" s="305">
        <v>0</v>
      </c>
      <c r="S138" s="305">
        <v>0</v>
      </c>
      <c r="T138" s="305">
        <v>0</v>
      </c>
      <c r="U138" s="305">
        <v>0</v>
      </c>
      <c r="V138" s="305">
        <v>0</v>
      </c>
      <c r="W138" s="305">
        <v>0</v>
      </c>
      <c r="X138" s="305">
        <v>0</v>
      </c>
      <c r="Y138" s="305">
        <v>0</v>
      </c>
      <c r="Z138" s="305">
        <v>0</v>
      </c>
      <c r="AA138" s="305">
        <v>0</v>
      </c>
    </row>
    <row r="139" spans="1:113">
      <c r="A139" s="304" t="s">
        <v>754</v>
      </c>
      <c r="B139" s="305">
        <v>0</v>
      </c>
      <c r="C139" s="305">
        <v>0</v>
      </c>
      <c r="D139" s="305">
        <v>0</v>
      </c>
      <c r="E139" s="305">
        <v>0</v>
      </c>
      <c r="F139" s="305">
        <v>0</v>
      </c>
      <c r="G139" s="305">
        <v>0</v>
      </c>
      <c r="H139" s="305">
        <v>0</v>
      </c>
      <c r="I139" s="305">
        <v>0</v>
      </c>
      <c r="J139" s="305">
        <v>0</v>
      </c>
      <c r="K139" s="305">
        <v>0</v>
      </c>
      <c r="L139" s="305">
        <v>0</v>
      </c>
      <c r="M139" s="305">
        <v>0</v>
      </c>
      <c r="N139" s="305">
        <v>0</v>
      </c>
      <c r="O139" s="305">
        <v>0</v>
      </c>
      <c r="P139" s="305">
        <v>184686.52821315001</v>
      </c>
      <c r="Q139" s="305">
        <v>0</v>
      </c>
      <c r="R139" s="305">
        <v>0</v>
      </c>
      <c r="S139" s="305">
        <v>0</v>
      </c>
      <c r="T139" s="305">
        <v>0</v>
      </c>
      <c r="U139" s="305">
        <v>0</v>
      </c>
      <c r="V139" s="305">
        <v>0</v>
      </c>
      <c r="W139" s="305">
        <v>0</v>
      </c>
      <c r="X139" s="305">
        <v>0</v>
      </c>
      <c r="Y139" s="305">
        <v>0</v>
      </c>
      <c r="Z139" s="305">
        <v>0</v>
      </c>
      <c r="AA139" s="305">
        <v>0</v>
      </c>
    </row>
    <row r="140" spans="1:113">
      <c r="A140" s="304" t="s">
        <v>755</v>
      </c>
      <c r="B140" s="305">
        <v>0</v>
      </c>
      <c r="C140" s="305">
        <v>0</v>
      </c>
      <c r="D140" s="305">
        <v>0</v>
      </c>
      <c r="E140" s="305">
        <v>0</v>
      </c>
      <c r="F140" s="305">
        <v>0</v>
      </c>
      <c r="G140" s="305">
        <v>0</v>
      </c>
      <c r="H140" s="305">
        <v>0</v>
      </c>
      <c r="I140" s="305">
        <v>0</v>
      </c>
      <c r="J140" s="305">
        <v>0</v>
      </c>
      <c r="K140" s="305">
        <v>0</v>
      </c>
      <c r="L140" s="305">
        <v>0</v>
      </c>
      <c r="M140" s="305">
        <v>0</v>
      </c>
      <c r="N140" s="305">
        <v>0</v>
      </c>
      <c r="O140" s="305">
        <v>0</v>
      </c>
      <c r="P140" s="305">
        <v>0</v>
      </c>
      <c r="Q140" s="305">
        <v>0</v>
      </c>
      <c r="R140" s="305">
        <v>0</v>
      </c>
      <c r="S140" s="305">
        <v>0</v>
      </c>
      <c r="T140" s="305">
        <v>0</v>
      </c>
      <c r="U140" s="305">
        <v>5023.7890204089899</v>
      </c>
      <c r="V140" s="305">
        <v>0</v>
      </c>
      <c r="W140" s="305">
        <v>0</v>
      </c>
      <c r="X140" s="305">
        <v>0</v>
      </c>
      <c r="Y140" s="305">
        <v>0</v>
      </c>
      <c r="Z140" s="305">
        <v>0</v>
      </c>
      <c r="AA140" s="305">
        <v>0</v>
      </c>
    </row>
    <row r="141" spans="1:113">
      <c r="A141" s="304" t="s">
        <v>756</v>
      </c>
      <c r="B141" s="305">
        <v>0</v>
      </c>
      <c r="C141" s="305">
        <v>0</v>
      </c>
      <c r="D141" s="305">
        <v>0</v>
      </c>
      <c r="E141" s="305">
        <v>0</v>
      </c>
      <c r="F141" s="305">
        <v>0</v>
      </c>
      <c r="G141" s="305">
        <v>0</v>
      </c>
      <c r="H141" s="305">
        <v>0</v>
      </c>
      <c r="I141" s="305">
        <v>0</v>
      </c>
      <c r="J141" s="305">
        <v>0</v>
      </c>
      <c r="K141" s="305">
        <v>0</v>
      </c>
      <c r="L141" s="305">
        <v>0</v>
      </c>
      <c r="M141" s="305">
        <v>0</v>
      </c>
      <c r="N141" s="305">
        <v>0</v>
      </c>
      <c r="O141" s="305">
        <v>0</v>
      </c>
      <c r="P141" s="305">
        <v>0</v>
      </c>
      <c r="Q141" s="305">
        <v>0</v>
      </c>
      <c r="R141" s="305">
        <v>0</v>
      </c>
      <c r="S141" s="305">
        <v>0</v>
      </c>
      <c r="T141" s="305">
        <v>0</v>
      </c>
      <c r="U141" s="305">
        <v>0</v>
      </c>
      <c r="V141" s="305">
        <v>0</v>
      </c>
      <c r="W141" s="305">
        <v>0</v>
      </c>
      <c r="X141" s="305">
        <v>82.091627997489695</v>
      </c>
      <c r="Y141" s="305">
        <v>0</v>
      </c>
      <c r="Z141" s="305">
        <v>0</v>
      </c>
      <c r="AA141" s="305">
        <v>0</v>
      </c>
    </row>
    <row r="142" spans="1:113">
      <c r="A142" s="304" t="s">
        <v>757</v>
      </c>
      <c r="B142" s="305">
        <v>0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05">
        <v>0</v>
      </c>
      <c r="N142" s="305">
        <v>0</v>
      </c>
      <c r="O142" s="305">
        <v>0</v>
      </c>
      <c r="P142" s="305">
        <v>0</v>
      </c>
      <c r="Q142" s="305">
        <v>0</v>
      </c>
      <c r="R142" s="305">
        <v>0</v>
      </c>
      <c r="S142" s="305">
        <v>0</v>
      </c>
      <c r="T142" s="305">
        <v>0</v>
      </c>
      <c r="U142" s="305">
        <v>0</v>
      </c>
      <c r="V142" s="305">
        <v>0</v>
      </c>
      <c r="W142" s="305">
        <v>0</v>
      </c>
      <c r="X142" s="305">
        <v>0</v>
      </c>
      <c r="Y142" s="305">
        <v>0</v>
      </c>
      <c r="Z142" s="305">
        <v>43.206119998678503</v>
      </c>
      <c r="AA142" s="305">
        <v>0</v>
      </c>
    </row>
    <row r="143" spans="1:113">
      <c r="A143" s="304" t="s">
        <v>758</v>
      </c>
      <c r="B143" s="305">
        <v>0</v>
      </c>
      <c r="C143" s="305">
        <v>0</v>
      </c>
      <c r="D143" s="305">
        <v>0</v>
      </c>
      <c r="E143" s="305">
        <v>0</v>
      </c>
      <c r="F143" s="305">
        <v>0</v>
      </c>
      <c r="G143" s="305">
        <v>0</v>
      </c>
      <c r="H143" s="305">
        <v>0</v>
      </c>
      <c r="I143" s="305">
        <v>0</v>
      </c>
      <c r="J143" s="305">
        <v>0</v>
      </c>
      <c r="K143" s="305">
        <v>0</v>
      </c>
      <c r="L143" s="305">
        <v>3749358.3680556798</v>
      </c>
      <c r="M143" s="305">
        <v>0</v>
      </c>
      <c r="N143" s="305">
        <v>0</v>
      </c>
      <c r="O143" s="305">
        <v>0</v>
      </c>
      <c r="P143" s="305">
        <v>0</v>
      </c>
      <c r="Q143" s="305">
        <v>0</v>
      </c>
      <c r="R143" s="305">
        <v>0</v>
      </c>
      <c r="S143" s="305">
        <v>0</v>
      </c>
      <c r="T143" s="305">
        <v>0</v>
      </c>
      <c r="U143" s="305">
        <v>0</v>
      </c>
      <c r="V143" s="305">
        <v>0</v>
      </c>
      <c r="W143" s="305">
        <v>0</v>
      </c>
      <c r="X143" s="305">
        <v>0</v>
      </c>
      <c r="Y143" s="305">
        <v>0</v>
      </c>
      <c r="Z143" s="305">
        <v>0</v>
      </c>
      <c r="AA143" s="305">
        <v>0</v>
      </c>
    </row>
    <row r="144" spans="1:113">
      <c r="A144" s="304" t="s">
        <v>759</v>
      </c>
      <c r="B144" s="305">
        <v>0</v>
      </c>
      <c r="C144" s="305">
        <v>0</v>
      </c>
      <c r="D144" s="305">
        <v>0</v>
      </c>
      <c r="E144" s="305">
        <v>0</v>
      </c>
      <c r="F144" s="305">
        <v>60946.554310340602</v>
      </c>
      <c r="G144" s="305">
        <v>0</v>
      </c>
      <c r="H144" s="305">
        <v>0</v>
      </c>
      <c r="I144" s="305">
        <v>0</v>
      </c>
      <c r="J144" s="305">
        <v>0</v>
      </c>
      <c r="K144" s="305">
        <v>0</v>
      </c>
      <c r="L144" s="305">
        <v>0</v>
      </c>
      <c r="M144" s="305">
        <v>0</v>
      </c>
      <c r="N144" s="305">
        <v>0</v>
      </c>
      <c r="O144" s="305">
        <v>0</v>
      </c>
      <c r="P144" s="305">
        <v>0</v>
      </c>
      <c r="Q144" s="305">
        <v>0</v>
      </c>
      <c r="R144" s="305">
        <v>0</v>
      </c>
      <c r="S144" s="305">
        <v>0</v>
      </c>
      <c r="T144" s="305">
        <v>0</v>
      </c>
      <c r="U144" s="305">
        <v>0</v>
      </c>
      <c r="V144" s="305">
        <v>0</v>
      </c>
      <c r="W144" s="305">
        <v>0</v>
      </c>
      <c r="X144" s="305">
        <v>0</v>
      </c>
      <c r="Y144" s="305">
        <v>0</v>
      </c>
      <c r="Z144" s="305">
        <v>0</v>
      </c>
      <c r="AA144" s="305">
        <v>0</v>
      </c>
    </row>
    <row r="145" spans="1:27">
      <c r="A145" s="304" t="s">
        <v>760</v>
      </c>
      <c r="B145" s="305">
        <v>0</v>
      </c>
      <c r="C145" s="305">
        <v>0</v>
      </c>
      <c r="D145" s="305">
        <v>290.15291867903898</v>
      </c>
      <c r="E145" s="305">
        <v>0</v>
      </c>
      <c r="F145" s="305">
        <v>0</v>
      </c>
      <c r="G145" s="305">
        <v>0</v>
      </c>
      <c r="H145" s="305">
        <v>0</v>
      </c>
      <c r="I145" s="305">
        <v>0</v>
      </c>
      <c r="J145" s="305">
        <v>0</v>
      </c>
      <c r="K145" s="305">
        <v>0</v>
      </c>
      <c r="L145" s="305">
        <v>0</v>
      </c>
      <c r="M145" s="305">
        <v>0</v>
      </c>
      <c r="N145" s="305">
        <v>668.84165319492104</v>
      </c>
      <c r="O145" s="305">
        <v>0</v>
      </c>
      <c r="P145" s="305">
        <v>0</v>
      </c>
      <c r="Q145" s="305">
        <v>0</v>
      </c>
      <c r="R145" s="305">
        <v>0</v>
      </c>
      <c r="S145" s="305">
        <v>0</v>
      </c>
      <c r="T145" s="305">
        <v>0</v>
      </c>
      <c r="U145" s="305">
        <v>0</v>
      </c>
      <c r="V145" s="305">
        <v>0</v>
      </c>
      <c r="W145" s="305">
        <v>0</v>
      </c>
      <c r="X145" s="305">
        <v>0</v>
      </c>
      <c r="Y145" s="305">
        <v>0</v>
      </c>
      <c r="Z145" s="305">
        <v>0</v>
      </c>
      <c r="AA145" s="305">
        <v>0</v>
      </c>
    </row>
    <row r="146" spans="1:27">
      <c r="A146" s="304" t="s">
        <v>761</v>
      </c>
      <c r="B146" s="305">
        <v>0</v>
      </c>
      <c r="C146" s="305">
        <v>0</v>
      </c>
      <c r="D146" s="305">
        <v>0</v>
      </c>
      <c r="E146" s="305">
        <v>0</v>
      </c>
      <c r="F146" s="305">
        <v>0</v>
      </c>
      <c r="G146" s="305">
        <v>27606.454518918301</v>
      </c>
      <c r="H146" s="305">
        <v>60240.419732123897</v>
      </c>
      <c r="I146" s="305">
        <v>0</v>
      </c>
      <c r="J146" s="305">
        <v>0</v>
      </c>
      <c r="K146" s="305">
        <v>13.9069217450983</v>
      </c>
      <c r="L146" s="305">
        <v>0</v>
      </c>
      <c r="M146" s="305">
        <v>0</v>
      </c>
      <c r="N146" s="305">
        <v>0</v>
      </c>
      <c r="O146" s="305">
        <v>0</v>
      </c>
      <c r="P146" s="305">
        <v>0</v>
      </c>
      <c r="Q146" s="305">
        <v>0</v>
      </c>
      <c r="R146" s="305">
        <v>0</v>
      </c>
      <c r="S146" s="305">
        <v>0</v>
      </c>
      <c r="T146" s="305">
        <v>0</v>
      </c>
      <c r="U146" s="305">
        <v>0</v>
      </c>
      <c r="V146" s="305">
        <v>0</v>
      </c>
      <c r="W146" s="305">
        <v>4306.0802326205903</v>
      </c>
      <c r="X146" s="305">
        <v>0</v>
      </c>
      <c r="Y146" s="305">
        <v>0</v>
      </c>
      <c r="Z146" s="305">
        <v>0</v>
      </c>
      <c r="AA146" s="305">
        <v>0</v>
      </c>
    </row>
    <row r="147" spans="1:27">
      <c r="A147" s="304" t="s">
        <v>762</v>
      </c>
      <c r="B147" s="305">
        <v>0</v>
      </c>
      <c r="C147" s="305">
        <v>0</v>
      </c>
      <c r="D147" s="305">
        <v>0</v>
      </c>
      <c r="E147" s="305">
        <v>0</v>
      </c>
      <c r="F147" s="305">
        <v>0</v>
      </c>
      <c r="G147" s="305">
        <v>0</v>
      </c>
      <c r="H147" s="305">
        <v>23202.895864865601</v>
      </c>
      <c r="I147" s="305">
        <v>0</v>
      </c>
      <c r="J147" s="305">
        <v>0</v>
      </c>
      <c r="K147" s="305">
        <v>5.54621255405754</v>
      </c>
      <c r="L147" s="305">
        <v>0</v>
      </c>
      <c r="M147" s="305">
        <v>0</v>
      </c>
      <c r="N147" s="305">
        <v>0</v>
      </c>
      <c r="O147" s="305">
        <v>0</v>
      </c>
      <c r="P147" s="305">
        <v>0</v>
      </c>
      <c r="Q147" s="305">
        <v>0</v>
      </c>
      <c r="R147" s="305">
        <v>0</v>
      </c>
      <c r="S147" s="305">
        <v>0</v>
      </c>
      <c r="T147" s="305">
        <v>0</v>
      </c>
      <c r="U147" s="305">
        <v>0</v>
      </c>
      <c r="V147" s="305">
        <v>0</v>
      </c>
      <c r="W147" s="305">
        <v>0</v>
      </c>
      <c r="X147" s="305">
        <v>0</v>
      </c>
      <c r="Y147" s="305">
        <v>0</v>
      </c>
      <c r="Z147" s="305">
        <v>0</v>
      </c>
      <c r="AA147" s="305">
        <v>0</v>
      </c>
    </row>
    <row r="148" spans="1:27">
      <c r="A148" s="304"/>
      <c r="B148" s="358" t="s">
        <v>699</v>
      </c>
      <c r="C148" s="371"/>
      <c r="D148" s="371"/>
      <c r="E148" s="371"/>
      <c r="F148" s="371"/>
      <c r="G148" s="371"/>
      <c r="H148" s="371"/>
      <c r="I148" s="371"/>
      <c r="J148" s="371"/>
      <c r="K148" s="371"/>
      <c r="L148" s="371"/>
      <c r="M148" s="371"/>
      <c r="N148" s="371"/>
      <c r="O148" s="371"/>
      <c r="P148" s="371"/>
      <c r="Q148" s="371"/>
      <c r="R148" s="371"/>
      <c r="S148" s="371"/>
      <c r="T148" s="371"/>
      <c r="U148" s="371"/>
      <c r="V148" s="371"/>
      <c r="W148" s="371"/>
      <c r="X148" s="371"/>
      <c r="Y148" s="371"/>
      <c r="Z148" s="371"/>
      <c r="AA148" s="371"/>
    </row>
    <row r="151" spans="1:27" ht="179.4">
      <c r="A151" s="303" t="s">
        <v>641</v>
      </c>
      <c r="B151" s="234" t="s">
        <v>708</v>
      </c>
      <c r="C151" s="234" t="s">
        <v>709</v>
      </c>
      <c r="D151" s="234" t="s">
        <v>710</v>
      </c>
      <c r="E151" s="234" t="s">
        <v>711</v>
      </c>
      <c r="F151" s="234" t="s">
        <v>656</v>
      </c>
      <c r="G151" s="234" t="s">
        <v>657</v>
      </c>
      <c r="H151" s="234" t="s">
        <v>658</v>
      </c>
      <c r="I151" s="234" t="s">
        <v>712</v>
      </c>
      <c r="J151" s="234" t="s">
        <v>713</v>
      </c>
      <c r="K151" s="234" t="s">
        <v>670</v>
      </c>
      <c r="L151" s="234" t="s">
        <v>671</v>
      </c>
      <c r="M151" s="234" t="s">
        <v>714</v>
      </c>
      <c r="N151" s="234" t="s">
        <v>715</v>
      </c>
      <c r="O151" s="234" t="s">
        <v>716</v>
      </c>
      <c r="P151" s="234" t="s">
        <v>717</v>
      </c>
      <c r="Q151" s="234" t="s">
        <v>718</v>
      </c>
      <c r="R151" s="234" t="s">
        <v>719</v>
      </c>
      <c r="S151" s="234" t="s">
        <v>720</v>
      </c>
      <c r="T151" s="234" t="s">
        <v>721</v>
      </c>
      <c r="U151" s="234" t="s">
        <v>722</v>
      </c>
      <c r="V151" s="234" t="s">
        <v>723</v>
      </c>
      <c r="W151" s="234" t="s">
        <v>724</v>
      </c>
      <c r="X151" s="234" t="s">
        <v>725</v>
      </c>
      <c r="Y151" s="234" t="s">
        <v>726</v>
      </c>
      <c r="Z151" s="234" t="s">
        <v>727</v>
      </c>
      <c r="AA151" s="234" t="s">
        <v>728</v>
      </c>
    </row>
    <row r="152" spans="1:27">
      <c r="A152" s="304" t="s">
        <v>729</v>
      </c>
      <c r="B152" s="302">
        <v>0</v>
      </c>
      <c r="C152" s="302">
        <v>0</v>
      </c>
      <c r="D152" s="302">
        <v>82025.350859294602</v>
      </c>
      <c r="E152" s="302">
        <v>0</v>
      </c>
      <c r="F152" s="302">
        <v>0</v>
      </c>
      <c r="G152" s="302">
        <v>0</v>
      </c>
      <c r="H152" s="302">
        <v>0</v>
      </c>
      <c r="I152" s="302">
        <v>0</v>
      </c>
      <c r="J152" s="302">
        <v>0</v>
      </c>
      <c r="K152" s="302">
        <v>0</v>
      </c>
      <c r="L152" s="302">
        <v>0</v>
      </c>
      <c r="M152" s="302">
        <v>0</v>
      </c>
      <c r="N152" s="302">
        <v>0</v>
      </c>
      <c r="O152" s="302">
        <v>0</v>
      </c>
      <c r="P152" s="302">
        <v>0</v>
      </c>
      <c r="Q152" s="302">
        <v>0</v>
      </c>
      <c r="R152" s="302">
        <v>0</v>
      </c>
      <c r="S152" s="302">
        <v>0</v>
      </c>
      <c r="T152" s="302">
        <v>0</v>
      </c>
      <c r="U152" s="302">
        <v>0</v>
      </c>
      <c r="V152" s="302">
        <v>0</v>
      </c>
      <c r="W152" s="302">
        <v>0</v>
      </c>
      <c r="X152" s="302">
        <v>0</v>
      </c>
      <c r="Y152" s="302">
        <v>0</v>
      </c>
      <c r="Z152" s="302">
        <v>0</v>
      </c>
      <c r="AA152" s="302">
        <v>0</v>
      </c>
    </row>
    <row r="153" spans="1:27">
      <c r="A153" s="304" t="s">
        <v>730</v>
      </c>
      <c r="B153" s="302">
        <v>0</v>
      </c>
      <c r="C153" s="302">
        <v>0</v>
      </c>
      <c r="D153" s="302">
        <v>0</v>
      </c>
      <c r="E153" s="302">
        <v>0</v>
      </c>
      <c r="F153" s="302">
        <v>40734.729934752402</v>
      </c>
      <c r="G153" s="302">
        <v>0</v>
      </c>
      <c r="H153" s="302">
        <v>0</v>
      </c>
      <c r="I153" s="302">
        <v>0</v>
      </c>
      <c r="J153" s="302">
        <v>0</v>
      </c>
      <c r="K153" s="302">
        <v>0</v>
      </c>
      <c r="L153" s="302">
        <v>0</v>
      </c>
      <c r="M153" s="302">
        <v>0</v>
      </c>
      <c r="N153" s="302">
        <v>0</v>
      </c>
      <c r="O153" s="302">
        <v>0</v>
      </c>
      <c r="P153" s="302">
        <v>0</v>
      </c>
      <c r="Q153" s="302">
        <v>0</v>
      </c>
      <c r="R153" s="302">
        <v>0</v>
      </c>
      <c r="S153" s="302">
        <v>0</v>
      </c>
      <c r="T153" s="302">
        <v>0</v>
      </c>
      <c r="U153" s="302">
        <v>0</v>
      </c>
      <c r="V153" s="302">
        <v>0</v>
      </c>
      <c r="W153" s="302">
        <v>0</v>
      </c>
      <c r="X153" s="302">
        <v>0</v>
      </c>
      <c r="Y153" s="302">
        <v>0</v>
      </c>
      <c r="Z153" s="302">
        <v>0</v>
      </c>
      <c r="AA153" s="302">
        <v>0</v>
      </c>
    </row>
    <row r="154" spans="1:27">
      <c r="A154" s="304" t="s">
        <v>731</v>
      </c>
      <c r="B154" s="302">
        <v>0</v>
      </c>
      <c r="C154" s="302">
        <v>0</v>
      </c>
      <c r="D154" s="302">
        <v>0</v>
      </c>
      <c r="E154" s="302">
        <v>0</v>
      </c>
      <c r="F154" s="302">
        <v>0</v>
      </c>
      <c r="G154" s="302">
        <v>872.21663759437695</v>
      </c>
      <c r="H154" s="302">
        <v>0</v>
      </c>
      <c r="I154" s="302">
        <v>0</v>
      </c>
      <c r="J154" s="302">
        <v>0</v>
      </c>
      <c r="K154" s="302">
        <v>0</v>
      </c>
      <c r="L154" s="302">
        <v>0</v>
      </c>
      <c r="M154" s="302">
        <v>0</v>
      </c>
      <c r="N154" s="302">
        <v>0</v>
      </c>
      <c r="O154" s="302">
        <v>0</v>
      </c>
      <c r="P154" s="302">
        <v>0</v>
      </c>
      <c r="Q154" s="302">
        <v>0</v>
      </c>
      <c r="R154" s="302">
        <v>0</v>
      </c>
      <c r="S154" s="302">
        <v>0</v>
      </c>
      <c r="T154" s="302">
        <v>0</v>
      </c>
      <c r="U154" s="302">
        <v>0</v>
      </c>
      <c r="V154" s="302">
        <v>0</v>
      </c>
      <c r="W154" s="302">
        <v>0</v>
      </c>
      <c r="X154" s="302">
        <v>0</v>
      </c>
      <c r="Y154" s="302">
        <v>0</v>
      </c>
      <c r="Z154" s="302">
        <v>0</v>
      </c>
      <c r="AA154" s="302">
        <v>0</v>
      </c>
    </row>
    <row r="155" spans="1:27">
      <c r="A155" s="304" t="s">
        <v>732</v>
      </c>
      <c r="B155" s="302">
        <v>0</v>
      </c>
      <c r="C155" s="302">
        <v>0</v>
      </c>
      <c r="D155" s="302">
        <v>0</v>
      </c>
      <c r="E155" s="302">
        <v>0</v>
      </c>
      <c r="F155" s="302">
        <v>0</v>
      </c>
      <c r="G155" s="302">
        <v>0</v>
      </c>
      <c r="H155" s="302">
        <v>36781.329005505002</v>
      </c>
      <c r="I155" s="302">
        <v>0</v>
      </c>
      <c r="J155" s="302">
        <v>0</v>
      </c>
      <c r="K155" s="302">
        <v>0</v>
      </c>
      <c r="L155" s="302">
        <v>0</v>
      </c>
      <c r="M155" s="302">
        <v>0</v>
      </c>
      <c r="N155" s="302">
        <v>0</v>
      </c>
      <c r="O155" s="302">
        <v>0</v>
      </c>
      <c r="P155" s="302">
        <v>0</v>
      </c>
      <c r="Q155" s="302">
        <v>0</v>
      </c>
      <c r="R155" s="302">
        <v>0</v>
      </c>
      <c r="S155" s="302">
        <v>0</v>
      </c>
      <c r="T155" s="302">
        <v>0</v>
      </c>
      <c r="U155" s="302">
        <v>0</v>
      </c>
      <c r="V155" s="302">
        <v>0</v>
      </c>
      <c r="W155" s="302">
        <v>0</v>
      </c>
      <c r="X155" s="302">
        <v>0</v>
      </c>
      <c r="Y155" s="302">
        <v>0</v>
      </c>
      <c r="Z155" s="302">
        <v>0</v>
      </c>
      <c r="AA155" s="302">
        <v>0</v>
      </c>
    </row>
    <row r="156" spans="1:27">
      <c r="A156" s="304" t="s">
        <v>733</v>
      </c>
      <c r="B156" s="302">
        <v>0</v>
      </c>
      <c r="C156" s="302">
        <v>0</v>
      </c>
      <c r="D156" s="302">
        <v>0</v>
      </c>
      <c r="E156" s="302">
        <v>0</v>
      </c>
      <c r="F156" s="302">
        <v>0</v>
      </c>
      <c r="G156" s="302">
        <v>0</v>
      </c>
      <c r="H156" s="302">
        <v>0</v>
      </c>
      <c r="I156" s="302">
        <v>0</v>
      </c>
      <c r="J156" s="302">
        <v>0</v>
      </c>
      <c r="K156" s="302">
        <v>2.7994452863509598</v>
      </c>
      <c r="L156" s="302">
        <v>0</v>
      </c>
      <c r="M156" s="302">
        <v>0</v>
      </c>
      <c r="N156" s="302">
        <v>0</v>
      </c>
      <c r="O156" s="302">
        <v>0</v>
      </c>
      <c r="P156" s="302">
        <v>0</v>
      </c>
      <c r="Q156" s="302">
        <v>0</v>
      </c>
      <c r="R156" s="302">
        <v>0</v>
      </c>
      <c r="S156" s="302">
        <v>0</v>
      </c>
      <c r="T156" s="302">
        <v>0</v>
      </c>
      <c r="U156" s="302">
        <v>0</v>
      </c>
      <c r="V156" s="302">
        <v>0</v>
      </c>
      <c r="W156" s="302">
        <v>0</v>
      </c>
      <c r="X156" s="302">
        <v>0</v>
      </c>
      <c r="Y156" s="302">
        <v>0</v>
      </c>
      <c r="Z156" s="302">
        <v>0</v>
      </c>
      <c r="AA156" s="302">
        <v>0</v>
      </c>
    </row>
    <row r="157" spans="1:27">
      <c r="A157" s="304" t="s">
        <v>734</v>
      </c>
      <c r="B157" s="302">
        <v>0</v>
      </c>
      <c r="C157" s="302">
        <v>0</v>
      </c>
      <c r="D157" s="302">
        <v>0</v>
      </c>
      <c r="E157" s="302">
        <v>0</v>
      </c>
      <c r="F157" s="302">
        <v>0</v>
      </c>
      <c r="G157" s="302">
        <v>0</v>
      </c>
      <c r="H157" s="302">
        <v>0</v>
      </c>
      <c r="I157" s="302">
        <v>0</v>
      </c>
      <c r="J157" s="302">
        <v>0</v>
      </c>
      <c r="K157" s="302">
        <v>0</v>
      </c>
      <c r="L157" s="302">
        <v>11125349.8339001</v>
      </c>
      <c r="M157" s="302">
        <v>0</v>
      </c>
      <c r="N157" s="302">
        <v>0</v>
      </c>
      <c r="O157" s="302">
        <v>0</v>
      </c>
      <c r="P157" s="302">
        <v>0</v>
      </c>
      <c r="Q157" s="302">
        <v>0</v>
      </c>
      <c r="R157" s="302">
        <v>0</v>
      </c>
      <c r="S157" s="302">
        <v>0</v>
      </c>
      <c r="T157" s="302">
        <v>0</v>
      </c>
      <c r="U157" s="302">
        <v>0</v>
      </c>
      <c r="V157" s="302">
        <v>0</v>
      </c>
      <c r="W157" s="302">
        <v>0</v>
      </c>
      <c r="X157" s="302">
        <v>0</v>
      </c>
      <c r="Y157" s="302">
        <v>0</v>
      </c>
      <c r="Z157" s="302">
        <v>0</v>
      </c>
      <c r="AA157" s="302">
        <v>0</v>
      </c>
    </row>
    <row r="158" spans="1:27">
      <c r="A158" s="304" t="s">
        <v>735</v>
      </c>
      <c r="B158" s="302">
        <v>0</v>
      </c>
      <c r="C158" s="302">
        <v>0</v>
      </c>
      <c r="D158" s="302">
        <v>0</v>
      </c>
      <c r="E158" s="302">
        <v>0</v>
      </c>
      <c r="F158" s="302">
        <v>0</v>
      </c>
      <c r="G158" s="302">
        <v>0</v>
      </c>
      <c r="H158" s="302">
        <v>0</v>
      </c>
      <c r="I158" s="302">
        <v>0</v>
      </c>
      <c r="J158" s="302">
        <v>0</v>
      </c>
      <c r="K158" s="302">
        <v>0</v>
      </c>
      <c r="L158" s="302">
        <v>0</v>
      </c>
      <c r="M158" s="302">
        <v>0</v>
      </c>
      <c r="N158" s="302">
        <v>0</v>
      </c>
      <c r="O158" s="302">
        <v>0</v>
      </c>
      <c r="P158" s="302">
        <v>0</v>
      </c>
      <c r="Q158" s="302">
        <v>0</v>
      </c>
      <c r="R158" s="302">
        <v>0</v>
      </c>
      <c r="S158" s="302">
        <v>0</v>
      </c>
      <c r="T158" s="302">
        <v>0</v>
      </c>
      <c r="U158" s="302">
        <v>24.966118436670801</v>
      </c>
      <c r="V158" s="302">
        <v>0</v>
      </c>
      <c r="W158" s="302">
        <v>0</v>
      </c>
      <c r="X158" s="302">
        <v>0</v>
      </c>
      <c r="Y158" s="302">
        <v>0</v>
      </c>
      <c r="Z158" s="302">
        <v>0</v>
      </c>
      <c r="AA158" s="302">
        <v>0</v>
      </c>
    </row>
    <row r="159" spans="1:27">
      <c r="A159" s="304" t="s">
        <v>736</v>
      </c>
      <c r="B159" s="302">
        <v>45017.590801780199</v>
      </c>
      <c r="C159" s="302">
        <v>0</v>
      </c>
      <c r="D159" s="302">
        <v>0</v>
      </c>
      <c r="E159" s="302">
        <v>0</v>
      </c>
      <c r="F159" s="302">
        <v>0</v>
      </c>
      <c r="G159" s="302">
        <v>0</v>
      </c>
      <c r="H159" s="302">
        <v>0</v>
      </c>
      <c r="I159" s="302">
        <v>0</v>
      </c>
      <c r="J159" s="302">
        <v>0</v>
      </c>
      <c r="K159" s="302">
        <v>0</v>
      </c>
      <c r="L159" s="302">
        <v>0</v>
      </c>
      <c r="M159" s="302">
        <v>0</v>
      </c>
      <c r="N159" s="302">
        <v>0</v>
      </c>
      <c r="O159" s="302">
        <v>0</v>
      </c>
      <c r="P159" s="302">
        <v>0</v>
      </c>
      <c r="Q159" s="302">
        <v>0</v>
      </c>
      <c r="R159" s="302">
        <v>0</v>
      </c>
      <c r="S159" s="302">
        <v>0</v>
      </c>
      <c r="T159" s="302">
        <v>0</v>
      </c>
      <c r="U159" s="302">
        <v>0</v>
      </c>
      <c r="V159" s="302">
        <v>0</v>
      </c>
      <c r="W159" s="302">
        <v>0</v>
      </c>
      <c r="X159" s="302">
        <v>0</v>
      </c>
      <c r="Y159" s="302">
        <v>0</v>
      </c>
      <c r="Z159" s="302">
        <v>0</v>
      </c>
      <c r="AA159" s="302">
        <v>0</v>
      </c>
    </row>
    <row r="160" spans="1:27">
      <c r="A160" s="304" t="s">
        <v>737</v>
      </c>
      <c r="B160" s="302">
        <v>0</v>
      </c>
      <c r="C160" s="302">
        <v>66251.174567632304</v>
      </c>
      <c r="D160" s="302">
        <v>0</v>
      </c>
      <c r="E160" s="302">
        <v>0</v>
      </c>
      <c r="F160" s="302">
        <v>0</v>
      </c>
      <c r="G160" s="302">
        <v>0</v>
      </c>
      <c r="H160" s="302">
        <v>0</v>
      </c>
      <c r="I160" s="302">
        <v>0</v>
      </c>
      <c r="J160" s="302">
        <v>0</v>
      </c>
      <c r="K160" s="302">
        <v>0</v>
      </c>
      <c r="L160" s="302">
        <v>0</v>
      </c>
      <c r="M160" s="302">
        <v>0</v>
      </c>
      <c r="N160" s="302">
        <v>0</v>
      </c>
      <c r="O160" s="302">
        <v>0</v>
      </c>
      <c r="P160" s="302">
        <v>0</v>
      </c>
      <c r="Q160" s="302">
        <v>0</v>
      </c>
      <c r="R160" s="302">
        <v>0</v>
      </c>
      <c r="S160" s="302">
        <v>0</v>
      </c>
      <c r="T160" s="302">
        <v>0</v>
      </c>
      <c r="U160" s="302">
        <v>0</v>
      </c>
      <c r="V160" s="302">
        <v>0</v>
      </c>
      <c r="W160" s="302">
        <v>0</v>
      </c>
      <c r="X160" s="302">
        <v>0</v>
      </c>
      <c r="Y160" s="302">
        <v>0</v>
      </c>
      <c r="Z160" s="302">
        <v>0</v>
      </c>
      <c r="AA160" s="302">
        <v>0</v>
      </c>
    </row>
    <row r="161" spans="1:27">
      <c r="A161" s="304" t="s">
        <v>738</v>
      </c>
      <c r="B161" s="302">
        <v>0</v>
      </c>
      <c r="C161" s="302">
        <v>0</v>
      </c>
      <c r="D161" s="302">
        <v>0</v>
      </c>
      <c r="E161" s="302">
        <v>290.15291867903898</v>
      </c>
      <c r="F161" s="302">
        <v>0</v>
      </c>
      <c r="G161" s="302">
        <v>0</v>
      </c>
      <c r="H161" s="302">
        <v>0</v>
      </c>
      <c r="I161" s="302">
        <v>0</v>
      </c>
      <c r="J161" s="302">
        <v>0</v>
      </c>
      <c r="K161" s="302">
        <v>0</v>
      </c>
      <c r="L161" s="302">
        <v>0</v>
      </c>
      <c r="M161" s="302">
        <v>0</v>
      </c>
      <c r="N161" s="302">
        <v>0</v>
      </c>
      <c r="O161" s="302">
        <v>0</v>
      </c>
      <c r="P161" s="302">
        <v>0</v>
      </c>
      <c r="Q161" s="302">
        <v>0</v>
      </c>
      <c r="R161" s="302">
        <v>0</v>
      </c>
      <c r="S161" s="302">
        <v>0</v>
      </c>
      <c r="T161" s="302">
        <v>0</v>
      </c>
      <c r="U161" s="302">
        <v>0</v>
      </c>
      <c r="V161" s="302">
        <v>0</v>
      </c>
      <c r="W161" s="302">
        <v>0</v>
      </c>
      <c r="X161" s="302">
        <v>0</v>
      </c>
      <c r="Y161" s="302">
        <v>0</v>
      </c>
      <c r="Z161" s="302">
        <v>0</v>
      </c>
      <c r="AA161" s="302">
        <v>0</v>
      </c>
    </row>
    <row r="162" spans="1:27">
      <c r="A162" s="304" t="s">
        <v>739</v>
      </c>
      <c r="B162" s="302">
        <v>0</v>
      </c>
      <c r="C162" s="302">
        <v>0</v>
      </c>
      <c r="D162" s="302">
        <v>0</v>
      </c>
      <c r="E162" s="302">
        <v>0</v>
      </c>
      <c r="F162" s="302">
        <v>0</v>
      </c>
      <c r="G162" s="302">
        <v>0</v>
      </c>
      <c r="H162" s="302">
        <v>0</v>
      </c>
      <c r="I162" s="302">
        <v>0</v>
      </c>
      <c r="J162" s="302">
        <v>4830.4442158522497</v>
      </c>
      <c r="K162" s="302">
        <v>0</v>
      </c>
      <c r="L162" s="302">
        <v>0</v>
      </c>
      <c r="M162" s="302">
        <v>0</v>
      </c>
      <c r="N162" s="302">
        <v>0</v>
      </c>
      <c r="O162" s="302">
        <v>0</v>
      </c>
      <c r="P162" s="302">
        <v>0</v>
      </c>
      <c r="Q162" s="302">
        <v>0</v>
      </c>
      <c r="R162" s="302">
        <v>0</v>
      </c>
      <c r="S162" s="302">
        <v>0</v>
      </c>
      <c r="T162" s="302">
        <v>0</v>
      </c>
      <c r="U162" s="302">
        <v>0</v>
      </c>
      <c r="V162" s="302">
        <v>0</v>
      </c>
      <c r="W162" s="302">
        <v>0</v>
      </c>
      <c r="X162" s="302">
        <v>0</v>
      </c>
      <c r="Y162" s="302">
        <v>0</v>
      </c>
      <c r="Z162" s="302">
        <v>0</v>
      </c>
      <c r="AA162" s="302">
        <v>0</v>
      </c>
    </row>
    <row r="163" spans="1:27">
      <c r="A163" s="304" t="s">
        <v>740</v>
      </c>
      <c r="B163" s="302">
        <v>0</v>
      </c>
      <c r="C163" s="302">
        <v>0</v>
      </c>
      <c r="D163" s="302">
        <v>0</v>
      </c>
      <c r="E163" s="302">
        <v>0</v>
      </c>
      <c r="F163" s="302">
        <v>0</v>
      </c>
      <c r="G163" s="302">
        <v>0</v>
      </c>
      <c r="H163" s="302">
        <v>0</v>
      </c>
      <c r="I163" s="302">
        <v>0</v>
      </c>
      <c r="J163" s="302">
        <v>0</v>
      </c>
      <c r="K163" s="302">
        <v>0</v>
      </c>
      <c r="L163" s="302">
        <v>0</v>
      </c>
      <c r="M163" s="302">
        <v>0</v>
      </c>
      <c r="N163" s="302">
        <v>0</v>
      </c>
      <c r="O163" s="302">
        <v>668.84165319492104</v>
      </c>
      <c r="P163" s="302">
        <v>0</v>
      </c>
      <c r="Q163" s="302">
        <v>0</v>
      </c>
      <c r="R163" s="302">
        <v>0</v>
      </c>
      <c r="S163" s="302">
        <v>0</v>
      </c>
      <c r="T163" s="302">
        <v>0</v>
      </c>
      <c r="U163" s="302">
        <v>0</v>
      </c>
      <c r="V163" s="302">
        <v>0</v>
      </c>
      <c r="W163" s="302">
        <v>0</v>
      </c>
      <c r="X163" s="302">
        <v>0</v>
      </c>
      <c r="Y163" s="302">
        <v>0</v>
      </c>
      <c r="Z163" s="302">
        <v>0</v>
      </c>
      <c r="AA163" s="302">
        <v>0</v>
      </c>
    </row>
    <row r="164" spans="1:27">
      <c r="A164" s="304" t="s">
        <v>741</v>
      </c>
      <c r="B164" s="302">
        <v>0</v>
      </c>
      <c r="C164" s="302">
        <v>0</v>
      </c>
      <c r="D164" s="302">
        <v>0</v>
      </c>
      <c r="E164" s="302">
        <v>0</v>
      </c>
      <c r="F164" s="302">
        <v>0</v>
      </c>
      <c r="G164" s="302">
        <v>0</v>
      </c>
      <c r="H164" s="302">
        <v>0</v>
      </c>
      <c r="I164" s="302">
        <v>0</v>
      </c>
      <c r="J164" s="302">
        <v>0</v>
      </c>
      <c r="K164" s="302">
        <v>0</v>
      </c>
      <c r="L164" s="302">
        <v>0</v>
      </c>
      <c r="M164" s="302">
        <v>3749358.3680556798</v>
      </c>
      <c r="N164" s="302">
        <v>0</v>
      </c>
      <c r="O164" s="302">
        <v>0</v>
      </c>
      <c r="P164" s="302">
        <v>0</v>
      </c>
      <c r="Q164" s="302">
        <v>0</v>
      </c>
      <c r="R164" s="302">
        <v>0</v>
      </c>
      <c r="S164" s="302">
        <v>0</v>
      </c>
      <c r="T164" s="302">
        <v>0</v>
      </c>
      <c r="U164" s="302">
        <v>0</v>
      </c>
      <c r="V164" s="302">
        <v>0</v>
      </c>
      <c r="W164" s="302">
        <v>0</v>
      </c>
      <c r="X164" s="302">
        <v>0</v>
      </c>
      <c r="Y164" s="302">
        <v>0</v>
      </c>
      <c r="Z164" s="302">
        <v>0</v>
      </c>
      <c r="AA164" s="302">
        <v>0</v>
      </c>
    </row>
    <row r="165" spans="1:27">
      <c r="A165" s="304" t="s">
        <v>742</v>
      </c>
      <c r="B165" s="302">
        <v>0</v>
      </c>
      <c r="C165" s="302">
        <v>0</v>
      </c>
      <c r="D165" s="302">
        <v>0</v>
      </c>
      <c r="E165" s="302">
        <v>0</v>
      </c>
      <c r="F165" s="302">
        <v>0</v>
      </c>
      <c r="G165" s="302">
        <v>0</v>
      </c>
      <c r="H165" s="302">
        <v>0</v>
      </c>
      <c r="I165" s="302">
        <v>0</v>
      </c>
      <c r="J165" s="302">
        <v>0</v>
      </c>
      <c r="K165" s="302">
        <v>0</v>
      </c>
      <c r="L165" s="302">
        <v>0</v>
      </c>
      <c r="M165" s="302">
        <v>0</v>
      </c>
      <c r="N165" s="302">
        <v>0</v>
      </c>
      <c r="O165" s="302">
        <v>0</v>
      </c>
      <c r="P165" s="302">
        <v>0</v>
      </c>
      <c r="Q165" s="302">
        <v>184686.52821315001</v>
      </c>
      <c r="R165" s="302">
        <v>0</v>
      </c>
      <c r="S165" s="302">
        <v>0</v>
      </c>
      <c r="T165" s="302">
        <v>0</v>
      </c>
      <c r="U165" s="302">
        <v>0</v>
      </c>
      <c r="V165" s="302">
        <v>0</v>
      </c>
      <c r="W165" s="302">
        <v>0</v>
      </c>
      <c r="X165" s="302">
        <v>0</v>
      </c>
      <c r="Y165" s="302">
        <v>0</v>
      </c>
      <c r="Z165" s="302">
        <v>0</v>
      </c>
      <c r="AA165" s="302">
        <v>0</v>
      </c>
    </row>
    <row r="166" spans="1:27">
      <c r="A166" s="304" t="s">
        <v>743</v>
      </c>
      <c r="B166" s="302">
        <v>0</v>
      </c>
      <c r="C166" s="302">
        <v>0</v>
      </c>
      <c r="D166" s="302">
        <v>0</v>
      </c>
      <c r="E166" s="302">
        <v>0</v>
      </c>
      <c r="F166" s="302">
        <v>0</v>
      </c>
      <c r="G166" s="302">
        <v>0</v>
      </c>
      <c r="H166" s="302">
        <v>0</v>
      </c>
      <c r="I166" s="302">
        <v>0</v>
      </c>
      <c r="J166" s="302">
        <v>0</v>
      </c>
      <c r="K166" s="302">
        <v>0</v>
      </c>
      <c r="L166" s="302">
        <v>0</v>
      </c>
      <c r="M166" s="302">
        <v>0</v>
      </c>
      <c r="N166" s="302">
        <v>0</v>
      </c>
      <c r="O166" s="302">
        <v>0</v>
      </c>
      <c r="P166" s="302">
        <v>0</v>
      </c>
      <c r="Q166" s="302">
        <v>0</v>
      </c>
      <c r="R166" s="302">
        <v>0</v>
      </c>
      <c r="S166" s="302">
        <v>3090735.3644190198</v>
      </c>
      <c r="T166" s="302">
        <v>0</v>
      </c>
      <c r="U166" s="302">
        <v>0</v>
      </c>
      <c r="V166" s="302">
        <v>0</v>
      </c>
      <c r="W166" s="302">
        <v>0</v>
      </c>
      <c r="X166" s="302">
        <v>0</v>
      </c>
      <c r="Y166" s="302">
        <v>0</v>
      </c>
      <c r="Z166" s="302">
        <v>0</v>
      </c>
      <c r="AA166" s="302">
        <v>0</v>
      </c>
    </row>
    <row r="167" spans="1:27">
      <c r="A167" s="304" t="s">
        <v>744</v>
      </c>
      <c r="B167" s="302">
        <v>0</v>
      </c>
      <c r="C167" s="302">
        <v>0</v>
      </c>
      <c r="D167" s="302">
        <v>0</v>
      </c>
      <c r="E167" s="302">
        <v>0</v>
      </c>
      <c r="F167" s="302">
        <v>0</v>
      </c>
      <c r="G167" s="302">
        <v>0</v>
      </c>
      <c r="H167" s="302">
        <v>0</v>
      </c>
      <c r="I167" s="302">
        <v>0</v>
      </c>
      <c r="J167" s="302">
        <v>0</v>
      </c>
      <c r="K167" s="302">
        <v>0</v>
      </c>
      <c r="L167" s="302">
        <v>0</v>
      </c>
      <c r="M167" s="302">
        <v>0</v>
      </c>
      <c r="N167" s="302">
        <v>0</v>
      </c>
      <c r="O167" s="302">
        <v>0</v>
      </c>
      <c r="P167" s="302">
        <v>0</v>
      </c>
      <c r="Q167" s="302">
        <v>0</v>
      </c>
      <c r="R167" s="302">
        <v>0</v>
      </c>
      <c r="S167" s="302">
        <v>0</v>
      </c>
      <c r="T167" s="302">
        <v>0</v>
      </c>
      <c r="U167" s="302">
        <v>0</v>
      </c>
      <c r="V167" s="302">
        <v>5023.7890204089899</v>
      </c>
      <c r="W167" s="302">
        <v>0</v>
      </c>
      <c r="X167" s="302">
        <v>0</v>
      </c>
      <c r="Y167" s="302">
        <v>0</v>
      </c>
      <c r="Z167" s="302">
        <v>0</v>
      </c>
      <c r="AA167" s="302">
        <v>0</v>
      </c>
    </row>
    <row r="168" spans="1:27">
      <c r="A168" s="304" t="s">
        <v>745</v>
      </c>
      <c r="B168" s="302">
        <v>0</v>
      </c>
      <c r="C168" s="302">
        <v>0</v>
      </c>
      <c r="D168" s="302">
        <v>0</v>
      </c>
      <c r="E168" s="302">
        <v>0</v>
      </c>
      <c r="F168" s="302">
        <v>0</v>
      </c>
      <c r="G168" s="302">
        <v>0</v>
      </c>
      <c r="H168" s="302">
        <v>0</v>
      </c>
      <c r="I168" s="302">
        <v>0</v>
      </c>
      <c r="J168" s="302">
        <v>0</v>
      </c>
      <c r="K168" s="302">
        <v>0</v>
      </c>
      <c r="L168" s="302">
        <v>0</v>
      </c>
      <c r="M168" s="302">
        <v>0</v>
      </c>
      <c r="N168" s="302">
        <v>0</v>
      </c>
      <c r="O168" s="302">
        <v>0</v>
      </c>
      <c r="P168" s="302">
        <v>0</v>
      </c>
      <c r="Q168" s="302">
        <v>0</v>
      </c>
      <c r="R168" s="302">
        <v>0</v>
      </c>
      <c r="S168" s="302">
        <v>0</v>
      </c>
      <c r="T168" s="302">
        <v>0</v>
      </c>
      <c r="U168" s="302">
        <v>0</v>
      </c>
      <c r="V168" s="302">
        <v>0</v>
      </c>
      <c r="W168" s="302">
        <v>0</v>
      </c>
      <c r="X168" s="302">
        <v>0</v>
      </c>
      <c r="Y168" s="302">
        <v>82.091627997489695</v>
      </c>
      <c r="Z168" s="302">
        <v>0</v>
      </c>
      <c r="AA168" s="302">
        <v>0</v>
      </c>
    </row>
    <row r="169" spans="1:27">
      <c r="A169" s="304" t="s">
        <v>746</v>
      </c>
      <c r="B169" s="302">
        <v>0</v>
      </c>
      <c r="C169" s="302">
        <v>0</v>
      </c>
      <c r="D169" s="302">
        <v>0</v>
      </c>
      <c r="E169" s="302">
        <v>0</v>
      </c>
      <c r="F169" s="302">
        <v>0</v>
      </c>
      <c r="G169" s="302">
        <v>0</v>
      </c>
      <c r="H169" s="302">
        <v>0</v>
      </c>
      <c r="I169" s="302">
        <v>0</v>
      </c>
      <c r="J169" s="302">
        <v>0</v>
      </c>
      <c r="K169" s="302">
        <v>0</v>
      </c>
      <c r="L169" s="302">
        <v>0</v>
      </c>
      <c r="M169" s="302">
        <v>0</v>
      </c>
      <c r="N169" s="302">
        <v>0</v>
      </c>
      <c r="O169" s="302">
        <v>0</v>
      </c>
      <c r="P169" s="302">
        <v>0</v>
      </c>
      <c r="Q169" s="302">
        <v>0</v>
      </c>
      <c r="R169" s="302">
        <v>0</v>
      </c>
      <c r="S169" s="302">
        <v>0</v>
      </c>
      <c r="T169" s="302">
        <v>0</v>
      </c>
      <c r="U169" s="302">
        <v>0</v>
      </c>
      <c r="V169" s="302">
        <v>0</v>
      </c>
      <c r="W169" s="302">
        <v>0</v>
      </c>
      <c r="X169" s="302">
        <v>0</v>
      </c>
      <c r="Y169" s="302">
        <v>0</v>
      </c>
      <c r="Z169" s="302">
        <v>0</v>
      </c>
      <c r="AA169" s="302">
        <v>43.206119998678503</v>
      </c>
    </row>
    <row r="170" spans="1:27">
      <c r="A170" s="304" t="s">
        <v>747</v>
      </c>
      <c r="B170" s="302">
        <v>0</v>
      </c>
      <c r="C170" s="302">
        <v>0</v>
      </c>
      <c r="D170" s="302">
        <v>8889.2303268031592</v>
      </c>
      <c r="E170" s="302">
        <v>0</v>
      </c>
      <c r="F170" s="302">
        <v>0</v>
      </c>
      <c r="G170" s="302">
        <v>633.59233329487495</v>
      </c>
      <c r="H170" s="302">
        <v>0</v>
      </c>
      <c r="I170" s="302">
        <v>0</v>
      </c>
      <c r="J170" s="302">
        <v>0</v>
      </c>
      <c r="K170" s="302">
        <v>1.82365383204162</v>
      </c>
      <c r="L170" s="302">
        <v>0</v>
      </c>
      <c r="M170" s="302">
        <v>0</v>
      </c>
      <c r="N170" s="302">
        <v>0</v>
      </c>
      <c r="O170" s="302">
        <v>0</v>
      </c>
      <c r="P170" s="302">
        <v>0</v>
      </c>
      <c r="Q170" s="302">
        <v>0</v>
      </c>
      <c r="R170" s="302">
        <v>82605.805246579795</v>
      </c>
      <c r="S170" s="302">
        <v>0</v>
      </c>
      <c r="T170" s="302">
        <v>0</v>
      </c>
      <c r="U170" s="302">
        <v>0</v>
      </c>
      <c r="V170" s="302">
        <v>0</v>
      </c>
      <c r="W170" s="302">
        <v>0</v>
      </c>
      <c r="X170" s="302">
        <v>0</v>
      </c>
      <c r="Y170" s="302">
        <v>0</v>
      </c>
      <c r="Z170" s="302">
        <v>0</v>
      </c>
      <c r="AA170" s="302">
        <v>0</v>
      </c>
    </row>
    <row r="171" spans="1:27">
      <c r="A171" s="304" t="s">
        <v>748</v>
      </c>
      <c r="B171" s="302">
        <v>0</v>
      </c>
      <c r="C171" s="302">
        <v>0</v>
      </c>
      <c r="D171" s="302">
        <v>633.060913481537</v>
      </c>
      <c r="E171" s="302">
        <v>0</v>
      </c>
      <c r="F171" s="302">
        <v>0</v>
      </c>
      <c r="G171" s="302">
        <v>0</v>
      </c>
      <c r="H171" s="302">
        <v>0</v>
      </c>
      <c r="I171" s="302">
        <v>0</v>
      </c>
      <c r="J171" s="302">
        <v>0</v>
      </c>
      <c r="K171" s="302">
        <v>0</v>
      </c>
      <c r="L171" s="302">
        <v>0</v>
      </c>
      <c r="M171" s="302">
        <v>0</v>
      </c>
      <c r="N171" s="302">
        <v>0</v>
      </c>
      <c r="O171" s="302">
        <v>0</v>
      </c>
      <c r="P171" s="302">
        <v>0</v>
      </c>
      <c r="Q171" s="302">
        <v>0</v>
      </c>
      <c r="R171" s="302">
        <v>0</v>
      </c>
      <c r="S171" s="302">
        <v>0</v>
      </c>
      <c r="T171" s="302">
        <v>0</v>
      </c>
      <c r="U171" s="302">
        <v>0</v>
      </c>
      <c r="V171" s="302">
        <v>0</v>
      </c>
      <c r="W171" s="302">
        <v>0</v>
      </c>
      <c r="X171" s="302">
        <v>0</v>
      </c>
      <c r="Y171" s="302">
        <v>0</v>
      </c>
      <c r="Z171" s="302">
        <v>0</v>
      </c>
      <c r="AA171" s="302">
        <v>0</v>
      </c>
    </row>
    <row r="172" spans="1:27">
      <c r="A172" s="304"/>
      <c r="B172" s="358" t="s">
        <v>682</v>
      </c>
      <c r="C172" s="371"/>
      <c r="D172" s="371"/>
      <c r="E172" s="371"/>
      <c r="F172" s="371"/>
      <c r="G172" s="371"/>
      <c r="H172" s="371"/>
      <c r="I172" s="371"/>
      <c r="J172" s="371"/>
      <c r="K172" s="371"/>
      <c r="L172" s="371"/>
      <c r="M172" s="371"/>
      <c r="N172" s="371"/>
      <c r="O172" s="371"/>
      <c r="P172" s="371"/>
      <c r="Q172" s="371"/>
      <c r="R172" s="371"/>
      <c r="S172" s="371"/>
      <c r="T172" s="371"/>
      <c r="U172" s="371"/>
      <c r="V172" s="371"/>
      <c r="W172" s="371"/>
      <c r="X172" s="371"/>
      <c r="Y172" s="371"/>
      <c r="Z172" s="371"/>
      <c r="AA172" s="371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R242"/>
  <sheetViews>
    <sheetView topLeftCell="BQ138" zoomScale="62" workbookViewId="0">
      <selection activeCell="BJ123" sqref="BJ123:CL123"/>
    </sheetView>
  </sheetViews>
  <sheetFormatPr defaultColWidth="11.5546875" defaultRowHeight="14.4"/>
  <cols>
    <col min="2" max="58" width="7.6640625" customWidth="1"/>
    <col min="62" max="90" width="7.6640625" customWidth="1"/>
    <col min="94" max="122" width="7.6640625" customWidth="1"/>
  </cols>
  <sheetData>
    <row r="1" spans="1:122" ht="174.6">
      <c r="A1" s="303" t="s">
        <v>641</v>
      </c>
      <c r="B1" s="234" t="s">
        <v>706</v>
      </c>
      <c r="BI1" s="303" t="s">
        <v>641</v>
      </c>
      <c r="BJ1" s="234" t="s">
        <v>683</v>
      </c>
      <c r="BK1" s="234" t="s">
        <v>684</v>
      </c>
      <c r="BL1" s="234" t="s">
        <v>685</v>
      </c>
      <c r="BM1" s="234" t="s">
        <v>686</v>
      </c>
      <c r="BN1" s="234" t="s">
        <v>749</v>
      </c>
      <c r="BO1" s="234" t="s">
        <v>750</v>
      </c>
      <c r="BP1" s="234" t="s">
        <v>687</v>
      </c>
      <c r="BQ1" s="234" t="s">
        <v>688</v>
      </c>
      <c r="BR1" s="234" t="s">
        <v>689</v>
      </c>
      <c r="BS1" s="234" t="s">
        <v>751</v>
      </c>
      <c r="BT1" s="234" t="s">
        <v>690</v>
      </c>
      <c r="BU1" s="234" t="s">
        <v>691</v>
      </c>
      <c r="BV1" s="234" t="s">
        <v>692</v>
      </c>
      <c r="BW1" s="234" t="s">
        <v>693</v>
      </c>
      <c r="BX1" s="234" t="s">
        <v>694</v>
      </c>
      <c r="BY1" s="234" t="s">
        <v>695</v>
      </c>
      <c r="BZ1" s="234" t="s">
        <v>752</v>
      </c>
      <c r="CA1" s="234" t="s">
        <v>753</v>
      </c>
      <c r="CB1" s="234" t="s">
        <v>754</v>
      </c>
      <c r="CC1" s="234" t="s">
        <v>755</v>
      </c>
      <c r="CD1" s="234" t="s">
        <v>756</v>
      </c>
      <c r="CE1" s="234" t="s">
        <v>757</v>
      </c>
      <c r="CF1" s="234" t="s">
        <v>696</v>
      </c>
      <c r="CG1" s="234" t="s">
        <v>758</v>
      </c>
      <c r="CH1" s="234" t="s">
        <v>759</v>
      </c>
      <c r="CI1" s="234" t="s">
        <v>760</v>
      </c>
      <c r="CJ1" s="234" t="s">
        <v>761</v>
      </c>
      <c r="CK1" s="234" t="s">
        <v>697</v>
      </c>
      <c r="CL1" s="234" t="s">
        <v>762</v>
      </c>
      <c r="CO1" s="303" t="s">
        <v>641</v>
      </c>
      <c r="CP1" s="234" t="s">
        <v>683</v>
      </c>
      <c r="CQ1" s="234" t="s">
        <v>684</v>
      </c>
      <c r="CR1" s="234" t="s">
        <v>685</v>
      </c>
      <c r="CS1" s="234" t="s">
        <v>686</v>
      </c>
      <c r="CT1" s="234" t="s">
        <v>749</v>
      </c>
      <c r="CU1" s="234" t="s">
        <v>750</v>
      </c>
      <c r="CV1" s="234" t="s">
        <v>687</v>
      </c>
      <c r="CW1" s="234" t="s">
        <v>688</v>
      </c>
      <c r="CX1" s="234" t="s">
        <v>689</v>
      </c>
      <c r="CY1" s="234" t="s">
        <v>751</v>
      </c>
      <c r="CZ1" s="234" t="s">
        <v>690</v>
      </c>
      <c r="DA1" s="234" t="s">
        <v>691</v>
      </c>
      <c r="DB1" s="234" t="s">
        <v>692</v>
      </c>
      <c r="DC1" s="234" t="s">
        <v>693</v>
      </c>
      <c r="DD1" s="234" t="s">
        <v>694</v>
      </c>
      <c r="DE1" s="234" t="s">
        <v>695</v>
      </c>
      <c r="DF1" s="234" t="s">
        <v>752</v>
      </c>
      <c r="DG1" s="234" t="s">
        <v>753</v>
      </c>
      <c r="DH1" s="234" t="s">
        <v>754</v>
      </c>
      <c r="DI1" s="234" t="s">
        <v>755</v>
      </c>
      <c r="DJ1" s="234" t="s">
        <v>756</v>
      </c>
      <c r="DK1" s="234" t="s">
        <v>757</v>
      </c>
      <c r="DL1" s="234" t="s">
        <v>696</v>
      </c>
      <c r="DM1" s="234" t="s">
        <v>758</v>
      </c>
      <c r="DN1" s="234" t="s">
        <v>759</v>
      </c>
      <c r="DO1" s="234" t="s">
        <v>760</v>
      </c>
      <c r="DP1" s="234" t="s">
        <v>761</v>
      </c>
      <c r="DQ1" s="234" t="s">
        <v>697</v>
      </c>
      <c r="DR1" s="234" t="s">
        <v>762</v>
      </c>
    </row>
    <row r="2" spans="1:122">
      <c r="A2" s="304" t="s">
        <v>763</v>
      </c>
      <c r="B2" s="306">
        <v>1</v>
      </c>
      <c r="BI2" s="304" t="s">
        <v>642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O2" s="304" t="s">
        <v>642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  <c r="DJ2" s="306">
        <v>0</v>
      </c>
      <c r="DK2" s="306">
        <v>0</v>
      </c>
      <c r="DL2" s="306">
        <v>0</v>
      </c>
      <c r="DM2" s="306">
        <v>0</v>
      </c>
      <c r="DN2" s="306">
        <v>0</v>
      </c>
      <c r="DO2" s="306">
        <v>0</v>
      </c>
      <c r="DP2" s="306">
        <v>0</v>
      </c>
      <c r="DQ2" s="306">
        <v>0</v>
      </c>
      <c r="DR2" s="306">
        <v>0</v>
      </c>
    </row>
    <row r="3" spans="1:122">
      <c r="A3" s="304" t="s">
        <v>642</v>
      </c>
      <c r="B3" s="306">
        <v>1</v>
      </c>
      <c r="BI3" s="304" t="s">
        <v>708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O3" s="304" t="s">
        <v>708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  <c r="DJ3" s="306">
        <v>0</v>
      </c>
      <c r="DK3" s="306">
        <v>0</v>
      </c>
      <c r="DL3" s="306">
        <v>0</v>
      </c>
      <c r="DM3" s="306">
        <v>0</v>
      </c>
      <c r="DN3" s="306">
        <v>0</v>
      </c>
      <c r="DO3" s="306">
        <v>0</v>
      </c>
      <c r="DP3" s="306">
        <v>0</v>
      </c>
      <c r="DQ3" s="306">
        <v>0</v>
      </c>
      <c r="DR3" s="306">
        <v>0</v>
      </c>
    </row>
    <row r="4" spans="1:122">
      <c r="A4" s="304" t="s">
        <v>708</v>
      </c>
      <c r="B4" s="306">
        <v>1</v>
      </c>
      <c r="BI4" s="304" t="s">
        <v>643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O4" s="304" t="s">
        <v>643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  <c r="DJ4" s="306">
        <v>0</v>
      </c>
      <c r="DK4" s="306">
        <v>0</v>
      </c>
      <c r="DL4" s="306">
        <v>0</v>
      </c>
      <c r="DM4" s="306">
        <v>0</v>
      </c>
      <c r="DN4" s="306">
        <v>0</v>
      </c>
      <c r="DO4" s="306">
        <v>0</v>
      </c>
      <c r="DP4" s="306">
        <v>0</v>
      </c>
      <c r="DQ4" s="306">
        <v>0</v>
      </c>
      <c r="DR4" s="306">
        <v>0</v>
      </c>
    </row>
    <row r="5" spans="1:122">
      <c r="A5" s="304" t="s">
        <v>643</v>
      </c>
      <c r="B5" s="306">
        <v>1</v>
      </c>
      <c r="BI5" s="304" t="s">
        <v>644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O5" s="304" t="s">
        <v>644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  <c r="DJ5" s="306">
        <v>0</v>
      </c>
      <c r="DK5" s="306">
        <v>0</v>
      </c>
      <c r="DL5" s="306">
        <v>0</v>
      </c>
      <c r="DM5" s="306">
        <v>0</v>
      </c>
      <c r="DN5" s="306">
        <v>0</v>
      </c>
      <c r="DO5" s="306">
        <v>0</v>
      </c>
      <c r="DP5" s="306">
        <v>0</v>
      </c>
      <c r="DQ5" s="306">
        <v>0</v>
      </c>
      <c r="DR5" s="306">
        <v>0</v>
      </c>
    </row>
    <row r="6" spans="1:122">
      <c r="A6" s="304" t="s">
        <v>764</v>
      </c>
      <c r="B6" s="306">
        <v>1</v>
      </c>
      <c r="BI6" s="304" t="s">
        <v>645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O6" s="304" t="s">
        <v>645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  <c r="DJ6" s="306">
        <v>0</v>
      </c>
      <c r="DK6" s="306">
        <v>0</v>
      </c>
      <c r="DL6" s="306">
        <v>0</v>
      </c>
      <c r="DM6" s="306">
        <v>0</v>
      </c>
      <c r="DN6" s="306">
        <v>0</v>
      </c>
      <c r="DO6" s="306">
        <v>0</v>
      </c>
      <c r="DP6" s="306">
        <v>0</v>
      </c>
      <c r="DQ6" s="306">
        <v>0</v>
      </c>
      <c r="DR6" s="306">
        <v>0</v>
      </c>
    </row>
    <row r="7" spans="1:122">
      <c r="A7" s="304" t="s">
        <v>765</v>
      </c>
      <c r="B7" s="306">
        <v>1</v>
      </c>
      <c r="BI7" s="304" t="s">
        <v>646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O7" s="304" t="s">
        <v>646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  <c r="DJ7" s="306">
        <v>0</v>
      </c>
      <c r="DK7" s="306">
        <v>0</v>
      </c>
      <c r="DL7" s="306">
        <v>0</v>
      </c>
      <c r="DM7" s="306">
        <v>0</v>
      </c>
      <c r="DN7" s="306">
        <v>0</v>
      </c>
      <c r="DO7" s="306">
        <v>0</v>
      </c>
      <c r="DP7" s="306">
        <v>0</v>
      </c>
      <c r="DQ7" s="306">
        <v>0</v>
      </c>
      <c r="DR7" s="306">
        <v>0</v>
      </c>
    </row>
    <row r="8" spans="1:122">
      <c r="A8" s="304" t="s">
        <v>766</v>
      </c>
      <c r="B8" s="306">
        <v>1</v>
      </c>
      <c r="BI8" s="304" t="s">
        <v>647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  <c r="BV8" s="306">
        <v>0</v>
      </c>
      <c r="BW8" s="306">
        <v>0</v>
      </c>
      <c r="BX8" s="306">
        <v>0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0</v>
      </c>
      <c r="CI8" s="306">
        <v>0</v>
      </c>
      <c r="CJ8" s="306">
        <v>0</v>
      </c>
      <c r="CK8" s="306">
        <v>0</v>
      </c>
      <c r="CL8" s="306">
        <v>0</v>
      </c>
      <c r="CO8" s="304" t="s">
        <v>647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0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  <c r="DJ8" s="306">
        <v>0</v>
      </c>
      <c r="DK8" s="306">
        <v>0</v>
      </c>
      <c r="DL8" s="306">
        <v>0</v>
      </c>
      <c r="DM8" s="306">
        <v>0</v>
      </c>
      <c r="DN8" s="306">
        <v>0</v>
      </c>
      <c r="DO8" s="306">
        <v>0</v>
      </c>
      <c r="DP8" s="306">
        <v>0</v>
      </c>
      <c r="DQ8" s="306">
        <v>0</v>
      </c>
      <c r="DR8" s="306">
        <v>0</v>
      </c>
    </row>
    <row r="9" spans="1:122">
      <c r="A9" s="304" t="s">
        <v>644</v>
      </c>
      <c r="B9" s="306">
        <v>1</v>
      </c>
      <c r="BI9" s="304" t="s">
        <v>648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O9" s="304" t="s">
        <v>648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  <c r="DJ9" s="306">
        <v>0</v>
      </c>
      <c r="DK9" s="306">
        <v>0</v>
      </c>
      <c r="DL9" s="306">
        <v>0</v>
      </c>
      <c r="DM9" s="306">
        <v>0</v>
      </c>
      <c r="DN9" s="306">
        <v>0</v>
      </c>
      <c r="DO9" s="306">
        <v>0</v>
      </c>
      <c r="DP9" s="306">
        <v>0</v>
      </c>
      <c r="DQ9" s="306">
        <v>0</v>
      </c>
      <c r="DR9" s="306">
        <v>0</v>
      </c>
    </row>
    <row r="10" spans="1:122">
      <c r="A10" s="304" t="s">
        <v>645</v>
      </c>
      <c r="B10" s="306">
        <v>1</v>
      </c>
      <c r="BI10" s="304" t="s">
        <v>649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O10" s="304" t="s">
        <v>649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  <c r="DJ10" s="306">
        <v>0</v>
      </c>
      <c r="DK10" s="306">
        <v>0</v>
      </c>
      <c r="DL10" s="306">
        <v>0</v>
      </c>
      <c r="DM10" s="306">
        <v>0</v>
      </c>
      <c r="DN10" s="306">
        <v>0</v>
      </c>
      <c r="DO10" s="306">
        <v>0</v>
      </c>
      <c r="DP10" s="306">
        <v>0</v>
      </c>
      <c r="DQ10" s="306">
        <v>0</v>
      </c>
      <c r="DR10" s="306">
        <v>0</v>
      </c>
    </row>
    <row r="11" spans="1:122">
      <c r="A11" s="304" t="s">
        <v>767</v>
      </c>
      <c r="B11" s="306">
        <v>1</v>
      </c>
      <c r="BI11" s="304" t="s">
        <v>650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O11" s="304" t="s">
        <v>650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  <c r="DJ11" s="306">
        <v>0</v>
      </c>
      <c r="DK11" s="306">
        <v>0</v>
      </c>
      <c r="DL11" s="306">
        <v>0</v>
      </c>
      <c r="DM11" s="306">
        <v>0</v>
      </c>
      <c r="DN11" s="306">
        <v>0</v>
      </c>
      <c r="DO11" s="306">
        <v>0</v>
      </c>
      <c r="DP11" s="306">
        <v>0</v>
      </c>
      <c r="DQ11" s="306">
        <v>0</v>
      </c>
      <c r="DR11" s="306">
        <v>0</v>
      </c>
    </row>
    <row r="12" spans="1:122">
      <c r="A12" s="304" t="s">
        <v>646</v>
      </c>
      <c r="B12" s="306">
        <v>1</v>
      </c>
      <c r="BI12" s="304" t="s">
        <v>709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O12" s="304" t="s">
        <v>709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  <c r="DJ12" s="306">
        <v>0</v>
      </c>
      <c r="DK12" s="306">
        <v>0</v>
      </c>
      <c r="DL12" s="306">
        <v>0</v>
      </c>
      <c r="DM12" s="306">
        <v>0</v>
      </c>
      <c r="DN12" s="306">
        <v>0</v>
      </c>
      <c r="DO12" s="306">
        <v>0</v>
      </c>
      <c r="DP12" s="306">
        <v>0</v>
      </c>
      <c r="DQ12" s="306">
        <v>0</v>
      </c>
      <c r="DR12" s="306">
        <v>0</v>
      </c>
    </row>
    <row r="13" spans="1:122">
      <c r="A13" s="304" t="s">
        <v>647</v>
      </c>
      <c r="B13" s="306">
        <v>1</v>
      </c>
      <c r="BI13" s="304" t="s">
        <v>651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O13" s="304" t="s">
        <v>651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  <c r="DJ13" s="306">
        <v>0</v>
      </c>
      <c r="DK13" s="306">
        <v>0</v>
      </c>
      <c r="DL13" s="306">
        <v>0</v>
      </c>
      <c r="DM13" s="306">
        <v>0</v>
      </c>
      <c r="DN13" s="306">
        <v>0</v>
      </c>
      <c r="DO13" s="306">
        <v>0</v>
      </c>
      <c r="DP13" s="306">
        <v>0</v>
      </c>
      <c r="DQ13" s="306">
        <v>0</v>
      </c>
      <c r="DR13" s="306">
        <v>0</v>
      </c>
    </row>
    <row r="14" spans="1:122">
      <c r="A14" s="304" t="s">
        <v>648</v>
      </c>
      <c r="B14" s="306">
        <v>1</v>
      </c>
      <c r="BI14" s="304" t="s">
        <v>652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O14" s="304" t="s">
        <v>652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  <c r="DJ14" s="306">
        <v>0</v>
      </c>
      <c r="DK14" s="306">
        <v>0</v>
      </c>
      <c r="DL14" s="306">
        <v>0</v>
      </c>
      <c r="DM14" s="306">
        <v>0</v>
      </c>
      <c r="DN14" s="306">
        <v>0</v>
      </c>
      <c r="DO14" s="306">
        <v>0</v>
      </c>
      <c r="DP14" s="306">
        <v>0</v>
      </c>
      <c r="DQ14" s="306">
        <v>0</v>
      </c>
      <c r="DR14" s="306">
        <v>0</v>
      </c>
    </row>
    <row r="15" spans="1:122">
      <c r="A15" s="304" t="s">
        <v>649</v>
      </c>
      <c r="B15" s="306">
        <v>1</v>
      </c>
      <c r="BI15" s="304" t="s">
        <v>653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O15" s="304" t="s">
        <v>653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  <c r="DJ15" s="306">
        <v>0</v>
      </c>
      <c r="DK15" s="306">
        <v>0</v>
      </c>
      <c r="DL15" s="306">
        <v>0</v>
      </c>
      <c r="DM15" s="306">
        <v>0</v>
      </c>
      <c r="DN15" s="306">
        <v>0</v>
      </c>
      <c r="DO15" s="306">
        <v>0</v>
      </c>
      <c r="DP15" s="306">
        <v>0</v>
      </c>
      <c r="DQ15" s="306">
        <v>0</v>
      </c>
      <c r="DR15" s="306">
        <v>0</v>
      </c>
    </row>
    <row r="16" spans="1:122">
      <c r="A16" s="304" t="s">
        <v>768</v>
      </c>
      <c r="B16" s="306">
        <v>1</v>
      </c>
      <c r="BI16" s="304" t="s">
        <v>654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O16" s="304" t="s">
        <v>654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  <c r="DJ16" s="306">
        <v>0</v>
      </c>
      <c r="DK16" s="306">
        <v>0</v>
      </c>
      <c r="DL16" s="306">
        <v>0</v>
      </c>
      <c r="DM16" s="306">
        <v>0</v>
      </c>
      <c r="DN16" s="306">
        <v>0</v>
      </c>
      <c r="DO16" s="306">
        <v>0</v>
      </c>
      <c r="DP16" s="306">
        <v>0</v>
      </c>
      <c r="DQ16" s="306">
        <v>0</v>
      </c>
      <c r="DR16" s="306">
        <v>0</v>
      </c>
    </row>
    <row r="17" spans="1:122">
      <c r="A17" s="304" t="s">
        <v>769</v>
      </c>
      <c r="B17" s="306">
        <v>1</v>
      </c>
      <c r="BI17" s="304" t="s">
        <v>655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O17" s="304" t="s">
        <v>655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  <c r="DJ17" s="306">
        <v>0</v>
      </c>
      <c r="DK17" s="306">
        <v>0</v>
      </c>
      <c r="DL17" s="306">
        <v>0</v>
      </c>
      <c r="DM17" s="306">
        <v>0</v>
      </c>
      <c r="DN17" s="306">
        <v>0</v>
      </c>
      <c r="DO17" s="306">
        <v>0</v>
      </c>
      <c r="DP17" s="306">
        <v>0</v>
      </c>
      <c r="DQ17" s="306">
        <v>0</v>
      </c>
      <c r="DR17" s="306">
        <v>0</v>
      </c>
    </row>
    <row r="18" spans="1:122">
      <c r="A18" s="304" t="s">
        <v>650</v>
      </c>
      <c r="B18" s="306">
        <v>1</v>
      </c>
      <c r="BI18" s="304" t="s">
        <v>710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O18" s="304" t="s">
        <v>710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  <c r="DJ18" s="306">
        <v>0</v>
      </c>
      <c r="DK18" s="306">
        <v>0</v>
      </c>
      <c r="DL18" s="306">
        <v>0</v>
      </c>
      <c r="DM18" s="306">
        <v>0</v>
      </c>
      <c r="DN18" s="306">
        <v>0</v>
      </c>
      <c r="DO18" s="306">
        <v>0</v>
      </c>
      <c r="DP18" s="306">
        <v>0</v>
      </c>
      <c r="DQ18" s="306">
        <v>0</v>
      </c>
      <c r="DR18" s="306">
        <v>0</v>
      </c>
    </row>
    <row r="19" spans="1:122">
      <c r="A19" s="304" t="s">
        <v>770</v>
      </c>
      <c r="B19" s="306">
        <v>1</v>
      </c>
      <c r="BI19" s="304" t="s">
        <v>711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O19" s="304" t="s">
        <v>711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  <c r="DJ19" s="306">
        <v>0</v>
      </c>
      <c r="DK19" s="306">
        <v>0</v>
      </c>
      <c r="DL19" s="306">
        <v>0</v>
      </c>
      <c r="DM19" s="306">
        <v>0</v>
      </c>
      <c r="DN19" s="306">
        <v>0</v>
      </c>
      <c r="DO19" s="306">
        <v>0</v>
      </c>
      <c r="DP19" s="306">
        <v>0</v>
      </c>
      <c r="DQ19" s="306">
        <v>0</v>
      </c>
      <c r="DR19" s="306">
        <v>0</v>
      </c>
    </row>
    <row r="20" spans="1:122">
      <c r="A20" s="304" t="s">
        <v>709</v>
      </c>
      <c r="B20" s="306">
        <v>1</v>
      </c>
      <c r="BI20" s="304" t="s">
        <v>656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5820.7321553561396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  <c r="BV20" s="306">
        <v>0</v>
      </c>
      <c r="BW20" s="306">
        <v>0</v>
      </c>
      <c r="BX20" s="306">
        <v>0</v>
      </c>
      <c r="BY20" s="306">
        <v>0</v>
      </c>
      <c r="BZ20" s="306">
        <v>67354.020465940004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3155.63573488975</v>
      </c>
      <c r="CK20" s="306">
        <v>0</v>
      </c>
      <c r="CL20" s="306">
        <v>0</v>
      </c>
      <c r="CO20" s="304" t="s">
        <v>656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1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1</v>
      </c>
      <c r="DG20" s="306">
        <v>0</v>
      </c>
      <c r="DH20" s="306">
        <v>0</v>
      </c>
      <c r="DI20" s="306">
        <v>0</v>
      </c>
      <c r="DJ20" s="306">
        <v>0</v>
      </c>
      <c r="DK20" s="306">
        <v>0</v>
      </c>
      <c r="DL20" s="306">
        <v>0</v>
      </c>
      <c r="DM20" s="306">
        <v>0</v>
      </c>
      <c r="DN20" s="306">
        <v>0</v>
      </c>
      <c r="DO20" s="306">
        <v>0</v>
      </c>
      <c r="DP20" s="306">
        <v>1</v>
      </c>
      <c r="DQ20" s="306">
        <v>0</v>
      </c>
      <c r="DR20" s="306">
        <v>0</v>
      </c>
    </row>
    <row r="21" spans="1:122">
      <c r="A21" s="304" t="s">
        <v>651</v>
      </c>
      <c r="B21" s="306">
        <v>1</v>
      </c>
      <c r="BI21" s="304" t="s">
        <v>657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O21" s="304" t="s">
        <v>657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  <c r="DJ21" s="306">
        <v>0</v>
      </c>
      <c r="DK21" s="306">
        <v>0</v>
      </c>
      <c r="DL21" s="306">
        <v>0</v>
      </c>
      <c r="DM21" s="306">
        <v>0</v>
      </c>
      <c r="DN21" s="306">
        <v>0</v>
      </c>
      <c r="DO21" s="306">
        <v>0</v>
      </c>
      <c r="DP21" s="306">
        <v>0</v>
      </c>
      <c r="DQ21" s="306">
        <v>0</v>
      </c>
      <c r="DR21" s="306">
        <v>0</v>
      </c>
    </row>
    <row r="22" spans="1:122">
      <c r="A22" s="304" t="s">
        <v>652</v>
      </c>
      <c r="B22" s="306">
        <v>1</v>
      </c>
      <c r="BI22" s="304" t="s">
        <v>658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O22" s="304" t="s">
        <v>658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  <c r="DJ22" s="306">
        <v>0</v>
      </c>
      <c r="DK22" s="306">
        <v>0</v>
      </c>
      <c r="DL22" s="306">
        <v>0</v>
      </c>
      <c r="DM22" s="306">
        <v>0</v>
      </c>
      <c r="DN22" s="306">
        <v>0</v>
      </c>
      <c r="DO22" s="306">
        <v>0</v>
      </c>
      <c r="DP22" s="306">
        <v>0</v>
      </c>
      <c r="DQ22" s="306">
        <v>0</v>
      </c>
      <c r="DR22" s="306">
        <v>0</v>
      </c>
    </row>
    <row r="23" spans="1:122">
      <c r="A23" s="304" t="s">
        <v>653</v>
      </c>
      <c r="B23" s="306">
        <v>1</v>
      </c>
      <c r="BI23" s="304" t="s">
        <v>712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O23" s="304" t="s">
        <v>712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  <c r="DJ23" s="306">
        <v>0</v>
      </c>
      <c r="DK23" s="306">
        <v>0</v>
      </c>
      <c r="DL23" s="306">
        <v>0</v>
      </c>
      <c r="DM23" s="306">
        <v>0</v>
      </c>
      <c r="DN23" s="306">
        <v>0</v>
      </c>
      <c r="DO23" s="306">
        <v>0</v>
      </c>
      <c r="DP23" s="306">
        <v>0</v>
      </c>
      <c r="DQ23" s="306">
        <v>0</v>
      </c>
      <c r="DR23" s="306">
        <v>0</v>
      </c>
    </row>
    <row r="24" spans="1:122">
      <c r="A24" s="304" t="s">
        <v>654</v>
      </c>
      <c r="B24" s="306">
        <v>1</v>
      </c>
      <c r="BI24" s="304" t="s">
        <v>713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O24" s="304" t="s">
        <v>713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  <c r="DJ24" s="306">
        <v>0</v>
      </c>
      <c r="DK24" s="306">
        <v>0</v>
      </c>
      <c r="DL24" s="306">
        <v>0</v>
      </c>
      <c r="DM24" s="306">
        <v>0</v>
      </c>
      <c r="DN24" s="306">
        <v>0</v>
      </c>
      <c r="DO24" s="306">
        <v>0</v>
      </c>
      <c r="DP24" s="306">
        <v>0</v>
      </c>
      <c r="DQ24" s="306">
        <v>0</v>
      </c>
      <c r="DR24" s="306">
        <v>0</v>
      </c>
    </row>
    <row r="25" spans="1:122">
      <c r="A25" s="304" t="s">
        <v>655</v>
      </c>
      <c r="B25" s="306">
        <v>1</v>
      </c>
      <c r="BI25" s="304" t="s">
        <v>659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O25" s="304" t="s">
        <v>659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  <c r="DJ25" s="306">
        <v>0</v>
      </c>
      <c r="DK25" s="306">
        <v>0</v>
      </c>
      <c r="DL25" s="306">
        <v>0</v>
      </c>
      <c r="DM25" s="306">
        <v>0</v>
      </c>
      <c r="DN25" s="306">
        <v>0</v>
      </c>
      <c r="DO25" s="306">
        <v>0</v>
      </c>
      <c r="DP25" s="306">
        <v>0</v>
      </c>
      <c r="DQ25" s="306">
        <v>0</v>
      </c>
      <c r="DR25" s="306">
        <v>0</v>
      </c>
    </row>
    <row r="26" spans="1:122">
      <c r="A26" s="304" t="s">
        <v>710</v>
      </c>
      <c r="B26" s="306">
        <v>1</v>
      </c>
      <c r="BI26" s="304" t="s">
        <v>660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O26" s="304" t="s">
        <v>660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  <c r="DJ26" s="306">
        <v>0</v>
      </c>
      <c r="DK26" s="306">
        <v>0</v>
      </c>
      <c r="DL26" s="306">
        <v>0</v>
      </c>
      <c r="DM26" s="306">
        <v>0</v>
      </c>
      <c r="DN26" s="306">
        <v>0</v>
      </c>
      <c r="DO26" s="306">
        <v>0</v>
      </c>
      <c r="DP26" s="306">
        <v>0</v>
      </c>
      <c r="DQ26" s="306">
        <v>0</v>
      </c>
      <c r="DR26" s="306">
        <v>0</v>
      </c>
    </row>
    <row r="27" spans="1:122">
      <c r="A27" s="304" t="s">
        <v>711</v>
      </c>
      <c r="B27" s="306">
        <v>1</v>
      </c>
      <c r="BI27" s="304" t="s">
        <v>661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O27" s="304" t="s">
        <v>661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  <c r="DJ27" s="306">
        <v>0</v>
      </c>
      <c r="DK27" s="306">
        <v>0</v>
      </c>
      <c r="DL27" s="306">
        <v>0</v>
      </c>
      <c r="DM27" s="306">
        <v>0</v>
      </c>
      <c r="DN27" s="306">
        <v>0</v>
      </c>
      <c r="DO27" s="306">
        <v>0</v>
      </c>
      <c r="DP27" s="306">
        <v>0</v>
      </c>
      <c r="DQ27" s="306">
        <v>0</v>
      </c>
      <c r="DR27" s="306">
        <v>0</v>
      </c>
    </row>
    <row r="28" spans="1:122">
      <c r="A28" s="304" t="s">
        <v>656</v>
      </c>
      <c r="B28" s="306">
        <v>2</v>
      </c>
      <c r="BI28" s="304" t="s">
        <v>662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O28" s="304" t="s">
        <v>662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  <c r="DJ28" s="306">
        <v>0</v>
      </c>
      <c r="DK28" s="306">
        <v>0</v>
      </c>
      <c r="DL28" s="306">
        <v>0</v>
      </c>
      <c r="DM28" s="306">
        <v>0</v>
      </c>
      <c r="DN28" s="306">
        <v>0</v>
      </c>
      <c r="DO28" s="306">
        <v>0</v>
      </c>
      <c r="DP28" s="306">
        <v>0</v>
      </c>
      <c r="DQ28" s="306">
        <v>0</v>
      </c>
      <c r="DR28" s="306">
        <v>0</v>
      </c>
    </row>
    <row r="29" spans="1:122">
      <c r="A29" s="304" t="s">
        <v>657</v>
      </c>
      <c r="B29" s="306">
        <v>2</v>
      </c>
      <c r="BI29" s="304" t="s">
        <v>663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O29" s="304" t="s">
        <v>663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  <c r="DJ29" s="306">
        <v>0</v>
      </c>
      <c r="DK29" s="306">
        <v>0</v>
      </c>
      <c r="DL29" s="306">
        <v>0</v>
      </c>
      <c r="DM29" s="306">
        <v>0</v>
      </c>
      <c r="DN29" s="306">
        <v>0</v>
      </c>
      <c r="DO29" s="306">
        <v>0</v>
      </c>
      <c r="DP29" s="306">
        <v>0</v>
      </c>
      <c r="DQ29" s="306">
        <v>0</v>
      </c>
      <c r="DR29" s="306">
        <v>0</v>
      </c>
    </row>
    <row r="30" spans="1:122">
      <c r="A30" s="304" t="s">
        <v>771</v>
      </c>
      <c r="B30" s="306">
        <v>1</v>
      </c>
      <c r="BI30" s="304" t="s">
        <v>664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O30" s="304" t="s">
        <v>664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  <c r="DJ30" s="306">
        <v>0</v>
      </c>
      <c r="DK30" s="306">
        <v>0</v>
      </c>
      <c r="DL30" s="306">
        <v>0</v>
      </c>
      <c r="DM30" s="306">
        <v>0</v>
      </c>
      <c r="DN30" s="306">
        <v>0</v>
      </c>
      <c r="DO30" s="306">
        <v>0</v>
      </c>
      <c r="DP30" s="306">
        <v>0</v>
      </c>
      <c r="DQ30" s="306">
        <v>0</v>
      </c>
      <c r="DR30" s="306">
        <v>0</v>
      </c>
    </row>
    <row r="31" spans="1:122">
      <c r="A31" s="304" t="s">
        <v>658</v>
      </c>
      <c r="B31" s="306">
        <v>2</v>
      </c>
      <c r="BI31" s="304" t="s">
        <v>665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  <c r="BV31" s="306">
        <v>0</v>
      </c>
      <c r="BW31" s="306">
        <v>0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O31" s="304" t="s">
        <v>665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  <c r="DJ31" s="306">
        <v>0</v>
      </c>
      <c r="DK31" s="306">
        <v>0</v>
      </c>
      <c r="DL31" s="306">
        <v>0</v>
      </c>
      <c r="DM31" s="306">
        <v>0</v>
      </c>
      <c r="DN31" s="306">
        <v>0</v>
      </c>
      <c r="DO31" s="306">
        <v>0</v>
      </c>
      <c r="DP31" s="306">
        <v>0</v>
      </c>
      <c r="DQ31" s="306">
        <v>0</v>
      </c>
      <c r="DR31" s="306">
        <v>0</v>
      </c>
    </row>
    <row r="32" spans="1:122">
      <c r="A32" s="304" t="s">
        <v>712</v>
      </c>
      <c r="B32" s="306">
        <v>1</v>
      </c>
      <c r="BI32" s="304" t="s">
        <v>666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O32" s="304" t="s">
        <v>666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  <c r="DJ32" s="306">
        <v>0</v>
      </c>
      <c r="DK32" s="306">
        <v>0</v>
      </c>
      <c r="DL32" s="306">
        <v>0</v>
      </c>
      <c r="DM32" s="306">
        <v>0</v>
      </c>
      <c r="DN32" s="306">
        <v>0</v>
      </c>
      <c r="DO32" s="306">
        <v>0</v>
      </c>
      <c r="DP32" s="306">
        <v>0</v>
      </c>
      <c r="DQ32" s="306">
        <v>0</v>
      </c>
      <c r="DR32" s="306">
        <v>0</v>
      </c>
    </row>
    <row r="33" spans="1:122">
      <c r="A33" s="304" t="s">
        <v>713</v>
      </c>
      <c r="B33" s="306">
        <v>1</v>
      </c>
      <c r="BI33" s="304" t="s">
        <v>667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O33" s="304" t="s">
        <v>667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  <c r="DJ33" s="306">
        <v>0</v>
      </c>
      <c r="DK33" s="306">
        <v>0</v>
      </c>
      <c r="DL33" s="306">
        <v>0</v>
      </c>
      <c r="DM33" s="306">
        <v>0</v>
      </c>
      <c r="DN33" s="306">
        <v>0</v>
      </c>
      <c r="DO33" s="306">
        <v>0</v>
      </c>
      <c r="DP33" s="306">
        <v>0</v>
      </c>
      <c r="DQ33" s="306">
        <v>0</v>
      </c>
      <c r="DR33" s="306">
        <v>0</v>
      </c>
    </row>
    <row r="34" spans="1:122">
      <c r="A34" s="304" t="s">
        <v>659</v>
      </c>
      <c r="B34" s="306">
        <v>1</v>
      </c>
      <c r="BI34" s="304" t="s">
        <v>668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O34" s="304" t="s">
        <v>668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  <c r="DJ34" s="306">
        <v>0</v>
      </c>
      <c r="DK34" s="306">
        <v>0</v>
      </c>
      <c r="DL34" s="306">
        <v>0</v>
      </c>
      <c r="DM34" s="306">
        <v>0</v>
      </c>
      <c r="DN34" s="306">
        <v>0</v>
      </c>
      <c r="DO34" s="306">
        <v>0</v>
      </c>
      <c r="DP34" s="306">
        <v>0</v>
      </c>
      <c r="DQ34" s="306">
        <v>0</v>
      </c>
      <c r="DR34" s="306">
        <v>0</v>
      </c>
    </row>
    <row r="35" spans="1:122">
      <c r="A35" s="304" t="s">
        <v>660</v>
      </c>
      <c r="B35" s="306">
        <v>1</v>
      </c>
      <c r="BI35" s="304" t="s">
        <v>669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O35" s="304" t="s">
        <v>669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  <c r="DJ35" s="306">
        <v>0</v>
      </c>
      <c r="DK35" s="306">
        <v>0</v>
      </c>
      <c r="DL35" s="306">
        <v>0</v>
      </c>
      <c r="DM35" s="306">
        <v>0</v>
      </c>
      <c r="DN35" s="306">
        <v>0</v>
      </c>
      <c r="DO35" s="306">
        <v>0</v>
      </c>
      <c r="DP35" s="306">
        <v>0</v>
      </c>
      <c r="DQ35" s="306">
        <v>0</v>
      </c>
      <c r="DR35" s="306">
        <v>0</v>
      </c>
    </row>
    <row r="36" spans="1:122">
      <c r="A36" s="304" t="s">
        <v>661</v>
      </c>
      <c r="B36" s="306">
        <v>1</v>
      </c>
      <c r="BI36" s="304" t="s">
        <v>670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O36" s="304" t="s">
        <v>670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0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  <c r="DJ36" s="306">
        <v>0</v>
      </c>
      <c r="DK36" s="306">
        <v>0</v>
      </c>
      <c r="DL36" s="306">
        <v>0</v>
      </c>
      <c r="DM36" s="306">
        <v>0</v>
      </c>
      <c r="DN36" s="306">
        <v>0</v>
      </c>
      <c r="DO36" s="306">
        <v>0</v>
      </c>
      <c r="DP36" s="306">
        <v>0</v>
      </c>
      <c r="DQ36" s="306">
        <v>0</v>
      </c>
      <c r="DR36" s="306">
        <v>0</v>
      </c>
    </row>
    <row r="37" spans="1:122">
      <c r="A37" s="304" t="s">
        <v>662</v>
      </c>
      <c r="B37" s="306">
        <v>1</v>
      </c>
      <c r="BI37" s="304" t="s">
        <v>671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O37" s="304" t="s">
        <v>671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  <c r="DJ37" s="306">
        <v>0</v>
      </c>
      <c r="DK37" s="306">
        <v>0</v>
      </c>
      <c r="DL37" s="306">
        <v>0</v>
      </c>
      <c r="DM37" s="306">
        <v>0</v>
      </c>
      <c r="DN37" s="306">
        <v>0</v>
      </c>
      <c r="DO37" s="306">
        <v>0</v>
      </c>
      <c r="DP37" s="306">
        <v>0</v>
      </c>
      <c r="DQ37" s="306">
        <v>0</v>
      </c>
      <c r="DR37" s="306">
        <v>0</v>
      </c>
    </row>
    <row r="38" spans="1:122">
      <c r="A38" s="304" t="s">
        <v>663</v>
      </c>
      <c r="B38" s="306">
        <v>1</v>
      </c>
      <c r="BI38" s="304" t="s">
        <v>714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S38" s="306">
        <v>0</v>
      </c>
      <c r="BT38" s="306">
        <v>0</v>
      </c>
      <c r="BU38" s="306">
        <v>0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O38" s="304" t="s">
        <v>714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  <c r="DJ38" s="306">
        <v>0</v>
      </c>
      <c r="DK38" s="306">
        <v>0</v>
      </c>
      <c r="DL38" s="306">
        <v>0</v>
      </c>
      <c r="DM38" s="306">
        <v>0</v>
      </c>
      <c r="DN38" s="306">
        <v>0</v>
      </c>
      <c r="DO38" s="306">
        <v>0</v>
      </c>
      <c r="DP38" s="306">
        <v>0</v>
      </c>
      <c r="DQ38" s="306">
        <v>0</v>
      </c>
      <c r="DR38" s="306">
        <v>0</v>
      </c>
    </row>
    <row r="39" spans="1:122">
      <c r="A39" s="304" t="s">
        <v>772</v>
      </c>
      <c r="B39" s="306">
        <v>1</v>
      </c>
      <c r="BI39" s="304" t="s">
        <v>715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S39" s="306">
        <v>0</v>
      </c>
      <c r="BT39" s="306">
        <v>0</v>
      </c>
      <c r="BU39" s="306">
        <v>0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O39" s="304" t="s">
        <v>715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  <c r="DJ39" s="306">
        <v>0</v>
      </c>
      <c r="DK39" s="306">
        <v>0</v>
      </c>
      <c r="DL39" s="306">
        <v>0</v>
      </c>
      <c r="DM39" s="306">
        <v>0</v>
      </c>
      <c r="DN39" s="306">
        <v>0</v>
      </c>
      <c r="DO39" s="306">
        <v>0</v>
      </c>
      <c r="DP39" s="306">
        <v>0</v>
      </c>
      <c r="DQ39" s="306">
        <v>0</v>
      </c>
      <c r="DR39" s="306">
        <v>0</v>
      </c>
    </row>
    <row r="40" spans="1:122">
      <c r="A40" s="304" t="s">
        <v>664</v>
      </c>
      <c r="B40" s="306">
        <v>1</v>
      </c>
      <c r="BI40" s="304" t="s">
        <v>716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S40" s="306">
        <v>0</v>
      </c>
      <c r="BT40" s="306">
        <v>0</v>
      </c>
      <c r="BU40" s="306">
        <v>0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O40" s="304" t="s">
        <v>716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  <c r="DJ40" s="306">
        <v>0</v>
      </c>
      <c r="DK40" s="306">
        <v>0</v>
      </c>
      <c r="DL40" s="306">
        <v>0</v>
      </c>
      <c r="DM40" s="306">
        <v>0</v>
      </c>
      <c r="DN40" s="306">
        <v>0</v>
      </c>
      <c r="DO40" s="306">
        <v>0</v>
      </c>
      <c r="DP40" s="306">
        <v>0</v>
      </c>
      <c r="DQ40" s="306">
        <v>0</v>
      </c>
      <c r="DR40" s="306">
        <v>0</v>
      </c>
    </row>
    <row r="41" spans="1:122">
      <c r="A41" s="304" t="s">
        <v>665</v>
      </c>
      <c r="B41" s="306">
        <v>1</v>
      </c>
      <c r="BI41" s="304" t="s">
        <v>717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S41" s="306">
        <v>0</v>
      </c>
      <c r="BT41" s="306">
        <v>0</v>
      </c>
      <c r="BU41" s="306">
        <v>0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O41" s="304" t="s">
        <v>717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  <c r="DJ41" s="306">
        <v>0</v>
      </c>
      <c r="DK41" s="306">
        <v>0</v>
      </c>
      <c r="DL41" s="306">
        <v>0</v>
      </c>
      <c r="DM41" s="306">
        <v>0</v>
      </c>
      <c r="DN41" s="306">
        <v>0</v>
      </c>
      <c r="DO41" s="306">
        <v>0</v>
      </c>
      <c r="DP41" s="306">
        <v>0</v>
      </c>
      <c r="DQ41" s="306">
        <v>0</v>
      </c>
      <c r="DR41" s="306">
        <v>0</v>
      </c>
    </row>
    <row r="42" spans="1:122">
      <c r="A42" s="304" t="s">
        <v>666</v>
      </c>
      <c r="B42" s="306">
        <v>1</v>
      </c>
      <c r="BI42" s="304" t="s">
        <v>718</v>
      </c>
      <c r="BJ42" s="306">
        <v>0</v>
      </c>
      <c r="BK42" s="306">
        <v>0</v>
      </c>
      <c r="BL42" s="306">
        <v>0</v>
      </c>
      <c r="BM42" s="306">
        <v>0</v>
      </c>
      <c r="BN42" s="306">
        <v>0</v>
      </c>
      <c r="BO42" s="306">
        <v>0</v>
      </c>
      <c r="BP42" s="306">
        <v>0</v>
      </c>
      <c r="BQ42" s="306">
        <v>0</v>
      </c>
      <c r="BR42" s="306">
        <v>0</v>
      </c>
      <c r="BS42" s="306">
        <v>0</v>
      </c>
      <c r="BT42" s="306">
        <v>0</v>
      </c>
      <c r="BU42" s="306">
        <v>0</v>
      </c>
      <c r="BV42" s="306">
        <v>0</v>
      </c>
      <c r="BW42" s="306">
        <v>0</v>
      </c>
      <c r="BX42" s="306">
        <v>0</v>
      </c>
      <c r="BY42" s="306">
        <v>0</v>
      </c>
      <c r="BZ42" s="306">
        <v>0</v>
      </c>
      <c r="CA42" s="306">
        <v>0</v>
      </c>
      <c r="CB42" s="306">
        <v>0</v>
      </c>
      <c r="CC42" s="306">
        <v>0</v>
      </c>
      <c r="CD42" s="306">
        <v>0</v>
      </c>
      <c r="CE42" s="306">
        <v>0</v>
      </c>
      <c r="CF42" s="306">
        <v>0</v>
      </c>
      <c r="CG42" s="306">
        <v>0</v>
      </c>
      <c r="CH42" s="306">
        <v>0</v>
      </c>
      <c r="CI42" s="306">
        <v>0</v>
      </c>
      <c r="CJ42" s="306">
        <v>0</v>
      </c>
      <c r="CK42" s="306">
        <v>0</v>
      </c>
      <c r="CL42" s="306">
        <v>0</v>
      </c>
      <c r="CO42" s="304" t="s">
        <v>718</v>
      </c>
      <c r="CP42" s="306">
        <v>0</v>
      </c>
      <c r="CQ42" s="306">
        <v>0</v>
      </c>
      <c r="CR42" s="306">
        <v>0</v>
      </c>
      <c r="CS42" s="306">
        <v>0</v>
      </c>
      <c r="CT42" s="306">
        <v>0</v>
      </c>
      <c r="CU42" s="306">
        <v>0</v>
      </c>
      <c r="CV42" s="306">
        <v>0</v>
      </c>
      <c r="CW42" s="306">
        <v>0</v>
      </c>
      <c r="CX42" s="306">
        <v>0</v>
      </c>
      <c r="CY42" s="306">
        <v>0</v>
      </c>
      <c r="CZ42" s="306">
        <v>0</v>
      </c>
      <c r="DA42" s="306">
        <v>0</v>
      </c>
      <c r="DB42" s="306">
        <v>0</v>
      </c>
      <c r="DC42" s="306">
        <v>0</v>
      </c>
      <c r="DD42" s="306">
        <v>0</v>
      </c>
      <c r="DE42" s="306">
        <v>0</v>
      </c>
      <c r="DF42" s="306">
        <v>0</v>
      </c>
      <c r="DG42" s="306">
        <v>0</v>
      </c>
      <c r="DH42" s="306">
        <v>0</v>
      </c>
      <c r="DI42" s="306">
        <v>0</v>
      </c>
      <c r="DJ42" s="306">
        <v>0</v>
      </c>
      <c r="DK42" s="306">
        <v>0</v>
      </c>
      <c r="DL42" s="306">
        <v>0</v>
      </c>
      <c r="DM42" s="306">
        <v>0</v>
      </c>
      <c r="DN42" s="306">
        <v>0</v>
      </c>
      <c r="DO42" s="306">
        <v>0</v>
      </c>
      <c r="DP42" s="306">
        <v>0</v>
      </c>
      <c r="DQ42" s="306">
        <v>0</v>
      </c>
      <c r="DR42" s="306">
        <v>0</v>
      </c>
    </row>
    <row r="43" spans="1:122">
      <c r="A43" s="304" t="s">
        <v>667</v>
      </c>
      <c r="B43" s="306">
        <v>1</v>
      </c>
      <c r="BI43" s="304" t="s">
        <v>719</v>
      </c>
      <c r="BJ43" s="306">
        <v>0</v>
      </c>
      <c r="BK43" s="306">
        <v>0</v>
      </c>
      <c r="BL43" s="306">
        <v>0</v>
      </c>
      <c r="BM43" s="306">
        <v>0</v>
      </c>
      <c r="BN43" s="306">
        <v>58054.575227689304</v>
      </c>
      <c r="BO43" s="306">
        <v>0</v>
      </c>
      <c r="BP43" s="306">
        <v>0</v>
      </c>
      <c r="BQ43" s="306">
        <v>0</v>
      </c>
      <c r="BR43" s="306">
        <v>0</v>
      </c>
      <c r="BS43" s="306">
        <v>0</v>
      </c>
      <c r="BT43" s="306">
        <v>0</v>
      </c>
      <c r="BU43" s="306">
        <v>0</v>
      </c>
      <c r="BV43" s="306">
        <v>0</v>
      </c>
      <c r="BW43" s="306">
        <v>0</v>
      </c>
      <c r="BX43" s="306">
        <v>0</v>
      </c>
      <c r="BY43" s="306">
        <v>0</v>
      </c>
      <c r="BZ43" s="306">
        <v>0</v>
      </c>
      <c r="CA43" s="306">
        <v>0</v>
      </c>
      <c r="CB43" s="306">
        <v>0</v>
      </c>
      <c r="CC43" s="306">
        <v>0</v>
      </c>
      <c r="CD43" s="306">
        <v>0</v>
      </c>
      <c r="CE43" s="306">
        <v>0</v>
      </c>
      <c r="CF43" s="306">
        <v>0</v>
      </c>
      <c r="CG43" s="306">
        <v>0</v>
      </c>
      <c r="CH43" s="306">
        <v>0</v>
      </c>
      <c r="CI43" s="306">
        <v>0</v>
      </c>
      <c r="CJ43" s="306">
        <v>0</v>
      </c>
      <c r="CK43" s="306">
        <v>0</v>
      </c>
      <c r="CL43" s="306">
        <v>0</v>
      </c>
      <c r="CO43" s="304" t="s">
        <v>719</v>
      </c>
      <c r="CP43" s="306">
        <v>0</v>
      </c>
      <c r="CQ43" s="306">
        <v>0</v>
      </c>
      <c r="CR43" s="306">
        <v>0</v>
      </c>
      <c r="CS43" s="306">
        <v>0</v>
      </c>
      <c r="CT43" s="306">
        <v>0.72465121788954501</v>
      </c>
      <c r="CU43" s="306">
        <v>0</v>
      </c>
      <c r="CV43" s="306">
        <v>0</v>
      </c>
      <c r="CW43" s="306">
        <v>0</v>
      </c>
      <c r="CX43" s="306">
        <v>0</v>
      </c>
      <c r="CY43" s="306">
        <v>0</v>
      </c>
      <c r="CZ43" s="306">
        <v>0</v>
      </c>
      <c r="DA43" s="306">
        <v>0</v>
      </c>
      <c r="DB43" s="306">
        <v>0</v>
      </c>
      <c r="DC43" s="306">
        <v>0</v>
      </c>
      <c r="DD43" s="306">
        <v>0</v>
      </c>
      <c r="DE43" s="306">
        <v>0</v>
      </c>
      <c r="DF43" s="306">
        <v>0</v>
      </c>
      <c r="DG43" s="306">
        <v>0</v>
      </c>
      <c r="DH43" s="306">
        <v>0</v>
      </c>
      <c r="DI43" s="306">
        <v>0</v>
      </c>
      <c r="DJ43" s="306">
        <v>0</v>
      </c>
      <c r="DK43" s="306">
        <v>0</v>
      </c>
      <c r="DL43" s="306">
        <v>0</v>
      </c>
      <c r="DM43" s="306">
        <v>0</v>
      </c>
      <c r="DN43" s="306">
        <v>0</v>
      </c>
      <c r="DO43" s="306">
        <v>0</v>
      </c>
      <c r="DP43" s="306">
        <v>0</v>
      </c>
      <c r="DQ43" s="306">
        <v>0</v>
      </c>
      <c r="DR43" s="306">
        <v>0</v>
      </c>
    </row>
    <row r="44" spans="1:122">
      <c r="A44" s="304" t="s">
        <v>668</v>
      </c>
      <c r="B44" s="306">
        <v>1</v>
      </c>
      <c r="BI44" s="304" t="s">
        <v>720</v>
      </c>
      <c r="BJ44" s="306">
        <v>0</v>
      </c>
      <c r="BK44" s="306">
        <v>0</v>
      </c>
      <c r="BL44" s="306">
        <v>0</v>
      </c>
      <c r="BM44" s="306">
        <v>0</v>
      </c>
      <c r="BN44" s="306">
        <v>0</v>
      </c>
      <c r="BO44" s="306">
        <v>0</v>
      </c>
      <c r="BP44" s="306">
        <v>0</v>
      </c>
      <c r="BQ44" s="306">
        <v>0</v>
      </c>
      <c r="BR44" s="306">
        <v>0</v>
      </c>
      <c r="BS44" s="306">
        <v>0</v>
      </c>
      <c r="BT44" s="306">
        <v>0</v>
      </c>
      <c r="BU44" s="306">
        <v>0</v>
      </c>
      <c r="BV44" s="306">
        <v>0</v>
      </c>
      <c r="BW44" s="306">
        <v>0</v>
      </c>
      <c r="BX44" s="306">
        <v>0</v>
      </c>
      <c r="BY44" s="306">
        <v>0</v>
      </c>
      <c r="BZ44" s="306">
        <v>0</v>
      </c>
      <c r="CA44" s="306">
        <v>0</v>
      </c>
      <c r="CB44" s="306">
        <v>0</v>
      </c>
      <c r="CC44" s="306">
        <v>0</v>
      </c>
      <c r="CD44" s="306">
        <v>0</v>
      </c>
      <c r="CE44" s="306">
        <v>0</v>
      </c>
      <c r="CF44" s="306">
        <v>0</v>
      </c>
      <c r="CG44" s="306">
        <v>0</v>
      </c>
      <c r="CH44" s="306">
        <v>0</v>
      </c>
      <c r="CI44" s="306">
        <v>0</v>
      </c>
      <c r="CJ44" s="306">
        <v>0</v>
      </c>
      <c r="CK44" s="306">
        <v>0</v>
      </c>
      <c r="CL44" s="306">
        <v>0</v>
      </c>
      <c r="CO44" s="304" t="s">
        <v>720</v>
      </c>
      <c r="CP44" s="306">
        <v>0</v>
      </c>
      <c r="CQ44" s="306">
        <v>0</v>
      </c>
      <c r="CR44" s="306">
        <v>0</v>
      </c>
      <c r="CS44" s="306">
        <v>0</v>
      </c>
      <c r="CT44" s="306">
        <v>0</v>
      </c>
      <c r="CU44" s="306">
        <v>0</v>
      </c>
      <c r="CV44" s="306">
        <v>0</v>
      </c>
      <c r="CW44" s="306">
        <v>0</v>
      </c>
      <c r="CX44" s="306">
        <v>0</v>
      </c>
      <c r="CY44" s="306">
        <v>0</v>
      </c>
      <c r="CZ44" s="306">
        <v>0</v>
      </c>
      <c r="DA44" s="306">
        <v>0</v>
      </c>
      <c r="DB44" s="306">
        <v>0</v>
      </c>
      <c r="DC44" s="306">
        <v>0</v>
      </c>
      <c r="DD44" s="306">
        <v>0</v>
      </c>
      <c r="DE44" s="306">
        <v>0</v>
      </c>
      <c r="DF44" s="306">
        <v>0</v>
      </c>
      <c r="DG44" s="306">
        <v>0</v>
      </c>
      <c r="DH44" s="306">
        <v>0</v>
      </c>
      <c r="DI44" s="306">
        <v>0</v>
      </c>
      <c r="DJ44" s="306">
        <v>0</v>
      </c>
      <c r="DK44" s="306">
        <v>0</v>
      </c>
      <c r="DL44" s="306">
        <v>0</v>
      </c>
      <c r="DM44" s="306">
        <v>0</v>
      </c>
      <c r="DN44" s="306">
        <v>0</v>
      </c>
      <c r="DO44" s="306">
        <v>0</v>
      </c>
      <c r="DP44" s="306">
        <v>0</v>
      </c>
      <c r="DQ44" s="306">
        <v>0</v>
      </c>
      <c r="DR44" s="306">
        <v>0</v>
      </c>
    </row>
    <row r="45" spans="1:122">
      <c r="A45" s="304" t="s">
        <v>773</v>
      </c>
      <c r="B45" s="306">
        <v>1</v>
      </c>
      <c r="BI45" s="304" t="s">
        <v>721</v>
      </c>
      <c r="BJ45" s="306">
        <v>0</v>
      </c>
      <c r="BK45" s="306">
        <v>0</v>
      </c>
      <c r="BL45" s="306">
        <v>0</v>
      </c>
      <c r="BM45" s="306">
        <v>0</v>
      </c>
      <c r="BN45" s="306">
        <v>0</v>
      </c>
      <c r="BO45" s="306">
        <v>0</v>
      </c>
      <c r="BP45" s="306">
        <v>0</v>
      </c>
      <c r="BQ45" s="306">
        <v>0</v>
      </c>
      <c r="BR45" s="306">
        <v>0</v>
      </c>
      <c r="BS45" s="306">
        <v>0</v>
      </c>
      <c r="BT45" s="306">
        <v>0</v>
      </c>
      <c r="BU45" s="306">
        <v>0</v>
      </c>
      <c r="BV45" s="306">
        <v>0</v>
      </c>
      <c r="BW45" s="306">
        <v>0</v>
      </c>
      <c r="BX45" s="306">
        <v>0</v>
      </c>
      <c r="BY45" s="306">
        <v>0</v>
      </c>
      <c r="BZ45" s="306">
        <v>0</v>
      </c>
      <c r="CA45" s="306">
        <v>0</v>
      </c>
      <c r="CB45" s="306">
        <v>0</v>
      </c>
      <c r="CC45" s="306">
        <v>0</v>
      </c>
      <c r="CD45" s="306">
        <v>0</v>
      </c>
      <c r="CE45" s="306">
        <v>0</v>
      </c>
      <c r="CF45" s="306">
        <v>0</v>
      </c>
      <c r="CG45" s="306">
        <v>0</v>
      </c>
      <c r="CH45" s="306">
        <v>0</v>
      </c>
      <c r="CI45" s="306">
        <v>0</v>
      </c>
      <c r="CJ45" s="306">
        <v>0</v>
      </c>
      <c r="CK45" s="306">
        <v>0</v>
      </c>
      <c r="CL45" s="306">
        <v>0</v>
      </c>
      <c r="CO45" s="304" t="s">
        <v>721</v>
      </c>
      <c r="CP45" s="306">
        <v>0</v>
      </c>
      <c r="CQ45" s="306">
        <v>0</v>
      </c>
      <c r="CR45" s="306">
        <v>0</v>
      </c>
      <c r="CS45" s="306">
        <v>0</v>
      </c>
      <c r="CT45" s="306">
        <v>0</v>
      </c>
      <c r="CU45" s="306">
        <v>0</v>
      </c>
      <c r="CV45" s="306">
        <v>0</v>
      </c>
      <c r="CW45" s="306">
        <v>0</v>
      </c>
      <c r="CX45" s="306">
        <v>0</v>
      </c>
      <c r="CY45" s="306">
        <v>0</v>
      </c>
      <c r="CZ45" s="306">
        <v>0</v>
      </c>
      <c r="DA45" s="306">
        <v>0</v>
      </c>
      <c r="DB45" s="306">
        <v>0</v>
      </c>
      <c r="DC45" s="306">
        <v>0</v>
      </c>
      <c r="DD45" s="306">
        <v>0</v>
      </c>
      <c r="DE45" s="306">
        <v>0</v>
      </c>
      <c r="DF45" s="306">
        <v>0</v>
      </c>
      <c r="DG45" s="306">
        <v>0</v>
      </c>
      <c r="DH45" s="306">
        <v>0</v>
      </c>
      <c r="DI45" s="306">
        <v>0</v>
      </c>
      <c r="DJ45" s="306">
        <v>0</v>
      </c>
      <c r="DK45" s="306">
        <v>0</v>
      </c>
      <c r="DL45" s="306">
        <v>0</v>
      </c>
      <c r="DM45" s="306">
        <v>0</v>
      </c>
      <c r="DN45" s="306">
        <v>0</v>
      </c>
      <c r="DO45" s="306">
        <v>0</v>
      </c>
      <c r="DP45" s="306">
        <v>0</v>
      </c>
      <c r="DQ45" s="306">
        <v>0</v>
      </c>
      <c r="DR45" s="306">
        <v>0</v>
      </c>
    </row>
    <row r="46" spans="1:122">
      <c r="A46" s="304" t="s">
        <v>774</v>
      </c>
      <c r="B46" s="306">
        <v>1</v>
      </c>
      <c r="BI46" s="304" t="s">
        <v>672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  <c r="BS46" s="306">
        <v>0</v>
      </c>
      <c r="BT46" s="306">
        <v>0</v>
      </c>
      <c r="BU46" s="306">
        <v>0</v>
      </c>
      <c r="BV46" s="306">
        <v>0</v>
      </c>
      <c r="BW46" s="306">
        <v>0</v>
      </c>
      <c r="BX46" s="306">
        <v>0</v>
      </c>
      <c r="BY46" s="306">
        <v>0</v>
      </c>
      <c r="BZ46" s="306">
        <v>0</v>
      </c>
      <c r="CA46" s="306">
        <v>0</v>
      </c>
      <c r="CB46" s="306">
        <v>0</v>
      </c>
      <c r="CC46" s="306">
        <v>0</v>
      </c>
      <c r="CD46" s="306">
        <v>0</v>
      </c>
      <c r="CE46" s="306">
        <v>0</v>
      </c>
      <c r="CF46" s="306">
        <v>0</v>
      </c>
      <c r="CG46" s="306">
        <v>0</v>
      </c>
      <c r="CH46" s="306">
        <v>0</v>
      </c>
      <c r="CI46" s="306">
        <v>0</v>
      </c>
      <c r="CJ46" s="306">
        <v>0</v>
      </c>
      <c r="CK46" s="306">
        <v>0</v>
      </c>
      <c r="CL46" s="306">
        <v>0</v>
      </c>
      <c r="CO46" s="304" t="s">
        <v>672</v>
      </c>
      <c r="CP46" s="306">
        <v>0</v>
      </c>
      <c r="CQ46" s="306">
        <v>0</v>
      </c>
      <c r="CR46" s="306">
        <v>0</v>
      </c>
      <c r="CS46" s="306">
        <v>0</v>
      </c>
      <c r="CT46" s="306">
        <v>0</v>
      </c>
      <c r="CU46" s="306">
        <v>0</v>
      </c>
      <c r="CV46" s="306">
        <v>0</v>
      </c>
      <c r="CW46" s="306">
        <v>0</v>
      </c>
      <c r="CX46" s="306">
        <v>0</v>
      </c>
      <c r="CY46" s="306">
        <v>0</v>
      </c>
      <c r="CZ46" s="306">
        <v>0</v>
      </c>
      <c r="DA46" s="306">
        <v>0</v>
      </c>
      <c r="DB46" s="306">
        <v>0</v>
      </c>
      <c r="DC46" s="306">
        <v>0</v>
      </c>
      <c r="DD46" s="306">
        <v>0</v>
      </c>
      <c r="DE46" s="306">
        <v>0</v>
      </c>
      <c r="DF46" s="306">
        <v>0</v>
      </c>
      <c r="DG46" s="306">
        <v>0</v>
      </c>
      <c r="DH46" s="306">
        <v>0</v>
      </c>
      <c r="DI46" s="306">
        <v>0</v>
      </c>
      <c r="DJ46" s="306">
        <v>0</v>
      </c>
      <c r="DK46" s="306">
        <v>0</v>
      </c>
      <c r="DL46" s="306">
        <v>0</v>
      </c>
      <c r="DM46" s="306">
        <v>0</v>
      </c>
      <c r="DN46" s="306">
        <v>0</v>
      </c>
      <c r="DO46" s="306">
        <v>0</v>
      </c>
      <c r="DP46" s="306">
        <v>0</v>
      </c>
      <c r="DQ46" s="306">
        <v>0</v>
      </c>
      <c r="DR46" s="306">
        <v>0</v>
      </c>
    </row>
    <row r="47" spans="1:122">
      <c r="A47" s="304" t="s">
        <v>669</v>
      </c>
      <c r="B47" s="306">
        <v>1</v>
      </c>
      <c r="BI47" s="304" t="s">
        <v>673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  <c r="BS47" s="306">
        <v>0</v>
      </c>
      <c r="BT47" s="306">
        <v>0</v>
      </c>
      <c r="BU47" s="306">
        <v>0</v>
      </c>
      <c r="BV47" s="306">
        <v>0</v>
      </c>
      <c r="BW47" s="306">
        <v>0</v>
      </c>
      <c r="BX47" s="306">
        <v>0</v>
      </c>
      <c r="BY47" s="306">
        <v>0</v>
      </c>
      <c r="BZ47" s="306">
        <v>0</v>
      </c>
      <c r="CA47" s="306">
        <v>0</v>
      </c>
      <c r="CB47" s="306">
        <v>0</v>
      </c>
      <c r="CC47" s="306">
        <v>0</v>
      </c>
      <c r="CD47" s="306">
        <v>0</v>
      </c>
      <c r="CE47" s="306">
        <v>0</v>
      </c>
      <c r="CF47" s="306">
        <v>0</v>
      </c>
      <c r="CG47" s="306">
        <v>0</v>
      </c>
      <c r="CH47" s="306">
        <v>0</v>
      </c>
      <c r="CI47" s="306">
        <v>0</v>
      </c>
      <c r="CJ47" s="306">
        <v>0</v>
      </c>
      <c r="CK47" s="306">
        <v>0</v>
      </c>
      <c r="CL47" s="306">
        <v>0</v>
      </c>
      <c r="CO47" s="304" t="s">
        <v>673</v>
      </c>
      <c r="CP47" s="306">
        <v>0</v>
      </c>
      <c r="CQ47" s="306">
        <v>0</v>
      </c>
      <c r="CR47" s="306">
        <v>0</v>
      </c>
      <c r="CS47" s="306">
        <v>0</v>
      </c>
      <c r="CT47" s="306">
        <v>0</v>
      </c>
      <c r="CU47" s="306">
        <v>0</v>
      </c>
      <c r="CV47" s="306">
        <v>0</v>
      </c>
      <c r="CW47" s="306">
        <v>0</v>
      </c>
      <c r="CX47" s="306">
        <v>0</v>
      </c>
      <c r="CY47" s="306">
        <v>0</v>
      </c>
      <c r="CZ47" s="306">
        <v>0</v>
      </c>
      <c r="DA47" s="306">
        <v>0</v>
      </c>
      <c r="DB47" s="306">
        <v>0</v>
      </c>
      <c r="DC47" s="306">
        <v>0</v>
      </c>
      <c r="DD47" s="306">
        <v>0</v>
      </c>
      <c r="DE47" s="306">
        <v>0</v>
      </c>
      <c r="DF47" s="306">
        <v>0</v>
      </c>
      <c r="DG47" s="306">
        <v>0</v>
      </c>
      <c r="DH47" s="306">
        <v>0</v>
      </c>
      <c r="DI47" s="306">
        <v>0</v>
      </c>
      <c r="DJ47" s="306">
        <v>0</v>
      </c>
      <c r="DK47" s="306">
        <v>0</v>
      </c>
      <c r="DL47" s="306">
        <v>0</v>
      </c>
      <c r="DM47" s="306">
        <v>0</v>
      </c>
      <c r="DN47" s="306">
        <v>0</v>
      </c>
      <c r="DO47" s="306">
        <v>0</v>
      </c>
      <c r="DP47" s="306">
        <v>0</v>
      </c>
      <c r="DQ47" s="306">
        <v>0</v>
      </c>
      <c r="DR47" s="306">
        <v>0</v>
      </c>
    </row>
    <row r="48" spans="1:122">
      <c r="A48" s="304" t="s">
        <v>670</v>
      </c>
      <c r="B48" s="306">
        <v>2</v>
      </c>
      <c r="BI48" s="304" t="s">
        <v>722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  <c r="BS48" s="306">
        <v>0</v>
      </c>
      <c r="BT48" s="306">
        <v>0</v>
      </c>
      <c r="BU48" s="306">
        <v>0</v>
      </c>
      <c r="BV48" s="306">
        <v>0</v>
      </c>
      <c r="BW48" s="306">
        <v>0</v>
      </c>
      <c r="BX48" s="306">
        <v>0</v>
      </c>
      <c r="BY48" s="306">
        <v>0</v>
      </c>
      <c r="BZ48" s="306">
        <v>0</v>
      </c>
      <c r="CA48" s="306">
        <v>0</v>
      </c>
      <c r="CB48" s="306">
        <v>0</v>
      </c>
      <c r="CC48" s="306">
        <v>0</v>
      </c>
      <c r="CD48" s="306">
        <v>0</v>
      </c>
      <c r="CE48" s="306">
        <v>0</v>
      </c>
      <c r="CF48" s="306">
        <v>0</v>
      </c>
      <c r="CG48" s="306">
        <v>0</v>
      </c>
      <c r="CH48" s="306">
        <v>0</v>
      </c>
      <c r="CI48" s="306">
        <v>0</v>
      </c>
      <c r="CJ48" s="306">
        <v>0</v>
      </c>
      <c r="CK48" s="306">
        <v>0</v>
      </c>
      <c r="CL48" s="306">
        <v>0</v>
      </c>
      <c r="CO48" s="304" t="s">
        <v>722</v>
      </c>
      <c r="CP48" s="306">
        <v>0</v>
      </c>
      <c r="CQ48" s="306">
        <v>0</v>
      </c>
      <c r="CR48" s="306">
        <v>0</v>
      </c>
      <c r="CS48" s="306">
        <v>0</v>
      </c>
      <c r="CT48" s="306">
        <v>0</v>
      </c>
      <c r="CU48" s="306">
        <v>0</v>
      </c>
      <c r="CV48" s="306">
        <v>0</v>
      </c>
      <c r="CW48" s="306">
        <v>0</v>
      </c>
      <c r="CX48" s="306">
        <v>0</v>
      </c>
      <c r="CY48" s="306">
        <v>0</v>
      </c>
      <c r="CZ48" s="306">
        <v>0</v>
      </c>
      <c r="DA48" s="306">
        <v>0</v>
      </c>
      <c r="DB48" s="306">
        <v>0</v>
      </c>
      <c r="DC48" s="306">
        <v>0</v>
      </c>
      <c r="DD48" s="306">
        <v>0</v>
      </c>
      <c r="DE48" s="306">
        <v>0</v>
      </c>
      <c r="DF48" s="306">
        <v>0</v>
      </c>
      <c r="DG48" s="306">
        <v>0</v>
      </c>
      <c r="DH48" s="306">
        <v>0</v>
      </c>
      <c r="DI48" s="306">
        <v>0</v>
      </c>
      <c r="DJ48" s="306">
        <v>0</v>
      </c>
      <c r="DK48" s="306">
        <v>0</v>
      </c>
      <c r="DL48" s="306">
        <v>0</v>
      </c>
      <c r="DM48" s="306">
        <v>0</v>
      </c>
      <c r="DN48" s="306">
        <v>0</v>
      </c>
      <c r="DO48" s="306">
        <v>0</v>
      </c>
      <c r="DP48" s="306">
        <v>0</v>
      </c>
      <c r="DQ48" s="306">
        <v>0</v>
      </c>
      <c r="DR48" s="306">
        <v>0</v>
      </c>
    </row>
    <row r="49" spans="1:122">
      <c r="A49" s="304" t="s">
        <v>671</v>
      </c>
      <c r="B49" s="306">
        <v>2</v>
      </c>
      <c r="BI49" s="304" t="s">
        <v>723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  <c r="BS49" s="306">
        <v>0</v>
      </c>
      <c r="BT49" s="306">
        <v>0</v>
      </c>
      <c r="BU49" s="306">
        <v>0</v>
      </c>
      <c r="BV49" s="306">
        <v>0</v>
      </c>
      <c r="BW49" s="306">
        <v>0</v>
      </c>
      <c r="BX49" s="306">
        <v>0</v>
      </c>
      <c r="BY49" s="306">
        <v>0</v>
      </c>
      <c r="BZ49" s="306">
        <v>0</v>
      </c>
      <c r="CA49" s="306">
        <v>0</v>
      </c>
      <c r="CB49" s="306">
        <v>0</v>
      </c>
      <c r="CC49" s="306">
        <v>0</v>
      </c>
      <c r="CD49" s="306">
        <v>0</v>
      </c>
      <c r="CE49" s="306">
        <v>0</v>
      </c>
      <c r="CF49" s="306">
        <v>0</v>
      </c>
      <c r="CG49" s="306">
        <v>0</v>
      </c>
      <c r="CH49" s="306">
        <v>0</v>
      </c>
      <c r="CI49" s="306">
        <v>0</v>
      </c>
      <c r="CJ49" s="306">
        <v>0</v>
      </c>
      <c r="CK49" s="306">
        <v>0</v>
      </c>
      <c r="CL49" s="306">
        <v>0</v>
      </c>
      <c r="CO49" s="304" t="s">
        <v>723</v>
      </c>
      <c r="CP49" s="306">
        <v>0</v>
      </c>
      <c r="CQ49" s="306">
        <v>0</v>
      </c>
      <c r="CR49" s="306">
        <v>0</v>
      </c>
      <c r="CS49" s="306">
        <v>0</v>
      </c>
      <c r="CT49" s="306">
        <v>0</v>
      </c>
      <c r="CU49" s="306">
        <v>0</v>
      </c>
      <c r="CV49" s="306">
        <v>0</v>
      </c>
      <c r="CW49" s="306">
        <v>0</v>
      </c>
      <c r="CX49" s="306">
        <v>0</v>
      </c>
      <c r="CY49" s="306">
        <v>0</v>
      </c>
      <c r="CZ49" s="306">
        <v>0</v>
      </c>
      <c r="DA49" s="306">
        <v>0</v>
      </c>
      <c r="DB49" s="306">
        <v>0</v>
      </c>
      <c r="DC49" s="306">
        <v>0</v>
      </c>
      <c r="DD49" s="306">
        <v>0</v>
      </c>
      <c r="DE49" s="306">
        <v>0</v>
      </c>
      <c r="DF49" s="306">
        <v>0</v>
      </c>
      <c r="DG49" s="306">
        <v>0</v>
      </c>
      <c r="DH49" s="306">
        <v>0</v>
      </c>
      <c r="DI49" s="306">
        <v>0</v>
      </c>
      <c r="DJ49" s="306">
        <v>0</v>
      </c>
      <c r="DK49" s="306">
        <v>0</v>
      </c>
      <c r="DL49" s="306">
        <v>0</v>
      </c>
      <c r="DM49" s="306">
        <v>0</v>
      </c>
      <c r="DN49" s="306">
        <v>0</v>
      </c>
      <c r="DO49" s="306">
        <v>0</v>
      </c>
      <c r="DP49" s="306">
        <v>0</v>
      </c>
      <c r="DQ49" s="306">
        <v>0</v>
      </c>
      <c r="DR49" s="306">
        <v>0</v>
      </c>
    </row>
    <row r="50" spans="1:122">
      <c r="A50" s="304" t="s">
        <v>714</v>
      </c>
      <c r="B50" s="306">
        <v>1</v>
      </c>
      <c r="BI50" s="304" t="s">
        <v>674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  <c r="BS50" s="306">
        <v>0</v>
      </c>
      <c r="BT50" s="306">
        <v>0</v>
      </c>
      <c r="BU50" s="306">
        <v>0</v>
      </c>
      <c r="BV50" s="306">
        <v>0</v>
      </c>
      <c r="BW50" s="306">
        <v>0</v>
      </c>
      <c r="BX50" s="306">
        <v>0</v>
      </c>
      <c r="BY50" s="306">
        <v>0</v>
      </c>
      <c r="BZ50" s="306">
        <v>0</v>
      </c>
      <c r="CA50" s="306">
        <v>0</v>
      </c>
      <c r="CB50" s="306">
        <v>0</v>
      </c>
      <c r="CC50" s="306">
        <v>0</v>
      </c>
      <c r="CD50" s="306">
        <v>0</v>
      </c>
      <c r="CE50" s="306">
        <v>0</v>
      </c>
      <c r="CF50" s="306">
        <v>0</v>
      </c>
      <c r="CG50" s="306">
        <v>0</v>
      </c>
      <c r="CH50" s="306">
        <v>0</v>
      </c>
      <c r="CI50" s="306">
        <v>0</v>
      </c>
      <c r="CJ50" s="306">
        <v>0</v>
      </c>
      <c r="CK50" s="306">
        <v>0</v>
      </c>
      <c r="CL50" s="306">
        <v>0</v>
      </c>
      <c r="CO50" s="304" t="s">
        <v>674</v>
      </c>
      <c r="CP50" s="306">
        <v>0</v>
      </c>
      <c r="CQ50" s="306">
        <v>0</v>
      </c>
      <c r="CR50" s="306">
        <v>0</v>
      </c>
      <c r="CS50" s="306">
        <v>0</v>
      </c>
      <c r="CT50" s="306">
        <v>0</v>
      </c>
      <c r="CU50" s="306">
        <v>0</v>
      </c>
      <c r="CV50" s="306">
        <v>0</v>
      </c>
      <c r="CW50" s="306">
        <v>0</v>
      </c>
      <c r="CX50" s="306">
        <v>0</v>
      </c>
      <c r="CY50" s="306">
        <v>0</v>
      </c>
      <c r="CZ50" s="306">
        <v>0</v>
      </c>
      <c r="DA50" s="306">
        <v>0</v>
      </c>
      <c r="DB50" s="306">
        <v>0</v>
      </c>
      <c r="DC50" s="306">
        <v>0</v>
      </c>
      <c r="DD50" s="306">
        <v>0</v>
      </c>
      <c r="DE50" s="306">
        <v>0</v>
      </c>
      <c r="DF50" s="306">
        <v>0</v>
      </c>
      <c r="DG50" s="306">
        <v>0</v>
      </c>
      <c r="DH50" s="306">
        <v>0</v>
      </c>
      <c r="DI50" s="306">
        <v>0</v>
      </c>
      <c r="DJ50" s="306">
        <v>0</v>
      </c>
      <c r="DK50" s="306">
        <v>0</v>
      </c>
      <c r="DL50" s="306">
        <v>0</v>
      </c>
      <c r="DM50" s="306">
        <v>0</v>
      </c>
      <c r="DN50" s="306">
        <v>0</v>
      </c>
      <c r="DO50" s="306">
        <v>0</v>
      </c>
      <c r="DP50" s="306">
        <v>0</v>
      </c>
      <c r="DQ50" s="306">
        <v>0</v>
      </c>
      <c r="DR50" s="306">
        <v>0</v>
      </c>
    </row>
    <row r="51" spans="1:122">
      <c r="A51" s="304" t="s">
        <v>715</v>
      </c>
      <c r="B51" s="306">
        <v>1</v>
      </c>
      <c r="BI51" s="304" t="s">
        <v>724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  <c r="BS51" s="306">
        <v>0</v>
      </c>
      <c r="BT51" s="306">
        <v>0</v>
      </c>
      <c r="BU51" s="306">
        <v>0</v>
      </c>
      <c r="BV51" s="306">
        <v>0</v>
      </c>
      <c r="BW51" s="306">
        <v>0</v>
      </c>
      <c r="BX51" s="306">
        <v>0</v>
      </c>
      <c r="BY51" s="306">
        <v>0</v>
      </c>
      <c r="BZ51" s="306">
        <v>0</v>
      </c>
      <c r="CA51" s="306">
        <v>0</v>
      </c>
      <c r="CB51" s="306">
        <v>0</v>
      </c>
      <c r="CC51" s="306">
        <v>0</v>
      </c>
      <c r="CD51" s="306">
        <v>0</v>
      </c>
      <c r="CE51" s="306">
        <v>0</v>
      </c>
      <c r="CF51" s="306">
        <v>0</v>
      </c>
      <c r="CG51" s="306">
        <v>0</v>
      </c>
      <c r="CH51" s="306">
        <v>0</v>
      </c>
      <c r="CI51" s="306">
        <v>0</v>
      </c>
      <c r="CJ51" s="306">
        <v>4306.0802326205903</v>
      </c>
      <c r="CK51" s="306">
        <v>0</v>
      </c>
      <c r="CL51" s="306">
        <v>0</v>
      </c>
      <c r="CO51" s="304" t="s">
        <v>724</v>
      </c>
      <c r="CP51" s="306">
        <v>0</v>
      </c>
      <c r="CQ51" s="306">
        <v>0</v>
      </c>
      <c r="CR51" s="306">
        <v>0</v>
      </c>
      <c r="CS51" s="306">
        <v>0</v>
      </c>
      <c r="CT51" s="306">
        <v>0</v>
      </c>
      <c r="CU51" s="306">
        <v>0</v>
      </c>
      <c r="CV51" s="306">
        <v>0</v>
      </c>
      <c r="CW51" s="306">
        <v>0</v>
      </c>
      <c r="CX51" s="306">
        <v>0</v>
      </c>
      <c r="CY51" s="306">
        <v>0</v>
      </c>
      <c r="CZ51" s="306">
        <v>0</v>
      </c>
      <c r="DA51" s="306">
        <v>0</v>
      </c>
      <c r="DB51" s="306">
        <v>0</v>
      </c>
      <c r="DC51" s="306">
        <v>0</v>
      </c>
      <c r="DD51" s="306">
        <v>0</v>
      </c>
      <c r="DE51" s="306">
        <v>0</v>
      </c>
      <c r="DF51" s="306">
        <v>0</v>
      </c>
      <c r="DG51" s="306">
        <v>0</v>
      </c>
      <c r="DH51" s="306">
        <v>0</v>
      </c>
      <c r="DI51" s="306">
        <v>0</v>
      </c>
      <c r="DJ51" s="306">
        <v>0</v>
      </c>
      <c r="DK51" s="306">
        <v>0</v>
      </c>
      <c r="DL51" s="306">
        <v>0</v>
      </c>
      <c r="DM51" s="306">
        <v>0</v>
      </c>
      <c r="DN51" s="306">
        <v>0</v>
      </c>
      <c r="DO51" s="306">
        <v>0</v>
      </c>
      <c r="DP51" s="306">
        <v>1</v>
      </c>
      <c r="DQ51" s="306">
        <v>0</v>
      </c>
      <c r="DR51" s="306">
        <v>0</v>
      </c>
    </row>
    <row r="52" spans="1:122">
      <c r="A52" s="304" t="s">
        <v>716</v>
      </c>
      <c r="B52" s="306">
        <v>1</v>
      </c>
      <c r="BI52" s="304" t="s">
        <v>725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  <c r="BS52" s="306">
        <v>0</v>
      </c>
      <c r="BT52" s="306">
        <v>0</v>
      </c>
      <c r="BU52" s="306">
        <v>0</v>
      </c>
      <c r="BV52" s="306">
        <v>0</v>
      </c>
      <c r="BW52" s="306">
        <v>0</v>
      </c>
      <c r="BX52" s="306">
        <v>0</v>
      </c>
      <c r="BY52" s="306">
        <v>0</v>
      </c>
      <c r="BZ52" s="306">
        <v>0</v>
      </c>
      <c r="CA52" s="306">
        <v>0</v>
      </c>
      <c r="CB52" s="306">
        <v>0</v>
      </c>
      <c r="CC52" s="306">
        <v>0</v>
      </c>
      <c r="CD52" s="306">
        <v>0</v>
      </c>
      <c r="CE52" s="306">
        <v>0</v>
      </c>
      <c r="CF52" s="306">
        <v>0</v>
      </c>
      <c r="CG52" s="306">
        <v>0</v>
      </c>
      <c r="CH52" s="306">
        <v>0</v>
      </c>
      <c r="CI52" s="306">
        <v>0</v>
      </c>
      <c r="CJ52" s="306">
        <v>0</v>
      </c>
      <c r="CK52" s="306">
        <v>0</v>
      </c>
      <c r="CL52" s="306">
        <v>0</v>
      </c>
      <c r="CO52" s="304" t="s">
        <v>725</v>
      </c>
      <c r="CP52" s="306">
        <v>0</v>
      </c>
      <c r="CQ52" s="306">
        <v>0</v>
      </c>
      <c r="CR52" s="306">
        <v>0</v>
      </c>
      <c r="CS52" s="306">
        <v>0</v>
      </c>
      <c r="CT52" s="306">
        <v>0</v>
      </c>
      <c r="CU52" s="306">
        <v>0</v>
      </c>
      <c r="CV52" s="306">
        <v>0</v>
      </c>
      <c r="CW52" s="306">
        <v>0</v>
      </c>
      <c r="CX52" s="306">
        <v>0</v>
      </c>
      <c r="CY52" s="306">
        <v>0</v>
      </c>
      <c r="CZ52" s="306">
        <v>0</v>
      </c>
      <c r="DA52" s="306">
        <v>0</v>
      </c>
      <c r="DB52" s="306">
        <v>0</v>
      </c>
      <c r="DC52" s="306">
        <v>0</v>
      </c>
      <c r="DD52" s="306">
        <v>0</v>
      </c>
      <c r="DE52" s="306">
        <v>0</v>
      </c>
      <c r="DF52" s="306">
        <v>0</v>
      </c>
      <c r="DG52" s="306">
        <v>0</v>
      </c>
      <c r="DH52" s="306">
        <v>0</v>
      </c>
      <c r="DI52" s="306">
        <v>0</v>
      </c>
      <c r="DJ52" s="306">
        <v>0</v>
      </c>
      <c r="DK52" s="306">
        <v>0</v>
      </c>
      <c r="DL52" s="306">
        <v>0</v>
      </c>
      <c r="DM52" s="306">
        <v>0</v>
      </c>
      <c r="DN52" s="306">
        <v>0</v>
      </c>
      <c r="DO52" s="306">
        <v>0</v>
      </c>
      <c r="DP52" s="306">
        <v>0</v>
      </c>
      <c r="DQ52" s="306">
        <v>0</v>
      </c>
      <c r="DR52" s="306">
        <v>0</v>
      </c>
    </row>
    <row r="53" spans="1:122">
      <c r="A53" s="304" t="s">
        <v>717</v>
      </c>
      <c r="B53" s="306">
        <v>1</v>
      </c>
      <c r="BI53" s="304" t="s">
        <v>726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  <c r="BS53" s="306">
        <v>0</v>
      </c>
      <c r="BT53" s="306">
        <v>0</v>
      </c>
      <c r="BU53" s="306">
        <v>0</v>
      </c>
      <c r="BV53" s="306">
        <v>0</v>
      </c>
      <c r="BW53" s="306">
        <v>0</v>
      </c>
      <c r="BX53" s="306">
        <v>0</v>
      </c>
      <c r="BY53" s="306">
        <v>0</v>
      </c>
      <c r="BZ53" s="306">
        <v>0</v>
      </c>
      <c r="CA53" s="306">
        <v>0</v>
      </c>
      <c r="CB53" s="306">
        <v>0</v>
      </c>
      <c r="CC53" s="306">
        <v>0</v>
      </c>
      <c r="CD53" s="306">
        <v>0</v>
      </c>
      <c r="CE53" s="306">
        <v>0</v>
      </c>
      <c r="CF53" s="306">
        <v>0</v>
      </c>
      <c r="CG53" s="306">
        <v>0</v>
      </c>
      <c r="CH53" s="306">
        <v>0</v>
      </c>
      <c r="CI53" s="306">
        <v>0</v>
      </c>
      <c r="CJ53" s="306">
        <v>0</v>
      </c>
      <c r="CK53" s="306">
        <v>0</v>
      </c>
      <c r="CL53" s="306">
        <v>0</v>
      </c>
      <c r="CO53" s="304" t="s">
        <v>726</v>
      </c>
      <c r="CP53" s="306">
        <v>0</v>
      </c>
      <c r="CQ53" s="306">
        <v>0</v>
      </c>
      <c r="CR53" s="306">
        <v>0</v>
      </c>
      <c r="CS53" s="306">
        <v>0</v>
      </c>
      <c r="CT53" s="306">
        <v>0</v>
      </c>
      <c r="CU53" s="306">
        <v>0</v>
      </c>
      <c r="CV53" s="306">
        <v>0</v>
      </c>
      <c r="CW53" s="306">
        <v>0</v>
      </c>
      <c r="CX53" s="306">
        <v>0</v>
      </c>
      <c r="CY53" s="306">
        <v>0</v>
      </c>
      <c r="CZ53" s="306">
        <v>0</v>
      </c>
      <c r="DA53" s="306">
        <v>0</v>
      </c>
      <c r="DB53" s="306">
        <v>0</v>
      </c>
      <c r="DC53" s="306">
        <v>0</v>
      </c>
      <c r="DD53" s="306">
        <v>0</v>
      </c>
      <c r="DE53" s="306">
        <v>0</v>
      </c>
      <c r="DF53" s="306">
        <v>0</v>
      </c>
      <c r="DG53" s="306">
        <v>0</v>
      </c>
      <c r="DH53" s="306">
        <v>0</v>
      </c>
      <c r="DI53" s="306">
        <v>0</v>
      </c>
      <c r="DJ53" s="306">
        <v>0</v>
      </c>
      <c r="DK53" s="306">
        <v>0</v>
      </c>
      <c r="DL53" s="306">
        <v>0</v>
      </c>
      <c r="DM53" s="306">
        <v>0</v>
      </c>
      <c r="DN53" s="306">
        <v>0</v>
      </c>
      <c r="DO53" s="306">
        <v>0</v>
      </c>
      <c r="DP53" s="306">
        <v>0</v>
      </c>
      <c r="DQ53" s="306">
        <v>0</v>
      </c>
      <c r="DR53" s="306">
        <v>0</v>
      </c>
    </row>
    <row r="54" spans="1:122">
      <c r="A54" s="304" t="s">
        <v>718</v>
      </c>
      <c r="B54" s="306">
        <v>1</v>
      </c>
      <c r="BI54" s="304" t="s">
        <v>675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  <c r="BS54" s="306">
        <v>0</v>
      </c>
      <c r="BT54" s="306">
        <v>0</v>
      </c>
      <c r="BU54" s="306">
        <v>0</v>
      </c>
      <c r="BV54" s="306">
        <v>0</v>
      </c>
      <c r="BW54" s="306">
        <v>0</v>
      </c>
      <c r="BX54" s="306">
        <v>0</v>
      </c>
      <c r="BY54" s="306">
        <v>0</v>
      </c>
      <c r="BZ54" s="306">
        <v>0</v>
      </c>
      <c r="CA54" s="306">
        <v>0</v>
      </c>
      <c r="CB54" s="306">
        <v>0</v>
      </c>
      <c r="CC54" s="306">
        <v>0</v>
      </c>
      <c r="CD54" s="306">
        <v>0</v>
      </c>
      <c r="CE54" s="306">
        <v>0</v>
      </c>
      <c r="CF54" s="306">
        <v>0</v>
      </c>
      <c r="CG54" s="306">
        <v>0</v>
      </c>
      <c r="CH54" s="306">
        <v>0</v>
      </c>
      <c r="CI54" s="306">
        <v>0</v>
      </c>
      <c r="CJ54" s="306">
        <v>0</v>
      </c>
      <c r="CK54" s="306">
        <v>0</v>
      </c>
      <c r="CL54" s="306">
        <v>0</v>
      </c>
      <c r="CO54" s="304" t="s">
        <v>675</v>
      </c>
      <c r="CP54" s="306">
        <v>0</v>
      </c>
      <c r="CQ54" s="306">
        <v>0</v>
      </c>
      <c r="CR54" s="306">
        <v>0</v>
      </c>
      <c r="CS54" s="306">
        <v>0</v>
      </c>
      <c r="CT54" s="306">
        <v>0</v>
      </c>
      <c r="CU54" s="306">
        <v>0</v>
      </c>
      <c r="CV54" s="306">
        <v>0</v>
      </c>
      <c r="CW54" s="306">
        <v>0</v>
      </c>
      <c r="CX54" s="306">
        <v>0</v>
      </c>
      <c r="CY54" s="306">
        <v>0</v>
      </c>
      <c r="CZ54" s="306">
        <v>0</v>
      </c>
      <c r="DA54" s="306">
        <v>0</v>
      </c>
      <c r="DB54" s="306">
        <v>0</v>
      </c>
      <c r="DC54" s="306">
        <v>0</v>
      </c>
      <c r="DD54" s="306">
        <v>0</v>
      </c>
      <c r="DE54" s="306">
        <v>0</v>
      </c>
      <c r="DF54" s="306">
        <v>0</v>
      </c>
      <c r="DG54" s="306">
        <v>0</v>
      </c>
      <c r="DH54" s="306">
        <v>0</v>
      </c>
      <c r="DI54" s="306">
        <v>0</v>
      </c>
      <c r="DJ54" s="306">
        <v>0</v>
      </c>
      <c r="DK54" s="306">
        <v>0</v>
      </c>
      <c r="DL54" s="306">
        <v>0</v>
      </c>
      <c r="DM54" s="306">
        <v>0</v>
      </c>
      <c r="DN54" s="306">
        <v>0</v>
      </c>
      <c r="DO54" s="306">
        <v>0</v>
      </c>
      <c r="DP54" s="306">
        <v>0</v>
      </c>
      <c r="DQ54" s="306">
        <v>0</v>
      </c>
      <c r="DR54" s="306">
        <v>0</v>
      </c>
    </row>
    <row r="55" spans="1:122">
      <c r="A55" s="304" t="s">
        <v>719</v>
      </c>
      <c r="B55" s="306">
        <v>1</v>
      </c>
      <c r="BI55" s="304" t="s">
        <v>676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  <c r="BS55" s="306">
        <v>0</v>
      </c>
      <c r="BT55" s="306">
        <v>0</v>
      </c>
      <c r="BU55" s="306">
        <v>0</v>
      </c>
      <c r="BV55" s="306">
        <v>0</v>
      </c>
      <c r="BW55" s="306">
        <v>0</v>
      </c>
      <c r="BX55" s="306">
        <v>0</v>
      </c>
      <c r="BY55" s="306">
        <v>0</v>
      </c>
      <c r="BZ55" s="306">
        <v>0</v>
      </c>
      <c r="CA55" s="306">
        <v>0</v>
      </c>
      <c r="CB55" s="306">
        <v>0</v>
      </c>
      <c r="CC55" s="306">
        <v>0</v>
      </c>
      <c r="CD55" s="306">
        <v>0</v>
      </c>
      <c r="CE55" s="306">
        <v>0</v>
      </c>
      <c r="CF55" s="306">
        <v>0</v>
      </c>
      <c r="CG55" s="306">
        <v>0</v>
      </c>
      <c r="CH55" s="306">
        <v>0</v>
      </c>
      <c r="CI55" s="306">
        <v>0</v>
      </c>
      <c r="CJ55" s="306">
        <v>0</v>
      </c>
      <c r="CK55" s="306">
        <v>0</v>
      </c>
      <c r="CL55" s="306">
        <v>0</v>
      </c>
      <c r="CO55" s="304" t="s">
        <v>676</v>
      </c>
      <c r="CP55" s="306">
        <v>0</v>
      </c>
      <c r="CQ55" s="306">
        <v>0</v>
      </c>
      <c r="CR55" s="306">
        <v>0</v>
      </c>
      <c r="CS55" s="306">
        <v>0</v>
      </c>
      <c r="CT55" s="306">
        <v>0</v>
      </c>
      <c r="CU55" s="306">
        <v>0</v>
      </c>
      <c r="CV55" s="306">
        <v>0</v>
      </c>
      <c r="CW55" s="306">
        <v>0</v>
      </c>
      <c r="CX55" s="306">
        <v>0</v>
      </c>
      <c r="CY55" s="306">
        <v>0</v>
      </c>
      <c r="CZ55" s="306">
        <v>0</v>
      </c>
      <c r="DA55" s="306">
        <v>0</v>
      </c>
      <c r="DB55" s="306">
        <v>0</v>
      </c>
      <c r="DC55" s="306">
        <v>0</v>
      </c>
      <c r="DD55" s="306">
        <v>0</v>
      </c>
      <c r="DE55" s="306">
        <v>0</v>
      </c>
      <c r="DF55" s="306">
        <v>0</v>
      </c>
      <c r="DG55" s="306">
        <v>0</v>
      </c>
      <c r="DH55" s="306">
        <v>0</v>
      </c>
      <c r="DI55" s="306">
        <v>0</v>
      </c>
      <c r="DJ55" s="306">
        <v>0</v>
      </c>
      <c r="DK55" s="306">
        <v>0</v>
      </c>
      <c r="DL55" s="306">
        <v>0</v>
      </c>
      <c r="DM55" s="306">
        <v>0</v>
      </c>
      <c r="DN55" s="306">
        <v>0</v>
      </c>
      <c r="DO55" s="306">
        <v>0</v>
      </c>
      <c r="DP55" s="306">
        <v>0</v>
      </c>
      <c r="DQ55" s="306">
        <v>0</v>
      </c>
      <c r="DR55" s="306">
        <v>0</v>
      </c>
    </row>
    <row r="56" spans="1:122">
      <c r="A56" s="304" t="s">
        <v>720</v>
      </c>
      <c r="B56" s="306">
        <v>1</v>
      </c>
      <c r="BI56" s="304" t="s">
        <v>677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  <c r="BS56" s="306">
        <v>0</v>
      </c>
      <c r="BT56" s="306">
        <v>0</v>
      </c>
      <c r="BU56" s="306">
        <v>0</v>
      </c>
      <c r="BV56" s="306">
        <v>0</v>
      </c>
      <c r="BW56" s="306">
        <v>0</v>
      </c>
      <c r="BX56" s="306">
        <v>0</v>
      </c>
      <c r="BY56" s="306">
        <v>0</v>
      </c>
      <c r="BZ56" s="306">
        <v>0</v>
      </c>
      <c r="CA56" s="306">
        <v>0</v>
      </c>
      <c r="CB56" s="306">
        <v>0</v>
      </c>
      <c r="CC56" s="306">
        <v>0</v>
      </c>
      <c r="CD56" s="306">
        <v>0</v>
      </c>
      <c r="CE56" s="306">
        <v>0</v>
      </c>
      <c r="CF56" s="306">
        <v>0</v>
      </c>
      <c r="CG56" s="306">
        <v>0</v>
      </c>
      <c r="CH56" s="306">
        <v>0</v>
      </c>
      <c r="CI56" s="306">
        <v>0</v>
      </c>
      <c r="CJ56" s="306">
        <v>0</v>
      </c>
      <c r="CK56" s="306">
        <v>0</v>
      </c>
      <c r="CL56" s="306">
        <v>0</v>
      </c>
      <c r="CO56" s="304" t="s">
        <v>677</v>
      </c>
      <c r="CP56" s="306">
        <v>0</v>
      </c>
      <c r="CQ56" s="306">
        <v>0</v>
      </c>
      <c r="CR56" s="306">
        <v>0</v>
      </c>
      <c r="CS56" s="306">
        <v>0</v>
      </c>
      <c r="CT56" s="306">
        <v>0</v>
      </c>
      <c r="CU56" s="306">
        <v>0</v>
      </c>
      <c r="CV56" s="306">
        <v>0</v>
      </c>
      <c r="CW56" s="306">
        <v>0</v>
      </c>
      <c r="CX56" s="306">
        <v>0</v>
      </c>
      <c r="CY56" s="306">
        <v>0</v>
      </c>
      <c r="CZ56" s="306">
        <v>0</v>
      </c>
      <c r="DA56" s="306">
        <v>0</v>
      </c>
      <c r="DB56" s="306">
        <v>0</v>
      </c>
      <c r="DC56" s="306">
        <v>0</v>
      </c>
      <c r="DD56" s="306">
        <v>0</v>
      </c>
      <c r="DE56" s="306">
        <v>0</v>
      </c>
      <c r="DF56" s="306">
        <v>0</v>
      </c>
      <c r="DG56" s="306">
        <v>0</v>
      </c>
      <c r="DH56" s="306">
        <v>0</v>
      </c>
      <c r="DI56" s="306">
        <v>0</v>
      </c>
      <c r="DJ56" s="306">
        <v>0</v>
      </c>
      <c r="DK56" s="306">
        <v>0</v>
      </c>
      <c r="DL56" s="306">
        <v>0</v>
      </c>
      <c r="DM56" s="306">
        <v>0</v>
      </c>
      <c r="DN56" s="306">
        <v>0</v>
      </c>
      <c r="DO56" s="306">
        <v>0</v>
      </c>
      <c r="DP56" s="306">
        <v>0</v>
      </c>
      <c r="DQ56" s="306">
        <v>0</v>
      </c>
      <c r="DR56" s="306">
        <v>0</v>
      </c>
    </row>
    <row r="57" spans="1:122">
      <c r="A57" s="304" t="s">
        <v>721</v>
      </c>
      <c r="B57" s="306">
        <v>1</v>
      </c>
      <c r="BI57" s="304" t="s">
        <v>727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  <c r="BS57" s="306">
        <v>0</v>
      </c>
      <c r="BT57" s="306">
        <v>0</v>
      </c>
      <c r="BU57" s="306">
        <v>0</v>
      </c>
      <c r="BV57" s="306">
        <v>0</v>
      </c>
      <c r="BW57" s="306">
        <v>0</v>
      </c>
      <c r="BX57" s="306">
        <v>0</v>
      </c>
      <c r="BY57" s="306">
        <v>0</v>
      </c>
      <c r="BZ57" s="306">
        <v>0</v>
      </c>
      <c r="CA57" s="306">
        <v>0</v>
      </c>
      <c r="CB57" s="306">
        <v>0</v>
      </c>
      <c r="CC57" s="306">
        <v>0</v>
      </c>
      <c r="CD57" s="306">
        <v>0</v>
      </c>
      <c r="CE57" s="306">
        <v>0</v>
      </c>
      <c r="CF57" s="306">
        <v>0</v>
      </c>
      <c r="CG57" s="306">
        <v>0</v>
      </c>
      <c r="CH57" s="306">
        <v>0</v>
      </c>
      <c r="CI57" s="306">
        <v>0</v>
      </c>
      <c r="CJ57" s="306">
        <v>0</v>
      </c>
      <c r="CK57" s="306">
        <v>0</v>
      </c>
      <c r="CL57" s="306">
        <v>0</v>
      </c>
      <c r="CO57" s="304" t="s">
        <v>727</v>
      </c>
      <c r="CP57" s="306">
        <v>0</v>
      </c>
      <c r="CQ57" s="306">
        <v>0</v>
      </c>
      <c r="CR57" s="306">
        <v>0</v>
      </c>
      <c r="CS57" s="306">
        <v>0</v>
      </c>
      <c r="CT57" s="306">
        <v>0</v>
      </c>
      <c r="CU57" s="306">
        <v>0</v>
      </c>
      <c r="CV57" s="306">
        <v>0</v>
      </c>
      <c r="CW57" s="306">
        <v>0</v>
      </c>
      <c r="CX57" s="306">
        <v>0</v>
      </c>
      <c r="CY57" s="306">
        <v>0</v>
      </c>
      <c r="CZ57" s="306">
        <v>0</v>
      </c>
      <c r="DA57" s="306">
        <v>0</v>
      </c>
      <c r="DB57" s="306">
        <v>0</v>
      </c>
      <c r="DC57" s="306">
        <v>0</v>
      </c>
      <c r="DD57" s="306">
        <v>0</v>
      </c>
      <c r="DE57" s="306">
        <v>0</v>
      </c>
      <c r="DF57" s="306">
        <v>0</v>
      </c>
      <c r="DG57" s="306">
        <v>0</v>
      </c>
      <c r="DH57" s="306">
        <v>0</v>
      </c>
      <c r="DI57" s="306">
        <v>0</v>
      </c>
      <c r="DJ57" s="306">
        <v>0</v>
      </c>
      <c r="DK57" s="306">
        <v>0</v>
      </c>
      <c r="DL57" s="306">
        <v>0</v>
      </c>
      <c r="DM57" s="306">
        <v>0</v>
      </c>
      <c r="DN57" s="306">
        <v>0</v>
      </c>
      <c r="DO57" s="306">
        <v>0</v>
      </c>
      <c r="DP57" s="306">
        <v>0</v>
      </c>
      <c r="DQ57" s="306">
        <v>0</v>
      </c>
      <c r="DR57" s="306">
        <v>0</v>
      </c>
    </row>
    <row r="58" spans="1:122">
      <c r="A58" s="304" t="s">
        <v>775</v>
      </c>
      <c r="B58" s="306">
        <v>1</v>
      </c>
      <c r="BI58" s="304" t="s">
        <v>728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  <c r="BS58" s="306">
        <v>0</v>
      </c>
      <c r="BT58" s="306">
        <v>0</v>
      </c>
      <c r="BU58" s="306">
        <v>0</v>
      </c>
      <c r="BV58" s="306">
        <v>0</v>
      </c>
      <c r="BW58" s="306">
        <v>0</v>
      </c>
      <c r="BX58" s="306">
        <v>0</v>
      </c>
      <c r="BY58" s="306">
        <v>0</v>
      </c>
      <c r="BZ58" s="306">
        <v>0</v>
      </c>
      <c r="CA58" s="306">
        <v>0</v>
      </c>
      <c r="CB58" s="306">
        <v>0</v>
      </c>
      <c r="CC58" s="306">
        <v>0</v>
      </c>
      <c r="CD58" s="306">
        <v>0</v>
      </c>
      <c r="CE58" s="306">
        <v>0</v>
      </c>
      <c r="CF58" s="306">
        <v>0</v>
      </c>
      <c r="CG58" s="306">
        <v>0</v>
      </c>
      <c r="CH58" s="306">
        <v>0</v>
      </c>
      <c r="CI58" s="306">
        <v>0</v>
      </c>
      <c r="CJ58" s="306">
        <v>0</v>
      </c>
      <c r="CK58" s="306">
        <v>0</v>
      </c>
      <c r="CL58" s="306">
        <v>0</v>
      </c>
      <c r="CO58" s="304" t="s">
        <v>728</v>
      </c>
      <c r="CP58" s="306">
        <v>0</v>
      </c>
      <c r="CQ58" s="306">
        <v>0</v>
      </c>
      <c r="CR58" s="306">
        <v>0</v>
      </c>
      <c r="CS58" s="306">
        <v>0</v>
      </c>
      <c r="CT58" s="306">
        <v>0</v>
      </c>
      <c r="CU58" s="306">
        <v>0</v>
      </c>
      <c r="CV58" s="306">
        <v>0</v>
      </c>
      <c r="CW58" s="306">
        <v>0</v>
      </c>
      <c r="CX58" s="306">
        <v>0</v>
      </c>
      <c r="CY58" s="306">
        <v>0</v>
      </c>
      <c r="CZ58" s="306">
        <v>0</v>
      </c>
      <c r="DA58" s="306">
        <v>0</v>
      </c>
      <c r="DB58" s="306">
        <v>0</v>
      </c>
      <c r="DC58" s="306">
        <v>0</v>
      </c>
      <c r="DD58" s="306">
        <v>0</v>
      </c>
      <c r="DE58" s="306">
        <v>0</v>
      </c>
      <c r="DF58" s="306">
        <v>0</v>
      </c>
      <c r="DG58" s="306">
        <v>0</v>
      </c>
      <c r="DH58" s="306">
        <v>0</v>
      </c>
      <c r="DI58" s="306">
        <v>0</v>
      </c>
      <c r="DJ58" s="306">
        <v>0</v>
      </c>
      <c r="DK58" s="306">
        <v>0</v>
      </c>
      <c r="DL58" s="306">
        <v>0</v>
      </c>
      <c r="DM58" s="306">
        <v>0</v>
      </c>
      <c r="DN58" s="306">
        <v>0</v>
      </c>
      <c r="DO58" s="306">
        <v>0</v>
      </c>
      <c r="DP58" s="306">
        <v>0</v>
      </c>
      <c r="DQ58" s="306">
        <v>0</v>
      </c>
      <c r="DR58" s="306">
        <v>0</v>
      </c>
    </row>
    <row r="59" spans="1:122">
      <c r="A59" s="304" t="s">
        <v>776</v>
      </c>
      <c r="B59" s="306">
        <v>1</v>
      </c>
      <c r="BI59" s="304"/>
      <c r="BJ59" s="358" t="s">
        <v>704</v>
      </c>
      <c r="BK59" s="371"/>
      <c r="BL59" s="371"/>
      <c r="BM59" s="371"/>
      <c r="BN59" s="371"/>
      <c r="BO59" s="371"/>
      <c r="BP59" s="371"/>
      <c r="BQ59" s="371"/>
      <c r="BR59" s="371"/>
      <c r="BS59" s="371"/>
      <c r="BT59" s="371"/>
      <c r="BU59" s="371"/>
      <c r="BV59" s="371"/>
      <c r="BW59" s="371"/>
      <c r="BX59" s="371"/>
      <c r="BY59" s="371"/>
      <c r="BZ59" s="371"/>
      <c r="CA59" s="371"/>
      <c r="CB59" s="371"/>
      <c r="CC59" s="371"/>
      <c r="CD59" s="371"/>
      <c r="CE59" s="371"/>
      <c r="CF59" s="371"/>
      <c r="CG59" s="371"/>
      <c r="CH59" s="371"/>
      <c r="CI59" s="371"/>
      <c r="CJ59" s="371"/>
      <c r="CK59" s="371"/>
      <c r="CL59" s="371"/>
      <c r="CO59" s="304"/>
      <c r="CP59" s="358" t="s">
        <v>703</v>
      </c>
      <c r="CQ59" s="371"/>
      <c r="CR59" s="371"/>
      <c r="CS59" s="371"/>
      <c r="CT59" s="371"/>
      <c r="CU59" s="371"/>
      <c r="CV59" s="371"/>
      <c r="CW59" s="371"/>
      <c r="CX59" s="371"/>
      <c r="CY59" s="371"/>
      <c r="CZ59" s="371"/>
      <c r="DA59" s="371"/>
      <c r="DB59" s="371"/>
      <c r="DC59" s="371"/>
      <c r="DD59" s="371"/>
      <c r="DE59" s="371"/>
      <c r="DF59" s="371"/>
      <c r="DG59" s="371"/>
      <c r="DH59" s="371"/>
      <c r="DI59" s="371"/>
      <c r="DJ59" s="371"/>
      <c r="DK59" s="371"/>
      <c r="DL59" s="371"/>
      <c r="DM59" s="371"/>
      <c r="DN59" s="371"/>
      <c r="DO59" s="371"/>
      <c r="DP59" s="371"/>
      <c r="DQ59" s="371"/>
      <c r="DR59" s="371"/>
    </row>
    <row r="60" spans="1:122">
      <c r="A60" s="304" t="s">
        <v>777</v>
      </c>
      <c r="B60" s="306">
        <v>1</v>
      </c>
    </row>
    <row r="61" spans="1:122">
      <c r="A61" s="304" t="s">
        <v>672</v>
      </c>
      <c r="B61" s="306">
        <v>1</v>
      </c>
    </row>
    <row r="62" spans="1:122" ht="174.6">
      <c r="A62" s="304" t="s">
        <v>673</v>
      </c>
      <c r="B62" s="306">
        <v>1</v>
      </c>
      <c r="BI62" s="303" t="s">
        <v>641</v>
      </c>
      <c r="BJ62" s="234" t="s">
        <v>683</v>
      </c>
      <c r="BK62" s="234" t="s">
        <v>684</v>
      </c>
      <c r="BL62" s="234" t="s">
        <v>685</v>
      </c>
      <c r="BM62" s="234" t="s">
        <v>686</v>
      </c>
      <c r="BN62" s="234" t="s">
        <v>749</v>
      </c>
      <c r="BO62" s="234" t="s">
        <v>750</v>
      </c>
      <c r="BP62" s="234" t="s">
        <v>687</v>
      </c>
      <c r="BQ62" s="234" t="s">
        <v>688</v>
      </c>
      <c r="BR62" s="234" t="s">
        <v>689</v>
      </c>
      <c r="BS62" s="234" t="s">
        <v>751</v>
      </c>
      <c r="BT62" s="234" t="s">
        <v>690</v>
      </c>
      <c r="BU62" s="234" t="s">
        <v>691</v>
      </c>
      <c r="BV62" s="234" t="s">
        <v>692</v>
      </c>
      <c r="BW62" s="234" t="s">
        <v>693</v>
      </c>
      <c r="BX62" s="234" t="s">
        <v>694</v>
      </c>
      <c r="BY62" s="234" t="s">
        <v>695</v>
      </c>
      <c r="BZ62" s="234" t="s">
        <v>752</v>
      </c>
      <c r="CA62" s="234" t="s">
        <v>753</v>
      </c>
      <c r="CB62" s="234" t="s">
        <v>754</v>
      </c>
      <c r="CC62" s="234" t="s">
        <v>755</v>
      </c>
      <c r="CD62" s="234" t="s">
        <v>756</v>
      </c>
      <c r="CE62" s="234" t="s">
        <v>757</v>
      </c>
      <c r="CF62" s="234" t="s">
        <v>696</v>
      </c>
      <c r="CG62" s="234" t="s">
        <v>758</v>
      </c>
      <c r="CH62" s="234" t="s">
        <v>759</v>
      </c>
      <c r="CI62" s="234" t="s">
        <v>760</v>
      </c>
      <c r="CJ62" s="234" t="s">
        <v>761</v>
      </c>
      <c r="CK62" s="234" t="s">
        <v>697</v>
      </c>
      <c r="CL62" s="234" t="s">
        <v>762</v>
      </c>
    </row>
    <row r="63" spans="1:122">
      <c r="A63" s="304" t="s">
        <v>722</v>
      </c>
      <c r="B63" s="306">
        <v>1</v>
      </c>
      <c r="BI63" s="304" t="s">
        <v>642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  <c r="BS63" s="306">
        <v>0</v>
      </c>
      <c r="BT63" s="306">
        <v>0</v>
      </c>
      <c r="BU63" s="306">
        <v>0</v>
      </c>
      <c r="BV63" s="306">
        <v>0</v>
      </c>
      <c r="BW63" s="306">
        <v>0</v>
      </c>
      <c r="BX63" s="306">
        <v>0</v>
      </c>
      <c r="BY63" s="306">
        <v>0</v>
      </c>
      <c r="BZ63" s="306">
        <v>0</v>
      </c>
      <c r="CA63" s="306">
        <v>0</v>
      </c>
      <c r="CB63" s="306">
        <v>0</v>
      </c>
      <c r="CC63" s="306">
        <v>0</v>
      </c>
      <c r="CD63" s="306">
        <v>0</v>
      </c>
      <c r="CE63" s="306">
        <v>0</v>
      </c>
      <c r="CF63" s="306">
        <v>6408288.6211381704</v>
      </c>
      <c r="CG63" s="306">
        <v>0</v>
      </c>
      <c r="CH63" s="306">
        <v>0</v>
      </c>
      <c r="CI63" s="306">
        <v>0</v>
      </c>
      <c r="CJ63" s="306">
        <v>0</v>
      </c>
      <c r="CK63" s="306">
        <v>0</v>
      </c>
      <c r="CL63" s="306">
        <v>0</v>
      </c>
    </row>
    <row r="64" spans="1:122">
      <c r="A64" s="304" t="s">
        <v>723</v>
      </c>
      <c r="B64" s="306">
        <v>1</v>
      </c>
      <c r="BI64" s="304" t="s">
        <v>708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45017.590801780199</v>
      </c>
      <c r="BP64" s="306">
        <v>0</v>
      </c>
      <c r="BQ64" s="306">
        <v>0</v>
      </c>
      <c r="BR64" s="306">
        <v>0</v>
      </c>
      <c r="BS64" s="306">
        <v>0</v>
      </c>
      <c r="BT64" s="306">
        <v>0</v>
      </c>
      <c r="BU64" s="306">
        <v>0</v>
      </c>
      <c r="BV64" s="306">
        <v>0</v>
      </c>
      <c r="BW64" s="306">
        <v>0</v>
      </c>
      <c r="BX64" s="306">
        <v>0</v>
      </c>
      <c r="BY64" s="306">
        <v>0</v>
      </c>
      <c r="BZ64" s="306">
        <v>0</v>
      </c>
      <c r="CA64" s="306">
        <v>0</v>
      </c>
      <c r="CB64" s="306">
        <v>0</v>
      </c>
      <c r="CC64" s="306">
        <v>0</v>
      </c>
      <c r="CD64" s="306">
        <v>0</v>
      </c>
      <c r="CE64" s="306">
        <v>0</v>
      </c>
      <c r="CF64" s="306">
        <v>0</v>
      </c>
      <c r="CG64" s="306">
        <v>0</v>
      </c>
      <c r="CH64" s="306">
        <v>0</v>
      </c>
      <c r="CI64" s="306">
        <v>0</v>
      </c>
      <c r="CJ64" s="306">
        <v>0</v>
      </c>
      <c r="CK64" s="306">
        <v>0</v>
      </c>
      <c r="CL64" s="306">
        <v>0</v>
      </c>
    </row>
    <row r="65" spans="1:90">
      <c r="A65" s="304" t="s">
        <v>674</v>
      </c>
      <c r="B65" s="306">
        <v>1</v>
      </c>
      <c r="BI65" s="304" t="s">
        <v>643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  <c r="BS65" s="306">
        <v>0</v>
      </c>
      <c r="BT65" s="306">
        <v>0</v>
      </c>
      <c r="BU65" s="306">
        <v>0</v>
      </c>
      <c r="BV65" s="306">
        <v>0</v>
      </c>
      <c r="BW65" s="306">
        <v>0</v>
      </c>
      <c r="BX65" s="306">
        <v>0</v>
      </c>
      <c r="BY65" s="306">
        <v>0</v>
      </c>
      <c r="BZ65" s="306">
        <v>0</v>
      </c>
      <c r="CA65" s="306">
        <v>0</v>
      </c>
      <c r="CB65" s="306">
        <v>0</v>
      </c>
      <c r="CC65" s="306">
        <v>0</v>
      </c>
      <c r="CD65" s="306">
        <v>0</v>
      </c>
      <c r="CE65" s="306">
        <v>0</v>
      </c>
      <c r="CF65" s="306">
        <v>0</v>
      </c>
      <c r="CG65" s="306">
        <v>0</v>
      </c>
      <c r="CH65" s="306">
        <v>0</v>
      </c>
      <c r="CI65" s="306">
        <v>0</v>
      </c>
      <c r="CJ65" s="306">
        <v>0</v>
      </c>
      <c r="CK65" s="306">
        <v>0</v>
      </c>
      <c r="CL65" s="306">
        <v>0</v>
      </c>
    </row>
    <row r="66" spans="1:90">
      <c r="A66" s="304" t="s">
        <v>724</v>
      </c>
      <c r="B66" s="306">
        <v>1</v>
      </c>
      <c r="BI66" s="304" t="s">
        <v>644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  <c r="BS66" s="306">
        <v>0</v>
      </c>
      <c r="BT66" s="306">
        <v>0</v>
      </c>
      <c r="BU66" s="306">
        <v>0</v>
      </c>
      <c r="BV66" s="306">
        <v>0</v>
      </c>
      <c r="BW66" s="306">
        <v>0</v>
      </c>
      <c r="BX66" s="306">
        <v>0</v>
      </c>
      <c r="BY66" s="306">
        <v>0</v>
      </c>
      <c r="BZ66" s="306">
        <v>0</v>
      </c>
      <c r="CA66" s="306">
        <v>0</v>
      </c>
      <c r="CB66" s="306">
        <v>0</v>
      </c>
      <c r="CC66" s="306">
        <v>0</v>
      </c>
      <c r="CD66" s="306">
        <v>0</v>
      </c>
      <c r="CE66" s="306">
        <v>0</v>
      </c>
      <c r="CF66" s="306">
        <v>0</v>
      </c>
      <c r="CG66" s="306">
        <v>0</v>
      </c>
      <c r="CH66" s="306">
        <v>0</v>
      </c>
      <c r="CI66" s="306">
        <v>0</v>
      </c>
      <c r="CJ66" s="306">
        <v>0</v>
      </c>
      <c r="CK66" s="306">
        <v>0</v>
      </c>
      <c r="CL66" s="306">
        <v>0</v>
      </c>
    </row>
    <row r="67" spans="1:90">
      <c r="A67" s="304" t="s">
        <v>725</v>
      </c>
      <c r="B67" s="306">
        <v>1</v>
      </c>
      <c r="BI67" s="304" t="s">
        <v>645</v>
      </c>
      <c r="BJ67" s="306">
        <v>6682782.3361421302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  <c r="BS67" s="306">
        <v>0</v>
      </c>
      <c r="BT67" s="306">
        <v>0</v>
      </c>
      <c r="BU67" s="306">
        <v>0</v>
      </c>
      <c r="BV67" s="306">
        <v>0</v>
      </c>
      <c r="BW67" s="306">
        <v>0</v>
      </c>
      <c r="BX67" s="306">
        <v>0</v>
      </c>
      <c r="BY67" s="306">
        <v>0</v>
      </c>
      <c r="BZ67" s="306">
        <v>0</v>
      </c>
      <c r="CA67" s="306">
        <v>0</v>
      </c>
      <c r="CB67" s="306">
        <v>0</v>
      </c>
      <c r="CC67" s="306">
        <v>0</v>
      </c>
      <c r="CD67" s="306">
        <v>0</v>
      </c>
      <c r="CE67" s="306">
        <v>0</v>
      </c>
      <c r="CF67" s="306">
        <v>0</v>
      </c>
      <c r="CG67" s="306">
        <v>0</v>
      </c>
      <c r="CH67" s="306">
        <v>0</v>
      </c>
      <c r="CI67" s="306">
        <v>0</v>
      </c>
      <c r="CJ67" s="306">
        <v>0</v>
      </c>
      <c r="CK67" s="306">
        <v>0</v>
      </c>
      <c r="CL67" s="306">
        <v>0</v>
      </c>
    </row>
    <row r="68" spans="1:90">
      <c r="A68" s="304" t="s">
        <v>726</v>
      </c>
      <c r="B68" s="306">
        <v>1</v>
      </c>
      <c r="BI68" s="304" t="s">
        <v>646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8855804.3203369807</v>
      </c>
      <c r="BS68" s="306">
        <v>0</v>
      </c>
      <c r="BT68" s="306">
        <v>0</v>
      </c>
      <c r="BU68" s="306">
        <v>0</v>
      </c>
      <c r="BV68" s="306">
        <v>0</v>
      </c>
      <c r="BW68" s="306">
        <v>0</v>
      </c>
      <c r="BX68" s="306">
        <v>0</v>
      </c>
      <c r="BY68" s="306">
        <v>0</v>
      </c>
      <c r="BZ68" s="306">
        <v>0</v>
      </c>
      <c r="CA68" s="306">
        <v>0</v>
      </c>
      <c r="CB68" s="306">
        <v>0</v>
      </c>
      <c r="CC68" s="306">
        <v>0</v>
      </c>
      <c r="CD68" s="306">
        <v>0</v>
      </c>
      <c r="CE68" s="306">
        <v>0</v>
      </c>
      <c r="CF68" s="306">
        <v>0</v>
      </c>
      <c r="CG68" s="306">
        <v>0</v>
      </c>
      <c r="CH68" s="306">
        <v>0</v>
      </c>
      <c r="CI68" s="306">
        <v>0</v>
      </c>
      <c r="CJ68" s="306">
        <v>0</v>
      </c>
      <c r="CK68" s="306">
        <v>0</v>
      </c>
      <c r="CL68" s="306">
        <v>0</v>
      </c>
    </row>
    <row r="69" spans="1:90">
      <c r="A69" s="304" t="s">
        <v>778</v>
      </c>
      <c r="B69" s="306">
        <v>1</v>
      </c>
      <c r="BI69" s="304" t="s">
        <v>647</v>
      </c>
      <c r="BJ69" s="306">
        <v>0</v>
      </c>
      <c r="BK69" s="306">
        <v>0</v>
      </c>
      <c r="BL69" s="306">
        <v>0</v>
      </c>
      <c r="BM69" s="306">
        <v>8855804.3203369807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  <c r="BS69" s="306">
        <v>0</v>
      </c>
      <c r="BT69" s="306">
        <v>0</v>
      </c>
      <c r="BU69" s="306">
        <v>0</v>
      </c>
      <c r="BV69" s="306">
        <v>0</v>
      </c>
      <c r="BW69" s="306">
        <v>0</v>
      </c>
      <c r="BX69" s="306">
        <v>0</v>
      </c>
      <c r="BY69" s="306">
        <v>0</v>
      </c>
      <c r="BZ69" s="306">
        <v>0</v>
      </c>
      <c r="CA69" s="306">
        <v>0</v>
      </c>
      <c r="CB69" s="306">
        <v>0</v>
      </c>
      <c r="CC69" s="306">
        <v>0</v>
      </c>
      <c r="CD69" s="306">
        <v>0</v>
      </c>
      <c r="CE69" s="306">
        <v>0</v>
      </c>
      <c r="CF69" s="306">
        <v>0</v>
      </c>
      <c r="CG69" s="306">
        <v>0</v>
      </c>
      <c r="CH69" s="306">
        <v>0</v>
      </c>
      <c r="CI69" s="306">
        <v>0</v>
      </c>
      <c r="CJ69" s="306">
        <v>0</v>
      </c>
      <c r="CK69" s="306">
        <v>0</v>
      </c>
      <c r="CL69" s="306">
        <v>0</v>
      </c>
    </row>
    <row r="70" spans="1:90">
      <c r="A70" s="304" t="s">
        <v>779</v>
      </c>
      <c r="B70" s="306">
        <v>1</v>
      </c>
      <c r="BI70" s="304" t="s">
        <v>648</v>
      </c>
      <c r="BJ70" s="306">
        <v>0</v>
      </c>
      <c r="BK70" s="306">
        <v>8855804.3203369807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  <c r="BS70" s="306">
        <v>0</v>
      </c>
      <c r="BT70" s="306">
        <v>0</v>
      </c>
      <c r="BU70" s="306">
        <v>0</v>
      </c>
      <c r="BV70" s="306">
        <v>0</v>
      </c>
      <c r="BW70" s="306">
        <v>0</v>
      </c>
      <c r="BX70" s="306">
        <v>0</v>
      </c>
      <c r="BY70" s="306">
        <v>0</v>
      </c>
      <c r="BZ70" s="306">
        <v>0</v>
      </c>
      <c r="CA70" s="306">
        <v>0</v>
      </c>
      <c r="CB70" s="306">
        <v>0</v>
      </c>
      <c r="CC70" s="306">
        <v>0</v>
      </c>
      <c r="CD70" s="306">
        <v>0</v>
      </c>
      <c r="CE70" s="306">
        <v>0</v>
      </c>
      <c r="CF70" s="306">
        <v>0</v>
      </c>
      <c r="CG70" s="306">
        <v>0</v>
      </c>
      <c r="CH70" s="306">
        <v>0</v>
      </c>
      <c r="CI70" s="306">
        <v>0</v>
      </c>
      <c r="CJ70" s="306">
        <v>0</v>
      </c>
      <c r="CK70" s="306">
        <v>0</v>
      </c>
      <c r="CL70" s="306">
        <v>0</v>
      </c>
    </row>
    <row r="71" spans="1:90">
      <c r="A71" s="304" t="s">
        <v>675</v>
      </c>
      <c r="B71" s="306">
        <v>1</v>
      </c>
      <c r="BI71" s="304" t="s">
        <v>649</v>
      </c>
      <c r="BJ71" s="306">
        <v>0</v>
      </c>
      <c r="BK71" s="306">
        <v>0</v>
      </c>
      <c r="BL71" s="306">
        <v>8850991.3601140399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  <c r="BS71" s="306">
        <v>0</v>
      </c>
      <c r="BT71" s="306">
        <v>0</v>
      </c>
      <c r="BU71" s="306">
        <v>0</v>
      </c>
      <c r="BV71" s="306">
        <v>0</v>
      </c>
      <c r="BW71" s="306">
        <v>0</v>
      </c>
      <c r="BX71" s="306">
        <v>0</v>
      </c>
      <c r="BY71" s="306">
        <v>0</v>
      </c>
      <c r="BZ71" s="306">
        <v>0</v>
      </c>
      <c r="CA71" s="306">
        <v>0</v>
      </c>
      <c r="CB71" s="306">
        <v>0</v>
      </c>
      <c r="CC71" s="306">
        <v>0</v>
      </c>
      <c r="CD71" s="306">
        <v>0</v>
      </c>
      <c r="CE71" s="306">
        <v>0</v>
      </c>
      <c r="CF71" s="306">
        <v>0</v>
      </c>
      <c r="CG71" s="306">
        <v>0</v>
      </c>
      <c r="CH71" s="306">
        <v>0</v>
      </c>
      <c r="CI71" s="306">
        <v>0</v>
      </c>
      <c r="CJ71" s="306">
        <v>0</v>
      </c>
      <c r="CK71" s="306">
        <v>0</v>
      </c>
      <c r="CL71" s="306">
        <v>0</v>
      </c>
    </row>
    <row r="72" spans="1:90">
      <c r="A72" s="304" t="s">
        <v>676</v>
      </c>
      <c r="B72" s="306">
        <v>1</v>
      </c>
      <c r="BI72" s="304" t="s">
        <v>650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4026178.1360752499</v>
      </c>
      <c r="BR72" s="306">
        <v>0</v>
      </c>
      <c r="BS72" s="306">
        <v>0</v>
      </c>
      <c r="BT72" s="306">
        <v>0</v>
      </c>
      <c r="BU72" s="306">
        <v>0</v>
      </c>
      <c r="BV72" s="306">
        <v>0</v>
      </c>
      <c r="BW72" s="306">
        <v>0</v>
      </c>
      <c r="BX72" s="306">
        <v>0</v>
      </c>
      <c r="BY72" s="306">
        <v>0</v>
      </c>
      <c r="BZ72" s="306">
        <v>0</v>
      </c>
      <c r="CA72" s="306">
        <v>0</v>
      </c>
      <c r="CB72" s="306">
        <v>0</v>
      </c>
      <c r="CC72" s="306">
        <v>0</v>
      </c>
      <c r="CD72" s="306">
        <v>0</v>
      </c>
      <c r="CE72" s="306">
        <v>0</v>
      </c>
      <c r="CF72" s="306">
        <v>0</v>
      </c>
      <c r="CG72" s="306">
        <v>0</v>
      </c>
      <c r="CH72" s="306">
        <v>0</v>
      </c>
      <c r="CI72" s="306">
        <v>0</v>
      </c>
      <c r="CJ72" s="306">
        <v>0</v>
      </c>
      <c r="CK72" s="306">
        <v>0</v>
      </c>
      <c r="CL72" s="306">
        <v>0</v>
      </c>
    </row>
    <row r="73" spans="1:90">
      <c r="A73" s="304" t="s">
        <v>677</v>
      </c>
      <c r="B73" s="306">
        <v>1</v>
      </c>
      <c r="BI73" s="304" t="s">
        <v>709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66251.174567632304</v>
      </c>
      <c r="BP73" s="306">
        <v>0</v>
      </c>
      <c r="BQ73" s="306">
        <v>0</v>
      </c>
      <c r="BR73" s="306">
        <v>0</v>
      </c>
      <c r="BS73" s="306">
        <v>0</v>
      </c>
      <c r="BT73" s="306">
        <v>0</v>
      </c>
      <c r="BU73" s="306">
        <v>0</v>
      </c>
      <c r="BV73" s="306">
        <v>0</v>
      </c>
      <c r="BW73" s="306">
        <v>0</v>
      </c>
      <c r="BX73" s="306">
        <v>0</v>
      </c>
      <c r="BY73" s="306">
        <v>0</v>
      </c>
      <c r="BZ73" s="306">
        <v>0</v>
      </c>
      <c r="CA73" s="306">
        <v>0</v>
      </c>
      <c r="CB73" s="306">
        <v>0</v>
      </c>
      <c r="CC73" s="306">
        <v>0</v>
      </c>
      <c r="CD73" s="306">
        <v>0</v>
      </c>
      <c r="CE73" s="306">
        <v>0</v>
      </c>
      <c r="CF73" s="306">
        <v>0</v>
      </c>
      <c r="CG73" s="306">
        <v>0</v>
      </c>
      <c r="CH73" s="306">
        <v>0</v>
      </c>
      <c r="CI73" s="306">
        <v>0</v>
      </c>
      <c r="CJ73" s="306">
        <v>0</v>
      </c>
      <c r="CK73" s="306">
        <v>0</v>
      </c>
      <c r="CL73" s="306">
        <v>0</v>
      </c>
    </row>
    <row r="74" spans="1:90">
      <c r="A74" s="304" t="s">
        <v>780</v>
      </c>
      <c r="B74" s="306">
        <v>1</v>
      </c>
      <c r="BI74" s="304" t="s">
        <v>651</v>
      </c>
      <c r="BJ74" s="306">
        <v>11826.742854693801</v>
      </c>
      <c r="BK74" s="306">
        <v>0</v>
      </c>
      <c r="BL74" s="306">
        <v>30.954464502133501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14491.848717543</v>
      </c>
      <c r="BS74" s="306">
        <v>0</v>
      </c>
      <c r="BT74" s="306">
        <v>0</v>
      </c>
      <c r="BU74" s="306">
        <v>125.026374728874</v>
      </c>
      <c r="BV74" s="306">
        <v>0</v>
      </c>
      <c r="BW74" s="306">
        <v>0</v>
      </c>
      <c r="BX74" s="306">
        <v>0.374842703513311</v>
      </c>
      <c r="BY74" s="306">
        <v>0</v>
      </c>
      <c r="BZ74" s="306">
        <v>0</v>
      </c>
      <c r="CA74" s="306">
        <v>0</v>
      </c>
      <c r="CB74" s="306">
        <v>0</v>
      </c>
      <c r="CC74" s="306">
        <v>0</v>
      </c>
      <c r="CD74" s="306">
        <v>0</v>
      </c>
      <c r="CE74" s="306">
        <v>0</v>
      </c>
      <c r="CF74" s="306">
        <v>0</v>
      </c>
      <c r="CG74" s="306">
        <v>0</v>
      </c>
      <c r="CH74" s="306">
        <v>0</v>
      </c>
      <c r="CI74" s="306">
        <v>0</v>
      </c>
      <c r="CJ74" s="306">
        <v>0</v>
      </c>
      <c r="CK74" s="306">
        <v>2671.5132120132398</v>
      </c>
      <c r="CL74" s="306">
        <v>0</v>
      </c>
    </row>
    <row r="75" spans="1:90">
      <c r="A75" s="304" t="s">
        <v>727</v>
      </c>
      <c r="B75" s="306">
        <v>1</v>
      </c>
      <c r="BI75" s="304" t="s">
        <v>652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  <c r="BS75" s="306">
        <v>0</v>
      </c>
      <c r="BT75" s="306">
        <v>0</v>
      </c>
      <c r="BU75" s="306">
        <v>0</v>
      </c>
      <c r="BV75" s="306">
        <v>0</v>
      </c>
      <c r="BW75" s="306">
        <v>0</v>
      </c>
      <c r="BX75" s="306">
        <v>0</v>
      </c>
      <c r="BY75" s="306">
        <v>0</v>
      </c>
      <c r="BZ75" s="306">
        <v>0</v>
      </c>
      <c r="CA75" s="306">
        <v>0</v>
      </c>
      <c r="CB75" s="306">
        <v>0</v>
      </c>
      <c r="CC75" s="306">
        <v>0</v>
      </c>
      <c r="CD75" s="306">
        <v>0</v>
      </c>
      <c r="CE75" s="306">
        <v>0</v>
      </c>
      <c r="CF75" s="306">
        <v>0</v>
      </c>
      <c r="CG75" s="306">
        <v>0</v>
      </c>
      <c r="CH75" s="306">
        <v>0</v>
      </c>
      <c r="CI75" s="306">
        <v>0</v>
      </c>
      <c r="CJ75" s="306">
        <v>0</v>
      </c>
      <c r="CK75" s="306">
        <v>0</v>
      </c>
      <c r="CL75" s="306">
        <v>0</v>
      </c>
    </row>
    <row r="76" spans="1:90">
      <c r="A76" s="304" t="s">
        <v>728</v>
      </c>
      <c r="B76" s="306">
        <v>1</v>
      </c>
      <c r="BI76" s="304" t="s">
        <v>653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  <c r="BS76" s="306">
        <v>0</v>
      </c>
      <c r="BT76" s="306">
        <v>0</v>
      </c>
      <c r="BU76" s="306">
        <v>0</v>
      </c>
      <c r="BV76" s="306">
        <v>0</v>
      </c>
      <c r="BW76" s="306">
        <v>0</v>
      </c>
      <c r="BX76" s="306">
        <v>0</v>
      </c>
      <c r="BY76" s="306">
        <v>0</v>
      </c>
      <c r="BZ76" s="306">
        <v>0</v>
      </c>
      <c r="CA76" s="306">
        <v>0</v>
      </c>
      <c r="CB76" s="306">
        <v>0</v>
      </c>
      <c r="CC76" s="306">
        <v>0</v>
      </c>
      <c r="CD76" s="306">
        <v>0</v>
      </c>
      <c r="CE76" s="306">
        <v>0</v>
      </c>
      <c r="CF76" s="306">
        <v>0</v>
      </c>
      <c r="CG76" s="306">
        <v>0</v>
      </c>
      <c r="CH76" s="306">
        <v>0</v>
      </c>
      <c r="CI76" s="306">
        <v>0</v>
      </c>
      <c r="CJ76" s="306">
        <v>0</v>
      </c>
      <c r="CK76" s="306">
        <v>0</v>
      </c>
      <c r="CL76" s="306">
        <v>0</v>
      </c>
    </row>
    <row r="77" spans="1:90">
      <c r="A77" s="304"/>
      <c r="B77" s="358" t="s">
        <v>707</v>
      </c>
      <c r="BI77" s="304" t="s">
        <v>654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0</v>
      </c>
      <c r="BQ77" s="306">
        <v>0</v>
      </c>
      <c r="BR77" s="306">
        <v>0</v>
      </c>
      <c r="BS77" s="306">
        <v>0</v>
      </c>
      <c r="BT77" s="306">
        <v>0</v>
      </c>
      <c r="BU77" s="306">
        <v>0</v>
      </c>
      <c r="BV77" s="306">
        <v>0</v>
      </c>
      <c r="BW77" s="306">
        <v>0</v>
      </c>
      <c r="BX77" s="306">
        <v>0</v>
      </c>
      <c r="BY77" s="306">
        <v>0</v>
      </c>
      <c r="BZ77" s="306">
        <v>0</v>
      </c>
      <c r="CA77" s="306">
        <v>0</v>
      </c>
      <c r="CB77" s="306">
        <v>0</v>
      </c>
      <c r="CC77" s="306">
        <v>0</v>
      </c>
      <c r="CD77" s="306">
        <v>0</v>
      </c>
      <c r="CE77" s="306">
        <v>0</v>
      </c>
      <c r="CF77" s="306">
        <v>0</v>
      </c>
      <c r="CG77" s="306">
        <v>0</v>
      </c>
      <c r="CH77" s="306">
        <v>0</v>
      </c>
      <c r="CI77" s="306">
        <v>0</v>
      </c>
      <c r="CJ77" s="306">
        <v>0</v>
      </c>
      <c r="CK77" s="306">
        <v>0</v>
      </c>
      <c r="CL77" s="306">
        <v>0</v>
      </c>
    </row>
    <row r="78" spans="1:90">
      <c r="BI78" s="304" t="s">
        <v>655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  <c r="BS78" s="306">
        <v>0</v>
      </c>
      <c r="BT78" s="306">
        <v>0</v>
      </c>
      <c r="BU78" s="306">
        <v>0</v>
      </c>
      <c r="BV78" s="306">
        <v>0</v>
      </c>
      <c r="BW78" s="306">
        <v>0</v>
      </c>
      <c r="BX78" s="306">
        <v>0</v>
      </c>
      <c r="BY78" s="306">
        <v>0</v>
      </c>
      <c r="BZ78" s="306">
        <v>0</v>
      </c>
      <c r="CA78" s="306">
        <v>0</v>
      </c>
      <c r="CB78" s="306">
        <v>0</v>
      </c>
      <c r="CC78" s="306">
        <v>0</v>
      </c>
      <c r="CD78" s="306">
        <v>0</v>
      </c>
      <c r="CE78" s="306">
        <v>0</v>
      </c>
      <c r="CF78" s="306">
        <v>0</v>
      </c>
      <c r="CG78" s="306">
        <v>0</v>
      </c>
      <c r="CH78" s="306">
        <v>0</v>
      </c>
      <c r="CI78" s="306">
        <v>0</v>
      </c>
      <c r="CJ78" s="306">
        <v>0</v>
      </c>
      <c r="CK78" s="306">
        <v>0</v>
      </c>
      <c r="CL78" s="306">
        <v>0</v>
      </c>
    </row>
    <row r="79" spans="1:90">
      <c r="BI79" s="304" t="s">
        <v>710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  <c r="BS79" s="306">
        <v>0</v>
      </c>
      <c r="BT79" s="306">
        <v>0</v>
      </c>
      <c r="BU79" s="306">
        <v>0</v>
      </c>
      <c r="BV79" s="306">
        <v>0</v>
      </c>
      <c r="BW79" s="306">
        <v>0</v>
      </c>
      <c r="BX79" s="306">
        <v>0</v>
      </c>
      <c r="BY79" s="306">
        <v>0</v>
      </c>
      <c r="BZ79" s="306">
        <v>0</v>
      </c>
      <c r="CA79" s="306">
        <v>0</v>
      </c>
      <c r="CB79" s="306">
        <v>0</v>
      </c>
      <c r="CC79" s="306">
        <v>0</v>
      </c>
      <c r="CD79" s="306">
        <v>0</v>
      </c>
      <c r="CE79" s="306">
        <v>0</v>
      </c>
      <c r="CF79" s="306">
        <v>0</v>
      </c>
      <c r="CG79" s="306">
        <v>0</v>
      </c>
      <c r="CH79" s="306">
        <v>0</v>
      </c>
      <c r="CI79" s="306">
        <v>0</v>
      </c>
      <c r="CJ79" s="306">
        <v>91837.795018258301</v>
      </c>
      <c r="CK79" s="306">
        <v>0</v>
      </c>
      <c r="CL79" s="306">
        <v>0</v>
      </c>
    </row>
    <row r="80" spans="1:90">
      <c r="BI80" s="304" t="s">
        <v>711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  <c r="BS80" s="306">
        <v>0</v>
      </c>
      <c r="BT80" s="306">
        <v>0</v>
      </c>
      <c r="BU80" s="306">
        <v>0</v>
      </c>
      <c r="BV80" s="306">
        <v>0</v>
      </c>
      <c r="BW80" s="306">
        <v>0</v>
      </c>
      <c r="BX80" s="306">
        <v>0</v>
      </c>
      <c r="BY80" s="306">
        <v>0</v>
      </c>
      <c r="BZ80" s="306">
        <v>0</v>
      </c>
      <c r="CA80" s="306">
        <v>0</v>
      </c>
      <c r="CB80" s="306">
        <v>0</v>
      </c>
      <c r="CC80" s="306">
        <v>0</v>
      </c>
      <c r="CD80" s="306">
        <v>0</v>
      </c>
      <c r="CE80" s="306">
        <v>0</v>
      </c>
      <c r="CF80" s="306">
        <v>0</v>
      </c>
      <c r="CG80" s="306">
        <v>0</v>
      </c>
      <c r="CH80" s="306">
        <v>0</v>
      </c>
      <c r="CI80" s="306">
        <v>290.15291867903898</v>
      </c>
      <c r="CJ80" s="306">
        <v>0</v>
      </c>
      <c r="CK80" s="306">
        <v>0</v>
      </c>
      <c r="CL80" s="306">
        <v>0</v>
      </c>
    </row>
    <row r="81" spans="61:90">
      <c r="BI81" s="304" t="s">
        <v>656</v>
      </c>
      <c r="BJ81" s="306">
        <v>318930.104231745</v>
      </c>
      <c r="BK81" s="306">
        <v>50.358084153937803</v>
      </c>
      <c r="BL81" s="306">
        <v>80616.370239891301</v>
      </c>
      <c r="BM81" s="306">
        <v>282.12877103151499</v>
      </c>
      <c r="BN81" s="306">
        <v>0</v>
      </c>
      <c r="BO81" s="306">
        <v>0</v>
      </c>
      <c r="BP81" s="306">
        <v>0</v>
      </c>
      <c r="BQ81" s="306">
        <v>33191.859393697501</v>
      </c>
      <c r="BR81" s="306">
        <v>0</v>
      </c>
      <c r="BS81" s="306">
        <v>0</v>
      </c>
      <c r="BT81" s="306">
        <v>12626.098826338701</v>
      </c>
      <c r="BU81" s="306">
        <v>0</v>
      </c>
      <c r="BV81" s="306">
        <v>609792.25175934797</v>
      </c>
      <c r="BW81" s="306">
        <v>34.678095164115</v>
      </c>
      <c r="BX81" s="306">
        <v>0</v>
      </c>
      <c r="BY81" s="306">
        <v>2824.8856477449199</v>
      </c>
      <c r="BZ81" s="306">
        <v>0</v>
      </c>
      <c r="CA81" s="306">
        <v>0</v>
      </c>
      <c r="CB81" s="306">
        <v>0</v>
      </c>
      <c r="CC81" s="306">
        <v>0</v>
      </c>
      <c r="CD81" s="306">
        <v>0</v>
      </c>
      <c r="CE81" s="306">
        <v>0</v>
      </c>
      <c r="CF81" s="306">
        <v>0</v>
      </c>
      <c r="CG81" s="306">
        <v>0</v>
      </c>
      <c r="CH81" s="306">
        <v>0</v>
      </c>
      <c r="CI81" s="306">
        <v>0</v>
      </c>
      <c r="CJ81" s="306">
        <v>0</v>
      </c>
      <c r="CK81" s="306">
        <v>0</v>
      </c>
      <c r="CL81" s="306">
        <v>0</v>
      </c>
    </row>
    <row r="82" spans="61:90">
      <c r="BI82" s="304" t="s">
        <v>657</v>
      </c>
      <c r="BJ82" s="306">
        <v>29112.263489807599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  <c r="BS82" s="306">
        <v>0</v>
      </c>
      <c r="BT82" s="306">
        <v>0</v>
      </c>
      <c r="BU82" s="306">
        <v>0</v>
      </c>
      <c r="BV82" s="306">
        <v>0</v>
      </c>
      <c r="BW82" s="306">
        <v>0</v>
      </c>
      <c r="BX82" s="306">
        <v>0</v>
      </c>
      <c r="BY82" s="306">
        <v>0</v>
      </c>
      <c r="BZ82" s="306">
        <v>0</v>
      </c>
      <c r="CA82" s="306">
        <v>0</v>
      </c>
      <c r="CB82" s="306">
        <v>0</v>
      </c>
      <c r="CC82" s="306">
        <v>0</v>
      </c>
      <c r="CD82" s="306">
        <v>0</v>
      </c>
      <c r="CE82" s="306">
        <v>0</v>
      </c>
      <c r="CF82" s="306">
        <v>0</v>
      </c>
      <c r="CG82" s="306">
        <v>0</v>
      </c>
      <c r="CH82" s="306">
        <v>0</v>
      </c>
      <c r="CI82" s="306">
        <v>0</v>
      </c>
      <c r="CJ82" s="306">
        <v>0</v>
      </c>
      <c r="CK82" s="306">
        <v>0</v>
      </c>
      <c r="CL82" s="306">
        <v>0</v>
      </c>
    </row>
    <row r="83" spans="61:90">
      <c r="BI83" s="304" t="s">
        <v>658</v>
      </c>
      <c r="BJ83" s="306">
        <v>0</v>
      </c>
      <c r="BK83" s="306">
        <v>0</v>
      </c>
      <c r="BL83" s="306">
        <v>23309.045257575199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  <c r="BS83" s="306">
        <v>0</v>
      </c>
      <c r="BT83" s="306">
        <v>0</v>
      </c>
      <c r="BU83" s="306">
        <v>94146.207140653802</v>
      </c>
      <c r="BV83" s="306">
        <v>0</v>
      </c>
      <c r="BW83" s="306">
        <v>0</v>
      </c>
      <c r="BX83" s="306">
        <v>257.99399332425401</v>
      </c>
      <c r="BY83" s="306">
        <v>0</v>
      </c>
      <c r="BZ83" s="306">
        <v>2511.39821094118</v>
      </c>
      <c r="CA83" s="306">
        <v>0</v>
      </c>
      <c r="CB83" s="306">
        <v>0</v>
      </c>
      <c r="CC83" s="306">
        <v>0</v>
      </c>
      <c r="CD83" s="306">
        <v>0</v>
      </c>
      <c r="CE83" s="306">
        <v>0</v>
      </c>
      <c r="CF83" s="306">
        <v>0</v>
      </c>
      <c r="CG83" s="306">
        <v>0</v>
      </c>
      <c r="CH83" s="306">
        <v>0</v>
      </c>
      <c r="CI83" s="306">
        <v>0</v>
      </c>
      <c r="CJ83" s="306">
        <v>0</v>
      </c>
      <c r="CK83" s="306">
        <v>0</v>
      </c>
      <c r="CL83" s="306">
        <v>0</v>
      </c>
    </row>
    <row r="84" spans="61:90">
      <c r="BI84" s="304" t="s">
        <v>712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  <c r="BS84" s="306">
        <v>0</v>
      </c>
      <c r="BT84" s="306">
        <v>0</v>
      </c>
      <c r="BU84" s="306">
        <v>0</v>
      </c>
      <c r="BV84" s="306">
        <v>0</v>
      </c>
      <c r="BW84" s="306">
        <v>0</v>
      </c>
      <c r="BX84" s="306">
        <v>0</v>
      </c>
      <c r="BY84" s="306">
        <v>0</v>
      </c>
      <c r="BZ84" s="306">
        <v>4830.4442158522497</v>
      </c>
      <c r="CA84" s="306">
        <v>0</v>
      </c>
      <c r="CB84" s="306">
        <v>0</v>
      </c>
      <c r="CC84" s="306">
        <v>0</v>
      </c>
      <c r="CD84" s="306">
        <v>0</v>
      </c>
      <c r="CE84" s="306">
        <v>0</v>
      </c>
      <c r="CF84" s="306">
        <v>0</v>
      </c>
      <c r="CG84" s="306">
        <v>0</v>
      </c>
      <c r="CH84" s="306">
        <v>0</v>
      </c>
      <c r="CI84" s="306">
        <v>0</v>
      </c>
      <c r="CJ84" s="306">
        <v>0</v>
      </c>
      <c r="CK84" s="306">
        <v>0</v>
      </c>
      <c r="CL84" s="306">
        <v>0</v>
      </c>
    </row>
    <row r="85" spans="61:90">
      <c r="BI85" s="304" t="s">
        <v>713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  <c r="BS85" s="306">
        <v>0</v>
      </c>
      <c r="BT85" s="306">
        <v>0</v>
      </c>
      <c r="BU85" s="306">
        <v>0</v>
      </c>
      <c r="BV85" s="306">
        <v>0</v>
      </c>
      <c r="BW85" s="306">
        <v>0</v>
      </c>
      <c r="BX85" s="306">
        <v>0</v>
      </c>
      <c r="BY85" s="306">
        <v>0</v>
      </c>
      <c r="BZ85" s="306">
        <v>0</v>
      </c>
      <c r="CA85" s="306">
        <v>4830.4442158522497</v>
      </c>
      <c r="CB85" s="306">
        <v>0</v>
      </c>
      <c r="CC85" s="306">
        <v>0</v>
      </c>
      <c r="CD85" s="306">
        <v>0</v>
      </c>
      <c r="CE85" s="306">
        <v>0</v>
      </c>
      <c r="CF85" s="306">
        <v>0</v>
      </c>
      <c r="CG85" s="306">
        <v>0</v>
      </c>
      <c r="CH85" s="306">
        <v>0</v>
      </c>
      <c r="CI85" s="306">
        <v>0</v>
      </c>
      <c r="CJ85" s="306">
        <v>0</v>
      </c>
      <c r="CK85" s="306">
        <v>0</v>
      </c>
      <c r="CL85" s="306">
        <v>0</v>
      </c>
    </row>
    <row r="86" spans="61:90">
      <c r="BI86" s="304" t="s">
        <v>659</v>
      </c>
      <c r="BJ86" s="306">
        <v>0</v>
      </c>
      <c r="BK86" s="306">
        <v>0</v>
      </c>
      <c r="BL86" s="306">
        <v>0</v>
      </c>
      <c r="BM86" s="306">
        <v>0</v>
      </c>
      <c r="BN86" s="306">
        <v>0</v>
      </c>
      <c r="BO86" s="306">
        <v>0</v>
      </c>
      <c r="BP86" s="306">
        <v>0</v>
      </c>
      <c r="BQ86" s="306">
        <v>0</v>
      </c>
      <c r="BR86" s="306">
        <v>0</v>
      </c>
      <c r="BS86" s="306">
        <v>0</v>
      </c>
      <c r="BT86" s="306">
        <v>0</v>
      </c>
      <c r="BU86" s="306">
        <v>0</v>
      </c>
      <c r="BV86" s="306">
        <v>0</v>
      </c>
      <c r="BW86" s="306">
        <v>0</v>
      </c>
      <c r="BX86" s="306">
        <v>0</v>
      </c>
      <c r="BY86" s="306">
        <v>0</v>
      </c>
      <c r="BZ86" s="306">
        <v>0</v>
      </c>
      <c r="CA86" s="306">
        <v>0</v>
      </c>
      <c r="CB86" s="306">
        <v>0</v>
      </c>
      <c r="CC86" s="306">
        <v>0</v>
      </c>
      <c r="CD86" s="306">
        <v>0</v>
      </c>
      <c r="CE86" s="306">
        <v>0</v>
      </c>
      <c r="CF86" s="306">
        <v>88071.706245154506</v>
      </c>
      <c r="CG86" s="306">
        <v>0</v>
      </c>
      <c r="CH86" s="306">
        <v>0</v>
      </c>
      <c r="CI86" s="306">
        <v>0</v>
      </c>
      <c r="CJ86" s="306">
        <v>0</v>
      </c>
      <c r="CK86" s="306">
        <v>0</v>
      </c>
      <c r="CL86" s="306">
        <v>0</v>
      </c>
    </row>
    <row r="87" spans="61:90">
      <c r="BI87" s="304" t="s">
        <v>660</v>
      </c>
      <c r="BJ87" s="306">
        <v>0</v>
      </c>
      <c r="BK87" s="306">
        <v>0</v>
      </c>
      <c r="BL87" s="306">
        <v>0</v>
      </c>
      <c r="BM87" s="306">
        <v>0</v>
      </c>
      <c r="BN87" s="306">
        <v>0</v>
      </c>
      <c r="BO87" s="306">
        <v>0</v>
      </c>
      <c r="BP87" s="306">
        <v>0</v>
      </c>
      <c r="BQ87" s="306">
        <v>0</v>
      </c>
      <c r="BR87" s="306">
        <v>0</v>
      </c>
      <c r="BS87" s="306">
        <v>0</v>
      </c>
      <c r="BT87" s="306">
        <v>0</v>
      </c>
      <c r="BU87" s="306">
        <v>0</v>
      </c>
      <c r="BV87" s="306">
        <v>108184.85967288</v>
      </c>
      <c r="BW87" s="306">
        <v>0</v>
      </c>
      <c r="BX87" s="306">
        <v>0</v>
      </c>
      <c r="BY87" s="306">
        <v>0</v>
      </c>
      <c r="BZ87" s="306">
        <v>0</v>
      </c>
      <c r="CA87" s="306">
        <v>0</v>
      </c>
      <c r="CB87" s="306">
        <v>0</v>
      </c>
      <c r="CC87" s="306">
        <v>0</v>
      </c>
      <c r="CD87" s="306">
        <v>0</v>
      </c>
      <c r="CE87" s="306">
        <v>0</v>
      </c>
      <c r="CF87" s="306">
        <v>0</v>
      </c>
      <c r="CG87" s="306">
        <v>0</v>
      </c>
      <c r="CH87" s="306">
        <v>0</v>
      </c>
      <c r="CI87" s="306">
        <v>0</v>
      </c>
      <c r="CJ87" s="306">
        <v>0</v>
      </c>
      <c r="CK87" s="306">
        <v>0</v>
      </c>
      <c r="CL87" s="306">
        <v>0</v>
      </c>
    </row>
    <row r="88" spans="61:90">
      <c r="BI88" s="304" t="s">
        <v>661</v>
      </c>
      <c r="BJ88" s="306">
        <v>0</v>
      </c>
      <c r="BK88" s="306">
        <v>0</v>
      </c>
      <c r="BL88" s="306">
        <v>0</v>
      </c>
      <c r="BM88" s="306">
        <v>0</v>
      </c>
      <c r="BN88" s="306">
        <v>0</v>
      </c>
      <c r="BO88" s="306">
        <v>0</v>
      </c>
      <c r="BP88" s="306">
        <v>0</v>
      </c>
      <c r="BQ88" s="306">
        <v>0</v>
      </c>
      <c r="BR88" s="306">
        <v>0</v>
      </c>
      <c r="BS88" s="306">
        <v>0</v>
      </c>
      <c r="BT88" s="306">
        <v>108184.85967288</v>
      </c>
      <c r="BU88" s="306">
        <v>0</v>
      </c>
      <c r="BV88" s="306">
        <v>0</v>
      </c>
      <c r="BW88" s="306">
        <v>0</v>
      </c>
      <c r="BX88" s="306">
        <v>0</v>
      </c>
      <c r="BY88" s="306">
        <v>0</v>
      </c>
      <c r="BZ88" s="306">
        <v>0</v>
      </c>
      <c r="CA88" s="306">
        <v>0</v>
      </c>
      <c r="CB88" s="306">
        <v>0</v>
      </c>
      <c r="CC88" s="306">
        <v>0</v>
      </c>
      <c r="CD88" s="306">
        <v>0</v>
      </c>
      <c r="CE88" s="306">
        <v>0</v>
      </c>
      <c r="CF88" s="306">
        <v>0</v>
      </c>
      <c r="CG88" s="306">
        <v>0</v>
      </c>
      <c r="CH88" s="306">
        <v>0</v>
      </c>
      <c r="CI88" s="306">
        <v>0</v>
      </c>
      <c r="CJ88" s="306">
        <v>0</v>
      </c>
      <c r="CK88" s="306">
        <v>0</v>
      </c>
      <c r="CL88" s="306">
        <v>0</v>
      </c>
    </row>
    <row r="89" spans="61:90">
      <c r="BI89" s="304" t="s">
        <v>662</v>
      </c>
      <c r="BJ89" s="306">
        <v>0</v>
      </c>
      <c r="BK89" s="306">
        <v>0</v>
      </c>
      <c r="BL89" s="306">
        <v>0</v>
      </c>
      <c r="BM89" s="306">
        <v>0</v>
      </c>
      <c r="BN89" s="306">
        <v>0</v>
      </c>
      <c r="BO89" s="306">
        <v>0</v>
      </c>
      <c r="BP89" s="306">
        <v>0</v>
      </c>
      <c r="BQ89" s="306">
        <v>0</v>
      </c>
      <c r="BR89" s="306">
        <v>0</v>
      </c>
      <c r="BS89" s="306">
        <v>0</v>
      </c>
      <c r="BT89" s="306">
        <v>0</v>
      </c>
      <c r="BU89" s="306">
        <v>108184.85967288</v>
      </c>
      <c r="BV89" s="306">
        <v>0</v>
      </c>
      <c r="BW89" s="306">
        <v>0</v>
      </c>
      <c r="BX89" s="306">
        <v>0</v>
      </c>
      <c r="BY89" s="306">
        <v>0</v>
      </c>
      <c r="BZ89" s="306">
        <v>0</v>
      </c>
      <c r="CA89" s="306">
        <v>0</v>
      </c>
      <c r="CB89" s="306">
        <v>0</v>
      </c>
      <c r="CC89" s="306">
        <v>0</v>
      </c>
      <c r="CD89" s="306">
        <v>0</v>
      </c>
      <c r="CE89" s="306">
        <v>0</v>
      </c>
      <c r="CF89" s="306">
        <v>0</v>
      </c>
      <c r="CG89" s="306">
        <v>0</v>
      </c>
      <c r="CH89" s="306">
        <v>0</v>
      </c>
      <c r="CI89" s="306">
        <v>0</v>
      </c>
      <c r="CJ89" s="306">
        <v>0</v>
      </c>
      <c r="CK89" s="306">
        <v>0</v>
      </c>
      <c r="CL89" s="306">
        <v>0</v>
      </c>
    </row>
    <row r="90" spans="61:90">
      <c r="BI90" s="304" t="s">
        <v>663</v>
      </c>
      <c r="BJ90" s="306">
        <v>0</v>
      </c>
      <c r="BK90" s="306">
        <v>0</v>
      </c>
      <c r="BL90" s="306">
        <v>0</v>
      </c>
      <c r="BM90" s="306">
        <v>0</v>
      </c>
      <c r="BN90" s="306">
        <v>0</v>
      </c>
      <c r="BO90" s="306">
        <v>0</v>
      </c>
      <c r="BP90" s="306">
        <v>0</v>
      </c>
      <c r="BQ90" s="306">
        <v>0</v>
      </c>
      <c r="BR90" s="306">
        <v>0</v>
      </c>
      <c r="BS90" s="306">
        <v>0</v>
      </c>
      <c r="BT90" s="306">
        <v>0</v>
      </c>
      <c r="BU90" s="306">
        <v>0</v>
      </c>
      <c r="BV90" s="306">
        <v>0</v>
      </c>
      <c r="BW90" s="306">
        <v>0</v>
      </c>
      <c r="BX90" s="306">
        <v>0</v>
      </c>
      <c r="BY90" s="306">
        <v>0</v>
      </c>
      <c r="BZ90" s="306">
        <v>0</v>
      </c>
      <c r="CA90" s="306">
        <v>0</v>
      </c>
      <c r="CB90" s="306">
        <v>0</v>
      </c>
      <c r="CC90" s="306">
        <v>0</v>
      </c>
      <c r="CD90" s="306">
        <v>0</v>
      </c>
      <c r="CE90" s="306">
        <v>0</v>
      </c>
      <c r="CF90" s="306">
        <v>0</v>
      </c>
      <c r="CG90" s="306">
        <v>0</v>
      </c>
      <c r="CH90" s="306">
        <v>0</v>
      </c>
      <c r="CI90" s="306">
        <v>0</v>
      </c>
      <c r="CJ90" s="306">
        <v>0</v>
      </c>
      <c r="CK90" s="306">
        <v>0</v>
      </c>
      <c r="CL90" s="306">
        <v>0</v>
      </c>
    </row>
    <row r="91" spans="61:90">
      <c r="BI91" s="304" t="s">
        <v>664</v>
      </c>
      <c r="BJ91" s="306">
        <v>0</v>
      </c>
      <c r="BK91" s="306">
        <v>0</v>
      </c>
      <c r="BL91" s="306">
        <v>0</v>
      </c>
      <c r="BM91" s="306">
        <v>0</v>
      </c>
      <c r="BN91" s="306">
        <v>0</v>
      </c>
      <c r="BO91" s="306">
        <v>0</v>
      </c>
      <c r="BP91" s="306">
        <v>0</v>
      </c>
      <c r="BQ91" s="306">
        <v>0</v>
      </c>
      <c r="BR91" s="306">
        <v>0</v>
      </c>
      <c r="BS91" s="306">
        <v>0</v>
      </c>
      <c r="BT91" s="306">
        <v>0</v>
      </c>
      <c r="BU91" s="306">
        <v>0</v>
      </c>
      <c r="BV91" s="306">
        <v>0</v>
      </c>
      <c r="BW91" s="306">
        <v>0</v>
      </c>
      <c r="BX91" s="306">
        <v>0</v>
      </c>
      <c r="BY91" s="306">
        <v>0</v>
      </c>
      <c r="BZ91" s="306">
        <v>0</v>
      </c>
      <c r="CA91" s="306">
        <v>0</v>
      </c>
      <c r="CB91" s="306">
        <v>0</v>
      </c>
      <c r="CC91" s="306">
        <v>0</v>
      </c>
      <c r="CD91" s="306">
        <v>0</v>
      </c>
      <c r="CE91" s="306">
        <v>0</v>
      </c>
      <c r="CF91" s="306">
        <v>0</v>
      </c>
      <c r="CG91" s="306">
        <v>0</v>
      </c>
      <c r="CH91" s="306">
        <v>0</v>
      </c>
      <c r="CI91" s="306">
        <v>0</v>
      </c>
      <c r="CJ91" s="306">
        <v>0</v>
      </c>
      <c r="CK91" s="306">
        <v>0</v>
      </c>
      <c r="CL91" s="306">
        <v>0</v>
      </c>
    </row>
    <row r="92" spans="61:90">
      <c r="BI92" s="304" t="s">
        <v>665</v>
      </c>
      <c r="BJ92" s="306">
        <v>0</v>
      </c>
      <c r="BK92" s="306">
        <v>0</v>
      </c>
      <c r="BL92" s="306">
        <v>0</v>
      </c>
      <c r="BM92" s="306">
        <v>0</v>
      </c>
      <c r="BN92" s="306">
        <v>0</v>
      </c>
      <c r="BO92" s="306">
        <v>0</v>
      </c>
      <c r="BP92" s="306">
        <v>0</v>
      </c>
      <c r="BQ92" s="306">
        <v>0</v>
      </c>
      <c r="BR92" s="306">
        <v>0</v>
      </c>
      <c r="BS92" s="306">
        <v>0</v>
      </c>
      <c r="BT92" s="306">
        <v>0</v>
      </c>
      <c r="BU92" s="306">
        <v>0</v>
      </c>
      <c r="BV92" s="306">
        <v>0</v>
      </c>
      <c r="BW92" s="306">
        <v>0</v>
      </c>
      <c r="BX92" s="306">
        <v>0</v>
      </c>
      <c r="BY92" s="306">
        <v>0</v>
      </c>
      <c r="BZ92" s="306">
        <v>0</v>
      </c>
      <c r="CA92" s="306">
        <v>0</v>
      </c>
      <c r="CB92" s="306">
        <v>0</v>
      </c>
      <c r="CC92" s="306">
        <v>0</v>
      </c>
      <c r="CD92" s="306">
        <v>0</v>
      </c>
      <c r="CE92" s="306">
        <v>0</v>
      </c>
      <c r="CF92" s="306">
        <v>0</v>
      </c>
      <c r="CG92" s="306">
        <v>0</v>
      </c>
      <c r="CH92" s="306">
        <v>0</v>
      </c>
      <c r="CI92" s="306">
        <v>0</v>
      </c>
      <c r="CJ92" s="306">
        <v>0</v>
      </c>
      <c r="CK92" s="306">
        <v>25297.051877142199</v>
      </c>
      <c r="CL92" s="306">
        <v>0</v>
      </c>
    </row>
    <row r="93" spans="61:90">
      <c r="BI93" s="304" t="s">
        <v>666</v>
      </c>
      <c r="BJ93" s="306">
        <v>0</v>
      </c>
      <c r="BK93" s="306">
        <v>0</v>
      </c>
      <c r="BL93" s="306">
        <v>0</v>
      </c>
      <c r="BM93" s="306">
        <v>0</v>
      </c>
      <c r="BN93" s="306">
        <v>0</v>
      </c>
      <c r="BO93" s="306">
        <v>0</v>
      </c>
      <c r="BP93" s="306">
        <v>0</v>
      </c>
      <c r="BQ93" s="306">
        <v>0</v>
      </c>
      <c r="BR93" s="306">
        <v>0</v>
      </c>
      <c r="BS93" s="306">
        <v>0</v>
      </c>
      <c r="BT93" s="306">
        <v>0</v>
      </c>
      <c r="BU93" s="306">
        <v>0</v>
      </c>
      <c r="BV93" s="306">
        <v>0</v>
      </c>
      <c r="BW93" s="306">
        <v>0</v>
      </c>
      <c r="BX93" s="306">
        <v>0</v>
      </c>
      <c r="BY93" s="306">
        <v>25297.051877142199</v>
      </c>
      <c r="BZ93" s="306">
        <v>0</v>
      </c>
      <c r="CA93" s="306">
        <v>0</v>
      </c>
      <c r="CB93" s="306">
        <v>0</v>
      </c>
      <c r="CC93" s="306">
        <v>0</v>
      </c>
      <c r="CD93" s="306">
        <v>0</v>
      </c>
      <c r="CE93" s="306">
        <v>0</v>
      </c>
      <c r="CF93" s="306">
        <v>0</v>
      </c>
      <c r="CG93" s="306">
        <v>0</v>
      </c>
      <c r="CH93" s="306">
        <v>0</v>
      </c>
      <c r="CI93" s="306">
        <v>0</v>
      </c>
      <c r="CJ93" s="306">
        <v>0</v>
      </c>
      <c r="CK93" s="306">
        <v>0</v>
      </c>
      <c r="CL93" s="306">
        <v>0</v>
      </c>
    </row>
    <row r="94" spans="61:90">
      <c r="BI94" s="304" t="s">
        <v>667</v>
      </c>
      <c r="BJ94" s="306">
        <v>0</v>
      </c>
      <c r="BK94" s="306">
        <v>0</v>
      </c>
      <c r="BL94" s="306">
        <v>0</v>
      </c>
      <c r="BM94" s="306">
        <v>0</v>
      </c>
      <c r="BN94" s="306">
        <v>0</v>
      </c>
      <c r="BO94" s="306">
        <v>0</v>
      </c>
      <c r="BP94" s="306">
        <v>0</v>
      </c>
      <c r="BQ94" s="306">
        <v>0</v>
      </c>
      <c r="BR94" s="306">
        <v>0</v>
      </c>
      <c r="BS94" s="306">
        <v>0</v>
      </c>
      <c r="BT94" s="306">
        <v>0</v>
      </c>
      <c r="BU94" s="306">
        <v>0</v>
      </c>
      <c r="BV94" s="306">
        <v>0</v>
      </c>
      <c r="BW94" s="306">
        <v>25297.051877142199</v>
      </c>
      <c r="BX94" s="306">
        <v>0</v>
      </c>
      <c r="BY94" s="306">
        <v>0</v>
      </c>
      <c r="BZ94" s="306">
        <v>0</v>
      </c>
      <c r="CA94" s="306">
        <v>0</v>
      </c>
      <c r="CB94" s="306">
        <v>0</v>
      </c>
      <c r="CC94" s="306">
        <v>0</v>
      </c>
      <c r="CD94" s="306">
        <v>0</v>
      </c>
      <c r="CE94" s="306">
        <v>0</v>
      </c>
      <c r="CF94" s="306">
        <v>0</v>
      </c>
      <c r="CG94" s="306">
        <v>0</v>
      </c>
      <c r="CH94" s="306">
        <v>0</v>
      </c>
      <c r="CI94" s="306">
        <v>0</v>
      </c>
      <c r="CJ94" s="306">
        <v>0</v>
      </c>
      <c r="CK94" s="306">
        <v>0</v>
      </c>
      <c r="CL94" s="306">
        <v>0</v>
      </c>
    </row>
    <row r="95" spans="61:90">
      <c r="BI95" s="304" t="s">
        <v>668</v>
      </c>
      <c r="BJ95" s="306">
        <v>0</v>
      </c>
      <c r="BK95" s="306">
        <v>0</v>
      </c>
      <c r="BL95" s="306">
        <v>0</v>
      </c>
      <c r="BM95" s="306">
        <v>0</v>
      </c>
      <c r="BN95" s="306">
        <v>0</v>
      </c>
      <c r="BO95" s="306">
        <v>0</v>
      </c>
      <c r="BP95" s="306">
        <v>0</v>
      </c>
      <c r="BQ95" s="306">
        <v>0</v>
      </c>
      <c r="BR95" s="306">
        <v>0</v>
      </c>
      <c r="BS95" s="306">
        <v>0</v>
      </c>
      <c r="BT95" s="306">
        <v>0</v>
      </c>
      <c r="BU95" s="306">
        <v>0</v>
      </c>
      <c r="BV95" s="306">
        <v>0</v>
      </c>
      <c r="BW95" s="306">
        <v>0</v>
      </c>
      <c r="BX95" s="306">
        <v>25297.051877142199</v>
      </c>
      <c r="BY95" s="306">
        <v>0</v>
      </c>
      <c r="BZ95" s="306">
        <v>0</v>
      </c>
      <c r="CA95" s="306">
        <v>0</v>
      </c>
      <c r="CB95" s="306">
        <v>0</v>
      </c>
      <c r="CC95" s="306">
        <v>0</v>
      </c>
      <c r="CD95" s="306">
        <v>0</v>
      </c>
      <c r="CE95" s="306">
        <v>0</v>
      </c>
      <c r="CF95" s="306">
        <v>0</v>
      </c>
      <c r="CG95" s="306">
        <v>0</v>
      </c>
      <c r="CH95" s="306">
        <v>0</v>
      </c>
      <c r="CI95" s="306">
        <v>0</v>
      </c>
      <c r="CJ95" s="306">
        <v>0</v>
      </c>
      <c r="CK95" s="306">
        <v>0</v>
      </c>
      <c r="CL95" s="306">
        <v>0</v>
      </c>
    </row>
    <row r="96" spans="61:90">
      <c r="BI96" s="304" t="s">
        <v>669</v>
      </c>
      <c r="BJ96" s="306">
        <v>0</v>
      </c>
      <c r="BK96" s="306">
        <v>0</v>
      </c>
      <c r="BL96" s="306">
        <v>0</v>
      </c>
      <c r="BM96" s="306">
        <v>0</v>
      </c>
      <c r="BN96" s="306">
        <v>0</v>
      </c>
      <c r="BO96" s="306">
        <v>0</v>
      </c>
      <c r="BP96" s="306">
        <v>0</v>
      </c>
      <c r="BQ96" s="306">
        <v>0</v>
      </c>
      <c r="BR96" s="306">
        <v>0</v>
      </c>
      <c r="BS96" s="306">
        <v>0</v>
      </c>
      <c r="BT96" s="306">
        <v>0</v>
      </c>
      <c r="BU96" s="306">
        <v>0</v>
      </c>
      <c r="BV96" s="306">
        <v>0</v>
      </c>
      <c r="BW96" s="306">
        <v>0</v>
      </c>
      <c r="BX96" s="306">
        <v>0</v>
      </c>
      <c r="BY96" s="306">
        <v>0</v>
      </c>
      <c r="BZ96" s="306">
        <v>0</v>
      </c>
      <c r="CA96" s="306">
        <v>0</v>
      </c>
      <c r="CB96" s="306">
        <v>0</v>
      </c>
      <c r="CC96" s="306">
        <v>0</v>
      </c>
      <c r="CD96" s="306">
        <v>0</v>
      </c>
      <c r="CE96" s="306">
        <v>0</v>
      </c>
      <c r="CF96" s="306">
        <v>0</v>
      </c>
      <c r="CG96" s="306">
        <v>0</v>
      </c>
      <c r="CH96" s="306">
        <v>0</v>
      </c>
      <c r="CI96" s="306">
        <v>0</v>
      </c>
      <c r="CJ96" s="306">
        <v>0</v>
      </c>
      <c r="CK96" s="306">
        <v>0</v>
      </c>
      <c r="CL96" s="306">
        <v>0</v>
      </c>
    </row>
    <row r="97" spans="61:90">
      <c r="BI97" s="304" t="s">
        <v>670</v>
      </c>
      <c r="BJ97" s="306">
        <v>0</v>
      </c>
      <c r="BK97" s="306">
        <v>0</v>
      </c>
      <c r="BL97" s="306">
        <v>0</v>
      </c>
      <c r="BM97" s="306">
        <v>0</v>
      </c>
      <c r="BN97" s="306">
        <v>0</v>
      </c>
      <c r="BO97" s="306">
        <v>0</v>
      </c>
      <c r="BP97" s="306">
        <v>0</v>
      </c>
      <c r="BQ97" s="306">
        <v>0</v>
      </c>
      <c r="BR97" s="306">
        <v>0</v>
      </c>
      <c r="BS97" s="306">
        <v>0</v>
      </c>
      <c r="BT97" s="306">
        <v>0</v>
      </c>
      <c r="BU97" s="306">
        <v>0</v>
      </c>
      <c r="BV97" s="306">
        <v>0</v>
      </c>
      <c r="BW97" s="306">
        <v>0</v>
      </c>
      <c r="BX97" s="306">
        <v>24.076233417548501</v>
      </c>
      <c r="BY97" s="306">
        <v>0</v>
      </c>
      <c r="BZ97" s="306">
        <v>0</v>
      </c>
      <c r="CA97" s="306">
        <v>0</v>
      </c>
      <c r="CB97" s="306">
        <v>0</v>
      </c>
      <c r="CC97" s="306">
        <v>0</v>
      </c>
      <c r="CD97" s="306">
        <v>0</v>
      </c>
      <c r="CE97" s="306">
        <v>0</v>
      </c>
      <c r="CF97" s="306">
        <v>0</v>
      </c>
      <c r="CG97" s="306">
        <v>0</v>
      </c>
      <c r="CH97" s="306">
        <v>0</v>
      </c>
      <c r="CI97" s="306">
        <v>0</v>
      </c>
      <c r="CJ97" s="306">
        <v>0</v>
      </c>
      <c r="CK97" s="306">
        <v>0</v>
      </c>
      <c r="CL97" s="306">
        <v>0</v>
      </c>
    </row>
    <row r="98" spans="61:90">
      <c r="BI98" s="304" t="s">
        <v>671</v>
      </c>
      <c r="BJ98" s="306">
        <v>2329445.30922601</v>
      </c>
      <c r="BK98" s="306">
        <v>0</v>
      </c>
      <c r="BL98" s="306">
        <v>0</v>
      </c>
      <c r="BM98" s="306">
        <v>0</v>
      </c>
      <c r="BN98" s="306">
        <v>0</v>
      </c>
      <c r="BO98" s="306">
        <v>0</v>
      </c>
      <c r="BP98" s="306">
        <v>0</v>
      </c>
      <c r="BQ98" s="306">
        <v>0</v>
      </c>
      <c r="BR98" s="306">
        <v>10583778.883576799</v>
      </c>
      <c r="BS98" s="306">
        <v>10407.5335702297</v>
      </c>
      <c r="BT98" s="306">
        <v>0</v>
      </c>
      <c r="BU98" s="306">
        <v>0</v>
      </c>
      <c r="BV98" s="306">
        <v>0</v>
      </c>
      <c r="BW98" s="306">
        <v>0</v>
      </c>
      <c r="BX98" s="306">
        <v>0</v>
      </c>
      <c r="BY98" s="306">
        <v>0</v>
      </c>
      <c r="BZ98" s="306">
        <v>0</v>
      </c>
      <c r="CA98" s="306">
        <v>0</v>
      </c>
      <c r="CB98" s="306">
        <v>0</v>
      </c>
      <c r="CC98" s="306">
        <v>0</v>
      </c>
      <c r="CD98" s="306">
        <v>0</v>
      </c>
      <c r="CE98" s="306">
        <v>0</v>
      </c>
      <c r="CF98" s="306">
        <v>0</v>
      </c>
      <c r="CG98" s="306">
        <v>0</v>
      </c>
      <c r="CH98" s="306">
        <v>0</v>
      </c>
      <c r="CI98" s="306">
        <v>0</v>
      </c>
      <c r="CJ98" s="306">
        <v>0</v>
      </c>
      <c r="CK98" s="306">
        <v>1951076.47558275</v>
      </c>
      <c r="CL98" s="306">
        <v>0</v>
      </c>
    </row>
    <row r="99" spans="61:90">
      <c r="BI99" s="304" t="s">
        <v>714</v>
      </c>
      <c r="BJ99" s="306">
        <v>0</v>
      </c>
      <c r="BK99" s="306">
        <v>0</v>
      </c>
      <c r="BL99" s="306">
        <v>0</v>
      </c>
      <c r="BM99" s="306">
        <v>0</v>
      </c>
      <c r="BN99" s="306">
        <v>0</v>
      </c>
      <c r="BO99" s="306">
        <v>0</v>
      </c>
      <c r="BP99" s="306">
        <v>0</v>
      </c>
      <c r="BQ99" s="306">
        <v>0</v>
      </c>
      <c r="BR99" s="306">
        <v>0</v>
      </c>
      <c r="BS99" s="306">
        <v>0</v>
      </c>
      <c r="BT99" s="306">
        <v>0</v>
      </c>
      <c r="BU99" s="306">
        <v>0</v>
      </c>
      <c r="BV99" s="306">
        <v>0</v>
      </c>
      <c r="BW99" s="306">
        <v>0</v>
      </c>
      <c r="BX99" s="306">
        <v>0</v>
      </c>
      <c r="BY99" s="306">
        <v>0</v>
      </c>
      <c r="BZ99" s="306">
        <v>0</v>
      </c>
      <c r="CA99" s="306">
        <v>0</v>
      </c>
      <c r="CB99" s="306">
        <v>0</v>
      </c>
      <c r="CC99" s="306">
        <v>0</v>
      </c>
      <c r="CD99" s="306">
        <v>0</v>
      </c>
      <c r="CE99" s="306">
        <v>0</v>
      </c>
      <c r="CF99" s="306">
        <v>0</v>
      </c>
      <c r="CG99" s="306">
        <v>3749358.3680556798</v>
      </c>
      <c r="CH99" s="306">
        <v>0</v>
      </c>
      <c r="CI99" s="306">
        <v>0</v>
      </c>
      <c r="CJ99" s="306">
        <v>0</v>
      </c>
      <c r="CK99" s="306">
        <v>0</v>
      </c>
      <c r="CL99" s="306">
        <v>0</v>
      </c>
    </row>
    <row r="100" spans="61:90">
      <c r="BI100" s="304" t="s">
        <v>715</v>
      </c>
      <c r="BJ100" s="306">
        <v>0</v>
      </c>
      <c r="BK100" s="306">
        <v>0</v>
      </c>
      <c r="BL100" s="306">
        <v>0</v>
      </c>
      <c r="BM100" s="306">
        <v>0</v>
      </c>
      <c r="BN100" s="306">
        <v>0</v>
      </c>
      <c r="BO100" s="306">
        <v>0</v>
      </c>
      <c r="BP100" s="306">
        <v>0</v>
      </c>
      <c r="BQ100" s="306">
        <v>0</v>
      </c>
      <c r="BR100" s="306">
        <v>0</v>
      </c>
      <c r="BS100" s="306">
        <v>0</v>
      </c>
      <c r="BT100" s="306">
        <v>0</v>
      </c>
      <c r="BU100" s="306">
        <v>0</v>
      </c>
      <c r="BV100" s="306">
        <v>0</v>
      </c>
      <c r="BW100" s="306">
        <v>0</v>
      </c>
      <c r="BX100" s="306">
        <v>0</v>
      </c>
      <c r="BY100" s="306">
        <v>0</v>
      </c>
      <c r="BZ100" s="306">
        <v>0</v>
      </c>
      <c r="CA100" s="306">
        <v>0</v>
      </c>
      <c r="CB100" s="306">
        <v>0</v>
      </c>
      <c r="CC100" s="306">
        <v>0</v>
      </c>
      <c r="CD100" s="306">
        <v>0</v>
      </c>
      <c r="CE100" s="306">
        <v>0</v>
      </c>
      <c r="CF100" s="306">
        <v>0</v>
      </c>
      <c r="CG100" s="306">
        <v>0</v>
      </c>
      <c r="CH100" s="306">
        <v>0</v>
      </c>
      <c r="CI100" s="306">
        <v>0</v>
      </c>
      <c r="CJ100" s="306">
        <v>668.84165319492104</v>
      </c>
      <c r="CK100" s="306">
        <v>0</v>
      </c>
      <c r="CL100" s="306">
        <v>0</v>
      </c>
    </row>
    <row r="101" spans="61:90">
      <c r="BI101" s="304" t="s">
        <v>716</v>
      </c>
      <c r="BJ101" s="306">
        <v>0</v>
      </c>
      <c r="BK101" s="306">
        <v>0</v>
      </c>
      <c r="BL101" s="306">
        <v>0</v>
      </c>
      <c r="BM101" s="306">
        <v>0</v>
      </c>
      <c r="BN101" s="306">
        <v>0</v>
      </c>
      <c r="BO101" s="306">
        <v>0</v>
      </c>
      <c r="BP101" s="306">
        <v>0</v>
      </c>
      <c r="BQ101" s="306">
        <v>0</v>
      </c>
      <c r="BR101" s="306">
        <v>0</v>
      </c>
      <c r="BS101" s="306">
        <v>0</v>
      </c>
      <c r="BT101" s="306">
        <v>0</v>
      </c>
      <c r="BU101" s="306">
        <v>0</v>
      </c>
      <c r="BV101" s="306">
        <v>0</v>
      </c>
      <c r="BW101" s="306">
        <v>0</v>
      </c>
      <c r="BX101" s="306">
        <v>0</v>
      </c>
      <c r="BY101" s="306">
        <v>0</v>
      </c>
      <c r="BZ101" s="306">
        <v>0</v>
      </c>
      <c r="CA101" s="306">
        <v>0</v>
      </c>
      <c r="CB101" s="306">
        <v>0</v>
      </c>
      <c r="CC101" s="306">
        <v>0</v>
      </c>
      <c r="CD101" s="306">
        <v>0</v>
      </c>
      <c r="CE101" s="306">
        <v>0</v>
      </c>
      <c r="CF101" s="306">
        <v>0</v>
      </c>
      <c r="CG101" s="306">
        <v>0</v>
      </c>
      <c r="CH101" s="306">
        <v>0</v>
      </c>
      <c r="CI101" s="306">
        <v>668.84165319492104</v>
      </c>
      <c r="CJ101" s="306">
        <v>0</v>
      </c>
      <c r="CK101" s="306">
        <v>0</v>
      </c>
      <c r="CL101" s="306">
        <v>0</v>
      </c>
    </row>
    <row r="102" spans="61:90">
      <c r="BI102" s="304" t="s">
        <v>717</v>
      </c>
      <c r="BJ102" s="306">
        <v>0</v>
      </c>
      <c r="BK102" s="306">
        <v>0</v>
      </c>
      <c r="BL102" s="306">
        <v>0</v>
      </c>
      <c r="BM102" s="306">
        <v>0</v>
      </c>
      <c r="BN102" s="306">
        <v>0</v>
      </c>
      <c r="BO102" s="306">
        <v>0</v>
      </c>
      <c r="BP102" s="306">
        <v>0</v>
      </c>
      <c r="BQ102" s="306">
        <v>0</v>
      </c>
      <c r="BR102" s="306">
        <v>0</v>
      </c>
      <c r="BS102" s="306">
        <v>0</v>
      </c>
      <c r="BT102" s="306">
        <v>0</v>
      </c>
      <c r="BU102" s="306">
        <v>0</v>
      </c>
      <c r="BV102" s="306">
        <v>0</v>
      </c>
      <c r="BW102" s="306">
        <v>0</v>
      </c>
      <c r="BX102" s="306">
        <v>0</v>
      </c>
      <c r="BY102" s="306">
        <v>0</v>
      </c>
      <c r="BZ102" s="306">
        <v>0</v>
      </c>
      <c r="CA102" s="306">
        <v>0</v>
      </c>
      <c r="CB102" s="306">
        <v>0</v>
      </c>
      <c r="CC102" s="306">
        <v>0</v>
      </c>
      <c r="CD102" s="306">
        <v>0</v>
      </c>
      <c r="CE102" s="306">
        <v>0</v>
      </c>
      <c r="CF102" s="306">
        <v>0</v>
      </c>
      <c r="CG102" s="306">
        <v>0</v>
      </c>
      <c r="CH102" s="306">
        <v>184686.52821315001</v>
      </c>
      <c r="CI102" s="306">
        <v>0</v>
      </c>
      <c r="CJ102" s="306">
        <v>0</v>
      </c>
      <c r="CK102" s="306">
        <v>0</v>
      </c>
      <c r="CL102" s="306">
        <v>0</v>
      </c>
    </row>
    <row r="103" spans="61:90">
      <c r="BI103" s="304" t="s">
        <v>718</v>
      </c>
      <c r="BJ103" s="306">
        <v>0</v>
      </c>
      <c r="BK103" s="306">
        <v>0</v>
      </c>
      <c r="BL103" s="306">
        <v>0</v>
      </c>
      <c r="BM103" s="306">
        <v>0</v>
      </c>
      <c r="BN103" s="306">
        <v>0</v>
      </c>
      <c r="BO103" s="306">
        <v>0</v>
      </c>
      <c r="BP103" s="306">
        <v>0</v>
      </c>
      <c r="BQ103" s="306">
        <v>0</v>
      </c>
      <c r="BR103" s="306">
        <v>0</v>
      </c>
      <c r="BS103" s="306">
        <v>0</v>
      </c>
      <c r="BT103" s="306">
        <v>0</v>
      </c>
      <c r="BU103" s="306">
        <v>0</v>
      </c>
      <c r="BV103" s="306">
        <v>0</v>
      </c>
      <c r="BW103" s="306">
        <v>0</v>
      </c>
      <c r="BX103" s="306">
        <v>0</v>
      </c>
      <c r="BY103" s="306">
        <v>0</v>
      </c>
      <c r="BZ103" s="306">
        <v>0</v>
      </c>
      <c r="CA103" s="306">
        <v>0</v>
      </c>
      <c r="CB103" s="306">
        <v>184686.52821315001</v>
      </c>
      <c r="CC103" s="306">
        <v>0</v>
      </c>
      <c r="CD103" s="306">
        <v>0</v>
      </c>
      <c r="CE103" s="306">
        <v>0</v>
      </c>
      <c r="CF103" s="306">
        <v>0</v>
      </c>
      <c r="CG103" s="306">
        <v>0</v>
      </c>
      <c r="CH103" s="306">
        <v>0</v>
      </c>
      <c r="CI103" s="306">
        <v>0</v>
      </c>
      <c r="CJ103" s="306">
        <v>0</v>
      </c>
      <c r="CK103" s="306">
        <v>0</v>
      </c>
      <c r="CL103" s="306">
        <v>0</v>
      </c>
    </row>
    <row r="104" spans="61:90">
      <c r="BI104" s="304" t="s">
        <v>719</v>
      </c>
      <c r="BJ104" s="306">
        <v>0</v>
      </c>
      <c r="BK104" s="306">
        <v>0</v>
      </c>
      <c r="BL104" s="306">
        <v>0</v>
      </c>
      <c r="BM104" s="306">
        <v>0</v>
      </c>
      <c r="BN104" s="306">
        <v>22059.242005331998</v>
      </c>
      <c r="BO104" s="306">
        <v>0</v>
      </c>
      <c r="BP104" s="306">
        <v>0</v>
      </c>
      <c r="BQ104" s="306">
        <v>0</v>
      </c>
      <c r="BR104" s="306">
        <v>0</v>
      </c>
      <c r="BS104" s="306">
        <v>0</v>
      </c>
      <c r="BT104" s="306">
        <v>0</v>
      </c>
      <c r="BU104" s="306">
        <v>0</v>
      </c>
      <c r="BV104" s="306">
        <v>0</v>
      </c>
      <c r="BW104" s="306">
        <v>0</v>
      </c>
      <c r="BX104" s="306">
        <v>0</v>
      </c>
      <c r="BY104" s="306">
        <v>0</v>
      </c>
      <c r="BZ104" s="306">
        <v>3204496.1178020099</v>
      </c>
      <c r="CA104" s="306">
        <v>0</v>
      </c>
      <c r="CB104" s="306">
        <v>0</v>
      </c>
      <c r="CC104" s="306">
        <v>0</v>
      </c>
      <c r="CD104" s="306">
        <v>0</v>
      </c>
      <c r="CE104" s="306">
        <v>0</v>
      </c>
      <c r="CF104" s="306">
        <v>0</v>
      </c>
      <c r="CG104" s="306">
        <v>0</v>
      </c>
      <c r="CH104" s="306">
        <v>0</v>
      </c>
      <c r="CI104" s="306">
        <v>0</v>
      </c>
      <c r="CJ104" s="306">
        <v>0</v>
      </c>
      <c r="CK104" s="306">
        <v>0</v>
      </c>
      <c r="CL104" s="306">
        <v>0</v>
      </c>
    </row>
    <row r="105" spans="61:90">
      <c r="BI105" s="304" t="s">
        <v>720</v>
      </c>
      <c r="BJ105" s="306">
        <v>0</v>
      </c>
      <c r="BK105" s="306">
        <v>0</v>
      </c>
      <c r="BL105" s="306">
        <v>0</v>
      </c>
      <c r="BM105" s="306">
        <v>0</v>
      </c>
      <c r="BN105" s="306">
        <v>0</v>
      </c>
      <c r="BO105" s="306">
        <v>3090735.3644190198</v>
      </c>
      <c r="BP105" s="306">
        <v>0</v>
      </c>
      <c r="BQ105" s="306">
        <v>0</v>
      </c>
      <c r="BR105" s="306">
        <v>0</v>
      </c>
      <c r="BS105" s="306">
        <v>0</v>
      </c>
      <c r="BT105" s="306">
        <v>0</v>
      </c>
      <c r="BU105" s="306">
        <v>0</v>
      </c>
      <c r="BV105" s="306">
        <v>0</v>
      </c>
      <c r="BW105" s="306">
        <v>0</v>
      </c>
      <c r="BX105" s="306">
        <v>0</v>
      </c>
      <c r="BY105" s="306">
        <v>0</v>
      </c>
      <c r="BZ105" s="306">
        <v>0</v>
      </c>
      <c r="CA105" s="306">
        <v>0</v>
      </c>
      <c r="CB105" s="306">
        <v>0</v>
      </c>
      <c r="CC105" s="306">
        <v>0</v>
      </c>
      <c r="CD105" s="306">
        <v>0</v>
      </c>
      <c r="CE105" s="306">
        <v>0</v>
      </c>
      <c r="CF105" s="306">
        <v>0</v>
      </c>
      <c r="CG105" s="306">
        <v>0</v>
      </c>
      <c r="CH105" s="306">
        <v>0</v>
      </c>
      <c r="CI105" s="306">
        <v>0</v>
      </c>
      <c r="CJ105" s="306">
        <v>0</v>
      </c>
      <c r="CK105" s="306">
        <v>0</v>
      </c>
      <c r="CL105" s="306">
        <v>0</v>
      </c>
    </row>
    <row r="106" spans="61:90">
      <c r="BI106" s="304" t="s">
        <v>721</v>
      </c>
      <c r="BJ106" s="306">
        <v>0</v>
      </c>
      <c r="BK106" s="306">
        <v>0</v>
      </c>
      <c r="BL106" s="306">
        <v>0</v>
      </c>
      <c r="BM106" s="306">
        <v>0</v>
      </c>
      <c r="BN106" s="306">
        <v>0</v>
      </c>
      <c r="BO106" s="306">
        <v>0</v>
      </c>
      <c r="BP106" s="306">
        <v>0</v>
      </c>
      <c r="BQ106" s="306">
        <v>0</v>
      </c>
      <c r="BR106" s="306">
        <v>0</v>
      </c>
      <c r="BS106" s="306">
        <v>0</v>
      </c>
      <c r="BT106" s="306">
        <v>0</v>
      </c>
      <c r="BU106" s="306">
        <v>0</v>
      </c>
      <c r="BV106" s="306">
        <v>0</v>
      </c>
      <c r="BW106" s="306">
        <v>0</v>
      </c>
      <c r="BX106" s="306">
        <v>0</v>
      </c>
      <c r="BY106" s="306">
        <v>0</v>
      </c>
      <c r="BZ106" s="306">
        <v>0</v>
      </c>
      <c r="CA106" s="306">
        <v>0</v>
      </c>
      <c r="CB106" s="306">
        <v>0</v>
      </c>
      <c r="CC106" s="306">
        <v>0</v>
      </c>
      <c r="CD106" s="306">
        <v>0</v>
      </c>
      <c r="CE106" s="306">
        <v>0</v>
      </c>
      <c r="CF106" s="306">
        <v>0</v>
      </c>
      <c r="CG106" s="306">
        <v>0</v>
      </c>
      <c r="CH106" s="306">
        <v>0</v>
      </c>
      <c r="CI106" s="306">
        <v>0</v>
      </c>
      <c r="CJ106" s="306">
        <v>0</v>
      </c>
      <c r="CK106" s="306">
        <v>0</v>
      </c>
      <c r="CL106" s="306">
        <v>21683.690906267198</v>
      </c>
    </row>
    <row r="107" spans="61:90">
      <c r="BI107" s="304" t="s">
        <v>672</v>
      </c>
      <c r="BJ107" s="306">
        <v>0</v>
      </c>
      <c r="BK107" s="306">
        <v>0</v>
      </c>
      <c r="BL107" s="306">
        <v>0</v>
      </c>
      <c r="BM107" s="306">
        <v>0</v>
      </c>
      <c r="BN107" s="306">
        <v>0</v>
      </c>
      <c r="BO107" s="306">
        <v>0</v>
      </c>
      <c r="BP107" s="306">
        <v>0</v>
      </c>
      <c r="BQ107" s="306">
        <v>0</v>
      </c>
      <c r="BR107" s="306">
        <v>0</v>
      </c>
      <c r="BS107" s="306">
        <v>0</v>
      </c>
      <c r="BT107" s="306">
        <v>0</v>
      </c>
      <c r="BU107" s="306">
        <v>0</v>
      </c>
      <c r="BV107" s="306">
        <v>0</v>
      </c>
      <c r="BW107" s="306">
        <v>0</v>
      </c>
      <c r="BX107" s="306">
        <v>0</v>
      </c>
      <c r="BY107" s="306">
        <v>0</v>
      </c>
      <c r="BZ107" s="306">
        <v>0</v>
      </c>
      <c r="CA107" s="306">
        <v>0</v>
      </c>
      <c r="CB107" s="306">
        <v>0</v>
      </c>
      <c r="CC107" s="306">
        <v>0</v>
      </c>
      <c r="CD107" s="306">
        <v>0</v>
      </c>
      <c r="CE107" s="306">
        <v>0</v>
      </c>
      <c r="CF107" s="306">
        <v>0</v>
      </c>
      <c r="CG107" s="306">
        <v>0</v>
      </c>
      <c r="CH107" s="306">
        <v>0</v>
      </c>
      <c r="CI107" s="306">
        <v>0</v>
      </c>
      <c r="CJ107" s="306">
        <v>0</v>
      </c>
      <c r="CK107" s="306">
        <v>0</v>
      </c>
      <c r="CL107" s="306">
        <v>0</v>
      </c>
    </row>
    <row r="108" spans="61:90">
      <c r="BI108" s="304" t="s">
        <v>673</v>
      </c>
      <c r="BJ108" s="306">
        <v>0</v>
      </c>
      <c r="BK108" s="306">
        <v>0</v>
      </c>
      <c r="BL108" s="306">
        <v>0</v>
      </c>
      <c r="BM108" s="306">
        <v>0</v>
      </c>
      <c r="BN108" s="306">
        <v>0</v>
      </c>
      <c r="BO108" s="306">
        <v>0</v>
      </c>
      <c r="BP108" s="306">
        <v>0</v>
      </c>
      <c r="BQ108" s="306">
        <v>0</v>
      </c>
      <c r="BR108" s="306">
        <v>0</v>
      </c>
      <c r="BS108" s="306">
        <v>0</v>
      </c>
      <c r="BT108" s="306">
        <v>0</v>
      </c>
      <c r="BU108" s="306">
        <v>0</v>
      </c>
      <c r="BV108" s="306">
        <v>0</v>
      </c>
      <c r="BW108" s="306">
        <v>0</v>
      </c>
      <c r="BX108" s="306">
        <v>0</v>
      </c>
      <c r="BY108" s="306">
        <v>0</v>
      </c>
      <c r="BZ108" s="306">
        <v>0</v>
      </c>
      <c r="CA108" s="306">
        <v>0</v>
      </c>
      <c r="CB108" s="306">
        <v>0</v>
      </c>
      <c r="CC108" s="306">
        <v>0</v>
      </c>
      <c r="CD108" s="306">
        <v>0</v>
      </c>
      <c r="CE108" s="306">
        <v>0</v>
      </c>
      <c r="CF108" s="306">
        <v>0</v>
      </c>
      <c r="CG108" s="306">
        <v>0</v>
      </c>
      <c r="CH108" s="306">
        <v>0</v>
      </c>
      <c r="CI108" s="306">
        <v>0</v>
      </c>
      <c r="CJ108" s="306">
        <v>0</v>
      </c>
      <c r="CK108" s="306">
        <v>0</v>
      </c>
      <c r="CL108" s="306">
        <v>0</v>
      </c>
    </row>
    <row r="109" spans="61:90">
      <c r="BI109" s="304" t="s">
        <v>722</v>
      </c>
      <c r="BJ109" s="306">
        <v>0</v>
      </c>
      <c r="BK109" s="306">
        <v>0</v>
      </c>
      <c r="BL109" s="306">
        <v>0</v>
      </c>
      <c r="BM109" s="306">
        <v>0</v>
      </c>
      <c r="BN109" s="306">
        <v>0</v>
      </c>
      <c r="BO109" s="306">
        <v>0</v>
      </c>
      <c r="BP109" s="306">
        <v>0</v>
      </c>
      <c r="BQ109" s="306">
        <v>0</v>
      </c>
      <c r="BR109" s="306">
        <v>0</v>
      </c>
      <c r="BS109" s="306">
        <v>0</v>
      </c>
      <c r="BT109" s="306">
        <v>0</v>
      </c>
      <c r="BU109" s="306">
        <v>0</v>
      </c>
      <c r="BV109" s="306">
        <v>0</v>
      </c>
      <c r="BW109" s="306">
        <v>0</v>
      </c>
      <c r="BX109" s="306">
        <v>0</v>
      </c>
      <c r="BY109" s="306">
        <v>0</v>
      </c>
      <c r="BZ109" s="306">
        <v>5048.7551388456604</v>
      </c>
      <c r="CA109" s="306">
        <v>0</v>
      </c>
      <c r="CB109" s="306">
        <v>0</v>
      </c>
      <c r="CC109" s="306">
        <v>0</v>
      </c>
      <c r="CD109" s="306">
        <v>0</v>
      </c>
      <c r="CE109" s="306">
        <v>0</v>
      </c>
      <c r="CF109" s="306">
        <v>0</v>
      </c>
      <c r="CG109" s="306">
        <v>0</v>
      </c>
      <c r="CH109" s="306">
        <v>0</v>
      </c>
      <c r="CI109" s="306">
        <v>0</v>
      </c>
      <c r="CJ109" s="306">
        <v>0</v>
      </c>
      <c r="CK109" s="306">
        <v>0</v>
      </c>
      <c r="CL109" s="306">
        <v>0</v>
      </c>
    </row>
    <row r="110" spans="61:90">
      <c r="BI110" s="304" t="s">
        <v>723</v>
      </c>
      <c r="BJ110" s="306">
        <v>0</v>
      </c>
      <c r="BK110" s="306">
        <v>0</v>
      </c>
      <c r="BL110" s="306">
        <v>0</v>
      </c>
      <c r="BM110" s="306">
        <v>0</v>
      </c>
      <c r="BN110" s="306">
        <v>0</v>
      </c>
      <c r="BO110" s="306">
        <v>0</v>
      </c>
      <c r="BP110" s="306">
        <v>0</v>
      </c>
      <c r="BQ110" s="306">
        <v>0</v>
      </c>
      <c r="BR110" s="306">
        <v>0</v>
      </c>
      <c r="BS110" s="306">
        <v>0</v>
      </c>
      <c r="BT110" s="306">
        <v>0</v>
      </c>
      <c r="BU110" s="306">
        <v>0</v>
      </c>
      <c r="BV110" s="306">
        <v>0</v>
      </c>
      <c r="BW110" s="306">
        <v>0</v>
      </c>
      <c r="BX110" s="306">
        <v>0</v>
      </c>
      <c r="BY110" s="306">
        <v>0</v>
      </c>
      <c r="BZ110" s="306">
        <v>0</v>
      </c>
      <c r="CA110" s="306">
        <v>0</v>
      </c>
      <c r="CB110" s="306">
        <v>0</v>
      </c>
      <c r="CC110" s="306">
        <v>5023.7890204089899</v>
      </c>
      <c r="CD110" s="306">
        <v>0</v>
      </c>
      <c r="CE110" s="306">
        <v>0</v>
      </c>
      <c r="CF110" s="306">
        <v>0</v>
      </c>
      <c r="CG110" s="306">
        <v>0</v>
      </c>
      <c r="CH110" s="306">
        <v>0</v>
      </c>
      <c r="CI110" s="306">
        <v>0</v>
      </c>
      <c r="CJ110" s="306">
        <v>0</v>
      </c>
      <c r="CK110" s="306">
        <v>0</v>
      </c>
      <c r="CL110" s="306">
        <v>0</v>
      </c>
    </row>
    <row r="111" spans="61:90">
      <c r="BI111" s="304" t="s">
        <v>674</v>
      </c>
      <c r="BJ111" s="306">
        <v>0</v>
      </c>
      <c r="BK111" s="306">
        <v>0</v>
      </c>
      <c r="BL111" s="306">
        <v>0</v>
      </c>
      <c r="BM111" s="306">
        <v>0</v>
      </c>
      <c r="BN111" s="306">
        <v>0</v>
      </c>
      <c r="BO111" s="306">
        <v>0</v>
      </c>
      <c r="BP111" s="306">
        <v>0</v>
      </c>
      <c r="BQ111" s="306">
        <v>0</v>
      </c>
      <c r="BR111" s="306">
        <v>0</v>
      </c>
      <c r="BS111" s="306">
        <v>0</v>
      </c>
      <c r="BT111" s="306">
        <v>0</v>
      </c>
      <c r="BU111" s="306">
        <v>0</v>
      </c>
      <c r="BV111" s="306">
        <v>0</v>
      </c>
      <c r="BW111" s="306">
        <v>0</v>
      </c>
      <c r="BX111" s="306">
        <v>0</v>
      </c>
      <c r="BY111" s="306">
        <v>0</v>
      </c>
      <c r="BZ111" s="306">
        <v>0</v>
      </c>
      <c r="CA111" s="306">
        <v>0</v>
      </c>
      <c r="CB111" s="306">
        <v>0</v>
      </c>
      <c r="CC111" s="306">
        <v>0</v>
      </c>
      <c r="CD111" s="306">
        <v>0</v>
      </c>
      <c r="CE111" s="306">
        <v>0</v>
      </c>
      <c r="CF111" s="306">
        <v>242016.07607977401</v>
      </c>
      <c r="CG111" s="306">
        <v>0</v>
      </c>
      <c r="CH111" s="306">
        <v>0</v>
      </c>
      <c r="CI111" s="306">
        <v>0</v>
      </c>
      <c r="CJ111" s="306">
        <v>0</v>
      </c>
      <c r="CK111" s="306">
        <v>0</v>
      </c>
      <c r="CL111" s="306">
        <v>0</v>
      </c>
    </row>
    <row r="112" spans="61:90">
      <c r="BI112" s="304" t="s">
        <v>724</v>
      </c>
      <c r="BJ112" s="306">
        <v>0</v>
      </c>
      <c r="BK112" s="306">
        <v>0</v>
      </c>
      <c r="BL112" s="306">
        <v>0</v>
      </c>
      <c r="BM112" s="306">
        <v>0</v>
      </c>
      <c r="BN112" s="306">
        <v>0</v>
      </c>
      <c r="BO112" s="306">
        <v>0</v>
      </c>
      <c r="BP112" s="306">
        <v>0</v>
      </c>
      <c r="BQ112" s="306">
        <v>0</v>
      </c>
      <c r="BR112" s="306">
        <v>0</v>
      </c>
      <c r="BS112" s="306">
        <v>0</v>
      </c>
      <c r="BT112" s="306">
        <v>0</v>
      </c>
      <c r="BU112" s="306">
        <v>0</v>
      </c>
      <c r="BV112" s="306">
        <v>0</v>
      </c>
      <c r="BW112" s="306">
        <v>0</v>
      </c>
      <c r="BX112" s="306">
        <v>0</v>
      </c>
      <c r="BY112" s="306">
        <v>0</v>
      </c>
      <c r="BZ112" s="306">
        <v>0</v>
      </c>
      <c r="CA112" s="306">
        <v>0</v>
      </c>
      <c r="CB112" s="306">
        <v>0</v>
      </c>
      <c r="CC112" s="306">
        <v>0</v>
      </c>
      <c r="CD112" s="306">
        <v>0</v>
      </c>
      <c r="CE112" s="306">
        <v>0</v>
      </c>
      <c r="CF112" s="306">
        <v>0</v>
      </c>
      <c r="CG112" s="306">
        <v>0</v>
      </c>
      <c r="CH112" s="306">
        <v>0</v>
      </c>
      <c r="CI112" s="306">
        <v>0</v>
      </c>
      <c r="CJ112" s="306">
        <v>0</v>
      </c>
      <c r="CK112" s="306">
        <v>0</v>
      </c>
      <c r="CL112" s="306">
        <v>0</v>
      </c>
    </row>
    <row r="113" spans="61:95">
      <c r="BI113" s="304" t="s">
        <v>725</v>
      </c>
      <c r="BJ113" s="306">
        <v>0</v>
      </c>
      <c r="BK113" s="306">
        <v>0</v>
      </c>
      <c r="BL113" s="306">
        <v>0</v>
      </c>
      <c r="BM113" s="306">
        <v>0</v>
      </c>
      <c r="BN113" s="306">
        <v>0</v>
      </c>
      <c r="BO113" s="306">
        <v>0</v>
      </c>
      <c r="BP113" s="306">
        <v>0</v>
      </c>
      <c r="BQ113" s="306">
        <v>0</v>
      </c>
      <c r="BR113" s="306">
        <v>0</v>
      </c>
      <c r="BS113" s="306">
        <v>0</v>
      </c>
      <c r="BT113" s="306">
        <v>0</v>
      </c>
      <c r="BU113" s="306">
        <v>0</v>
      </c>
      <c r="BV113" s="306">
        <v>0</v>
      </c>
      <c r="BW113" s="306">
        <v>0</v>
      </c>
      <c r="BX113" s="306">
        <v>0</v>
      </c>
      <c r="BY113" s="306">
        <v>0</v>
      </c>
      <c r="BZ113" s="306">
        <v>82.091627997489695</v>
      </c>
      <c r="CA113" s="306">
        <v>0</v>
      </c>
      <c r="CB113" s="306">
        <v>0</v>
      </c>
      <c r="CC113" s="306">
        <v>0</v>
      </c>
      <c r="CD113" s="306">
        <v>0</v>
      </c>
      <c r="CE113" s="306">
        <v>0</v>
      </c>
      <c r="CF113" s="306">
        <v>0</v>
      </c>
      <c r="CG113" s="306">
        <v>0</v>
      </c>
      <c r="CH113" s="306">
        <v>0</v>
      </c>
      <c r="CI113" s="306">
        <v>0</v>
      </c>
      <c r="CJ113" s="306">
        <v>0</v>
      </c>
      <c r="CK113" s="306">
        <v>0</v>
      </c>
      <c r="CL113" s="306">
        <v>0</v>
      </c>
    </row>
    <row r="114" spans="61:95">
      <c r="BI114" s="304" t="s">
        <v>726</v>
      </c>
      <c r="BJ114" s="306">
        <v>0</v>
      </c>
      <c r="BK114" s="306">
        <v>0</v>
      </c>
      <c r="BL114" s="306">
        <v>0</v>
      </c>
      <c r="BM114" s="306">
        <v>0</v>
      </c>
      <c r="BN114" s="306">
        <v>0</v>
      </c>
      <c r="BO114" s="306">
        <v>0</v>
      </c>
      <c r="BP114" s="306">
        <v>0</v>
      </c>
      <c r="BQ114" s="306">
        <v>0</v>
      </c>
      <c r="BR114" s="306">
        <v>0</v>
      </c>
      <c r="BS114" s="306">
        <v>0</v>
      </c>
      <c r="BT114" s="306">
        <v>0</v>
      </c>
      <c r="BU114" s="306">
        <v>0</v>
      </c>
      <c r="BV114" s="306">
        <v>0</v>
      </c>
      <c r="BW114" s="306">
        <v>0</v>
      </c>
      <c r="BX114" s="306">
        <v>0</v>
      </c>
      <c r="BY114" s="306">
        <v>0</v>
      </c>
      <c r="BZ114" s="306">
        <v>0</v>
      </c>
      <c r="CA114" s="306">
        <v>0</v>
      </c>
      <c r="CB114" s="306">
        <v>0</v>
      </c>
      <c r="CC114" s="306">
        <v>0</v>
      </c>
      <c r="CD114" s="306">
        <v>82.091627997489695</v>
      </c>
      <c r="CE114" s="306">
        <v>0</v>
      </c>
      <c r="CF114" s="306">
        <v>0</v>
      </c>
      <c r="CG114" s="306">
        <v>0</v>
      </c>
      <c r="CH114" s="306">
        <v>0</v>
      </c>
      <c r="CI114" s="306">
        <v>0</v>
      </c>
      <c r="CJ114" s="306">
        <v>0</v>
      </c>
      <c r="CK114" s="306">
        <v>0</v>
      </c>
      <c r="CL114" s="306">
        <v>0</v>
      </c>
    </row>
    <row r="115" spans="61:95">
      <c r="BI115" s="304" t="s">
        <v>675</v>
      </c>
      <c r="BJ115" s="306">
        <v>0</v>
      </c>
      <c r="BK115" s="306">
        <v>0</v>
      </c>
      <c r="BL115" s="306">
        <v>0</v>
      </c>
      <c r="BM115" s="306">
        <v>0</v>
      </c>
      <c r="BN115" s="306">
        <v>0</v>
      </c>
      <c r="BO115" s="306">
        <v>0</v>
      </c>
      <c r="BP115" s="306">
        <v>0</v>
      </c>
      <c r="BQ115" s="306">
        <v>0</v>
      </c>
      <c r="BR115" s="306">
        <v>0</v>
      </c>
      <c r="BS115" s="306">
        <v>0</v>
      </c>
      <c r="BT115" s="306">
        <v>0</v>
      </c>
      <c r="BU115" s="306">
        <v>0</v>
      </c>
      <c r="BV115" s="306">
        <v>0</v>
      </c>
      <c r="BW115" s="306">
        <v>0</v>
      </c>
      <c r="BX115" s="306">
        <v>0</v>
      </c>
      <c r="BY115" s="306">
        <v>0</v>
      </c>
      <c r="BZ115" s="306">
        <v>0</v>
      </c>
      <c r="CA115" s="306">
        <v>0</v>
      </c>
      <c r="CB115" s="306">
        <v>0</v>
      </c>
      <c r="CC115" s="306">
        <v>0</v>
      </c>
      <c r="CD115" s="306">
        <v>0</v>
      </c>
      <c r="CE115" s="306">
        <v>0</v>
      </c>
      <c r="CF115" s="306">
        <v>0</v>
      </c>
      <c r="CG115" s="306">
        <v>0</v>
      </c>
      <c r="CH115" s="306">
        <v>0</v>
      </c>
      <c r="CI115" s="306">
        <v>0</v>
      </c>
      <c r="CJ115" s="306">
        <v>0</v>
      </c>
      <c r="CK115" s="306">
        <v>0</v>
      </c>
      <c r="CL115" s="306">
        <v>0</v>
      </c>
    </row>
    <row r="116" spans="61:95">
      <c r="BI116" s="304" t="s">
        <v>676</v>
      </c>
      <c r="BJ116" s="306">
        <v>2830357.1263978099</v>
      </c>
      <c r="BK116" s="306">
        <v>0</v>
      </c>
      <c r="BL116" s="306">
        <v>0</v>
      </c>
      <c r="BM116" s="306">
        <v>0</v>
      </c>
      <c r="BN116" s="306">
        <v>0</v>
      </c>
      <c r="BO116" s="306">
        <v>0</v>
      </c>
      <c r="BP116" s="306">
        <v>0</v>
      </c>
      <c r="BQ116" s="306">
        <v>0</v>
      </c>
      <c r="BR116" s="306">
        <v>0</v>
      </c>
      <c r="BS116" s="306">
        <v>0</v>
      </c>
      <c r="BT116" s="306">
        <v>0</v>
      </c>
      <c r="BU116" s="306">
        <v>0</v>
      </c>
      <c r="BV116" s="306">
        <v>0</v>
      </c>
      <c r="BW116" s="306">
        <v>0</v>
      </c>
      <c r="BX116" s="306">
        <v>0</v>
      </c>
      <c r="BY116" s="306">
        <v>0</v>
      </c>
      <c r="BZ116" s="306">
        <v>0</v>
      </c>
      <c r="CA116" s="306">
        <v>0</v>
      </c>
      <c r="CB116" s="306">
        <v>0</v>
      </c>
      <c r="CC116" s="306">
        <v>0</v>
      </c>
      <c r="CD116" s="306">
        <v>0</v>
      </c>
      <c r="CE116" s="306">
        <v>0</v>
      </c>
      <c r="CF116" s="306">
        <v>0</v>
      </c>
      <c r="CG116" s="306">
        <v>0</v>
      </c>
      <c r="CH116" s="306">
        <v>0</v>
      </c>
      <c r="CI116" s="306">
        <v>0</v>
      </c>
      <c r="CJ116" s="306">
        <v>0</v>
      </c>
      <c r="CK116" s="306">
        <v>0</v>
      </c>
      <c r="CL116" s="306">
        <v>0</v>
      </c>
    </row>
    <row r="117" spans="61:95">
      <c r="BI117" s="304" t="s">
        <v>677</v>
      </c>
      <c r="BJ117" s="306">
        <v>0</v>
      </c>
      <c r="BK117" s="306">
        <v>0</v>
      </c>
      <c r="BL117" s="306">
        <v>0</v>
      </c>
      <c r="BM117" s="306">
        <v>0</v>
      </c>
      <c r="BN117" s="306">
        <v>0</v>
      </c>
      <c r="BO117" s="306">
        <v>0</v>
      </c>
      <c r="BP117" s="306">
        <v>4043367.3234254499</v>
      </c>
      <c r="BQ117" s="306">
        <v>0</v>
      </c>
      <c r="BR117" s="306">
        <v>0</v>
      </c>
      <c r="BS117" s="306">
        <v>0</v>
      </c>
      <c r="BT117" s="306">
        <v>0</v>
      </c>
      <c r="BU117" s="306">
        <v>0</v>
      </c>
      <c r="BV117" s="306">
        <v>0</v>
      </c>
      <c r="BW117" s="306">
        <v>0</v>
      </c>
      <c r="BX117" s="306">
        <v>0</v>
      </c>
      <c r="BY117" s="306">
        <v>0</v>
      </c>
      <c r="BZ117" s="306">
        <v>0</v>
      </c>
      <c r="CA117" s="306">
        <v>0</v>
      </c>
      <c r="CB117" s="306">
        <v>0</v>
      </c>
      <c r="CC117" s="306">
        <v>0</v>
      </c>
      <c r="CD117" s="306">
        <v>0</v>
      </c>
      <c r="CE117" s="306">
        <v>0</v>
      </c>
      <c r="CF117" s="306">
        <v>0</v>
      </c>
      <c r="CG117" s="306">
        <v>0</v>
      </c>
      <c r="CH117" s="306">
        <v>0</v>
      </c>
      <c r="CI117" s="306">
        <v>0</v>
      </c>
      <c r="CJ117" s="306">
        <v>0</v>
      </c>
      <c r="CK117" s="306">
        <v>0</v>
      </c>
      <c r="CL117" s="306">
        <v>0</v>
      </c>
    </row>
    <row r="118" spans="61:95">
      <c r="BI118" s="304" t="s">
        <v>727</v>
      </c>
      <c r="BJ118" s="306">
        <v>0</v>
      </c>
      <c r="BK118" s="306">
        <v>0</v>
      </c>
      <c r="BL118" s="306">
        <v>0</v>
      </c>
      <c r="BM118" s="306">
        <v>0</v>
      </c>
      <c r="BN118" s="306">
        <v>0</v>
      </c>
      <c r="BO118" s="306">
        <v>0</v>
      </c>
      <c r="BP118" s="306">
        <v>0</v>
      </c>
      <c r="BQ118" s="306">
        <v>0</v>
      </c>
      <c r="BR118" s="306">
        <v>0</v>
      </c>
      <c r="BS118" s="306">
        <v>0</v>
      </c>
      <c r="BT118" s="306">
        <v>0</v>
      </c>
      <c r="BU118" s="306">
        <v>0</v>
      </c>
      <c r="BV118" s="306">
        <v>0</v>
      </c>
      <c r="BW118" s="306">
        <v>0</v>
      </c>
      <c r="BX118" s="306">
        <v>0</v>
      </c>
      <c r="BY118" s="306">
        <v>0</v>
      </c>
      <c r="BZ118" s="306">
        <v>43.206119998678503</v>
      </c>
      <c r="CA118" s="306">
        <v>0</v>
      </c>
      <c r="CB118" s="306">
        <v>0</v>
      </c>
      <c r="CC118" s="306">
        <v>0</v>
      </c>
      <c r="CD118" s="306">
        <v>0</v>
      </c>
      <c r="CE118" s="306">
        <v>0</v>
      </c>
      <c r="CF118" s="306">
        <v>0</v>
      </c>
      <c r="CG118" s="306">
        <v>0</v>
      </c>
      <c r="CH118" s="306">
        <v>0</v>
      </c>
      <c r="CI118" s="306">
        <v>0</v>
      </c>
      <c r="CJ118" s="306">
        <v>0</v>
      </c>
      <c r="CK118" s="306">
        <v>0</v>
      </c>
      <c r="CL118" s="306">
        <v>0</v>
      </c>
    </row>
    <row r="119" spans="61:95">
      <c r="BI119" s="304" t="s">
        <v>728</v>
      </c>
      <c r="BJ119" s="306">
        <v>0</v>
      </c>
      <c r="BK119" s="306">
        <v>0</v>
      </c>
      <c r="BL119" s="306">
        <v>0</v>
      </c>
      <c r="BM119" s="306">
        <v>0</v>
      </c>
      <c r="BN119" s="306">
        <v>0</v>
      </c>
      <c r="BO119" s="306">
        <v>0</v>
      </c>
      <c r="BP119" s="306">
        <v>0</v>
      </c>
      <c r="BQ119" s="306">
        <v>0</v>
      </c>
      <c r="BR119" s="306">
        <v>0</v>
      </c>
      <c r="BS119" s="306">
        <v>0</v>
      </c>
      <c r="BT119" s="306">
        <v>0</v>
      </c>
      <c r="BU119" s="306">
        <v>0</v>
      </c>
      <c r="BV119" s="306">
        <v>0</v>
      </c>
      <c r="BW119" s="306">
        <v>0</v>
      </c>
      <c r="BX119" s="306">
        <v>0</v>
      </c>
      <c r="BY119" s="306">
        <v>0</v>
      </c>
      <c r="BZ119" s="306">
        <v>0</v>
      </c>
      <c r="CA119" s="306">
        <v>0</v>
      </c>
      <c r="CB119" s="306">
        <v>0</v>
      </c>
      <c r="CC119" s="306">
        <v>0</v>
      </c>
      <c r="CD119" s="306">
        <v>0</v>
      </c>
      <c r="CE119" s="306">
        <v>43.206119998678503</v>
      </c>
      <c r="CF119" s="306">
        <v>0</v>
      </c>
      <c r="CG119" s="306">
        <v>0</v>
      </c>
      <c r="CH119" s="306">
        <v>0</v>
      </c>
      <c r="CI119" s="306">
        <v>0</v>
      </c>
      <c r="CJ119" s="306">
        <v>0</v>
      </c>
      <c r="CK119" s="306">
        <v>0</v>
      </c>
      <c r="CL119" s="306">
        <v>0</v>
      </c>
    </row>
    <row r="120" spans="61:95">
      <c r="BI120" s="304"/>
      <c r="BJ120" s="358" t="s">
        <v>705</v>
      </c>
      <c r="BK120" s="371"/>
      <c r="BL120" s="371"/>
      <c r="BM120" s="371"/>
      <c r="BN120" s="371"/>
      <c r="BO120" s="371"/>
      <c r="BP120" s="371"/>
      <c r="BQ120" s="371"/>
      <c r="BR120" s="371"/>
      <c r="BS120" s="371"/>
      <c r="BT120" s="371"/>
      <c r="BU120" s="371"/>
      <c r="BV120" s="371"/>
      <c r="BW120" s="371"/>
      <c r="BX120" s="371"/>
      <c r="BY120" s="371"/>
      <c r="BZ120" s="371"/>
      <c r="CA120" s="371"/>
      <c r="CB120" s="371"/>
      <c r="CC120" s="371"/>
      <c r="CD120" s="371"/>
      <c r="CE120" s="371"/>
      <c r="CF120" s="371"/>
      <c r="CG120" s="371"/>
      <c r="CH120" s="371"/>
      <c r="CI120" s="371"/>
      <c r="CJ120" s="371"/>
      <c r="CK120" s="371"/>
      <c r="CL120" s="371"/>
    </row>
    <row r="123" spans="61:95" ht="174.6">
      <c r="BI123" s="303" t="s">
        <v>641</v>
      </c>
      <c r="BJ123" s="234" t="s">
        <v>683</v>
      </c>
      <c r="BK123" s="234" t="s">
        <v>684</v>
      </c>
      <c r="BL123" s="234" t="s">
        <v>685</v>
      </c>
      <c r="BM123" s="234" t="s">
        <v>686</v>
      </c>
      <c r="BN123" s="234" t="s">
        <v>749</v>
      </c>
      <c r="BO123" s="234" t="s">
        <v>750</v>
      </c>
      <c r="BP123" s="234" t="s">
        <v>687</v>
      </c>
      <c r="BQ123" s="234" t="s">
        <v>688</v>
      </c>
      <c r="BR123" s="234" t="s">
        <v>689</v>
      </c>
      <c r="BS123" s="234" t="s">
        <v>751</v>
      </c>
      <c r="BT123" s="234" t="s">
        <v>690</v>
      </c>
      <c r="BU123" s="234" t="s">
        <v>691</v>
      </c>
      <c r="BV123" s="234" t="s">
        <v>692</v>
      </c>
      <c r="BW123" s="234" t="s">
        <v>693</v>
      </c>
      <c r="BX123" s="234" t="s">
        <v>694</v>
      </c>
      <c r="BY123" s="234" t="s">
        <v>695</v>
      </c>
      <c r="BZ123" s="234" t="s">
        <v>752</v>
      </c>
      <c r="CA123" s="234" t="s">
        <v>753</v>
      </c>
      <c r="CB123" s="234" t="s">
        <v>754</v>
      </c>
      <c r="CC123" s="234" t="s">
        <v>755</v>
      </c>
      <c r="CD123" s="234" t="s">
        <v>756</v>
      </c>
      <c r="CE123" s="234" t="s">
        <v>757</v>
      </c>
      <c r="CF123" s="234" t="s">
        <v>696</v>
      </c>
      <c r="CG123" s="234" t="s">
        <v>758</v>
      </c>
      <c r="CH123" s="234" t="s">
        <v>759</v>
      </c>
      <c r="CI123" s="234" t="s">
        <v>760</v>
      </c>
      <c r="CJ123" s="234" t="s">
        <v>761</v>
      </c>
      <c r="CK123" s="234" t="s">
        <v>697</v>
      </c>
      <c r="CL123" s="234" t="s">
        <v>762</v>
      </c>
      <c r="CO123" s="303" t="s">
        <v>641</v>
      </c>
      <c r="CP123" s="234" t="s">
        <v>700</v>
      </c>
      <c r="CQ123" s="234" t="s">
        <v>701</v>
      </c>
    </row>
    <row r="124" spans="61:95">
      <c r="BI124" s="304" t="s">
        <v>642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S124" s="305">
        <v>0</v>
      </c>
      <c r="BT124" s="305">
        <v>0</v>
      </c>
      <c r="BU124" s="305">
        <v>0</v>
      </c>
      <c r="BV124" s="305">
        <v>0</v>
      </c>
      <c r="BW124" s="305">
        <v>0</v>
      </c>
      <c r="BX124" s="305">
        <v>0</v>
      </c>
      <c r="BY124" s="305">
        <v>0</v>
      </c>
      <c r="BZ124" s="305">
        <v>0</v>
      </c>
      <c r="CA124" s="305">
        <v>0</v>
      </c>
      <c r="CB124" s="305">
        <v>0</v>
      </c>
      <c r="CC124" s="305">
        <v>0</v>
      </c>
      <c r="CD124" s="305">
        <v>0</v>
      </c>
      <c r="CE124" s="305">
        <v>0</v>
      </c>
      <c r="CF124" s="305">
        <v>6408288.6211381704</v>
      </c>
      <c r="CG124" s="305">
        <v>0</v>
      </c>
      <c r="CH124" s="305">
        <v>0</v>
      </c>
      <c r="CI124" s="305">
        <v>0</v>
      </c>
      <c r="CJ124" s="305">
        <v>0</v>
      </c>
      <c r="CK124" s="305">
        <v>0</v>
      </c>
      <c r="CL124" s="305">
        <v>0</v>
      </c>
      <c r="CO124" s="304" t="s">
        <v>642</v>
      </c>
      <c r="CP124" s="302">
        <v>0</v>
      </c>
      <c r="CQ124" s="302">
        <v>0</v>
      </c>
    </row>
    <row r="125" spans="61:95">
      <c r="BI125" s="304" t="s">
        <v>708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45017.590801780199</v>
      </c>
      <c r="BP125" s="305">
        <v>0</v>
      </c>
      <c r="BQ125" s="305">
        <v>0</v>
      </c>
      <c r="BR125" s="305">
        <v>0</v>
      </c>
      <c r="BS125" s="305">
        <v>0</v>
      </c>
      <c r="BT125" s="305">
        <v>0</v>
      </c>
      <c r="BU125" s="305">
        <v>0</v>
      </c>
      <c r="BV125" s="305">
        <v>0</v>
      </c>
      <c r="BW125" s="305">
        <v>0</v>
      </c>
      <c r="BX125" s="305">
        <v>0</v>
      </c>
      <c r="BY125" s="305">
        <v>0</v>
      </c>
      <c r="BZ125" s="305">
        <v>0</v>
      </c>
      <c r="CA125" s="305">
        <v>0</v>
      </c>
      <c r="CB125" s="305">
        <v>0</v>
      </c>
      <c r="CC125" s="305">
        <v>0</v>
      </c>
      <c r="CD125" s="305">
        <v>0</v>
      </c>
      <c r="CE125" s="305">
        <v>0</v>
      </c>
      <c r="CF125" s="305">
        <v>0</v>
      </c>
      <c r="CG125" s="305">
        <v>0</v>
      </c>
      <c r="CH125" s="305">
        <v>0</v>
      </c>
      <c r="CI125" s="305">
        <v>0</v>
      </c>
      <c r="CJ125" s="305">
        <v>0</v>
      </c>
      <c r="CK125" s="305">
        <v>0</v>
      </c>
      <c r="CL125" s="305">
        <v>0</v>
      </c>
      <c r="CO125" s="304" t="s">
        <v>708</v>
      </c>
      <c r="CP125" s="302">
        <v>0</v>
      </c>
      <c r="CQ125" s="302">
        <v>0</v>
      </c>
    </row>
    <row r="126" spans="61:95">
      <c r="BI126" s="304" t="s">
        <v>643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S126" s="305">
        <v>0</v>
      </c>
      <c r="BT126" s="305">
        <v>0</v>
      </c>
      <c r="BU126" s="305">
        <v>0</v>
      </c>
      <c r="BV126" s="305">
        <v>0</v>
      </c>
      <c r="BW126" s="305">
        <v>0</v>
      </c>
      <c r="BX126" s="305">
        <v>0</v>
      </c>
      <c r="BY126" s="305">
        <v>0</v>
      </c>
      <c r="BZ126" s="305">
        <v>0</v>
      </c>
      <c r="CA126" s="305">
        <v>0</v>
      </c>
      <c r="CB126" s="305">
        <v>0</v>
      </c>
      <c r="CC126" s="305">
        <v>0</v>
      </c>
      <c r="CD126" s="305">
        <v>0</v>
      </c>
      <c r="CE126" s="305">
        <v>0</v>
      </c>
      <c r="CF126" s="305">
        <v>0</v>
      </c>
      <c r="CG126" s="305">
        <v>0</v>
      </c>
      <c r="CH126" s="305">
        <v>0</v>
      </c>
      <c r="CI126" s="305">
        <v>0</v>
      </c>
      <c r="CJ126" s="305">
        <v>0</v>
      </c>
      <c r="CK126" s="305">
        <v>0</v>
      </c>
      <c r="CL126" s="305">
        <v>0</v>
      </c>
      <c r="CO126" s="304" t="s">
        <v>643</v>
      </c>
      <c r="CP126" s="302">
        <v>0</v>
      </c>
      <c r="CQ126" s="302">
        <v>8991.6203231094005</v>
      </c>
    </row>
    <row r="127" spans="61:95">
      <c r="BI127" s="304" t="s">
        <v>644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S127" s="305">
        <v>0</v>
      </c>
      <c r="BT127" s="305">
        <v>0</v>
      </c>
      <c r="BU127" s="305">
        <v>0</v>
      </c>
      <c r="BV127" s="305">
        <v>0</v>
      </c>
      <c r="BW127" s="305">
        <v>0</v>
      </c>
      <c r="BX127" s="305">
        <v>0</v>
      </c>
      <c r="BY127" s="305">
        <v>0</v>
      </c>
      <c r="BZ127" s="305">
        <v>0</v>
      </c>
      <c r="CA127" s="305">
        <v>0</v>
      </c>
      <c r="CB127" s="305">
        <v>0</v>
      </c>
      <c r="CC127" s="305">
        <v>0</v>
      </c>
      <c r="CD127" s="305">
        <v>0</v>
      </c>
      <c r="CE127" s="305">
        <v>0</v>
      </c>
      <c r="CF127" s="305">
        <v>0</v>
      </c>
      <c r="CG127" s="305">
        <v>0</v>
      </c>
      <c r="CH127" s="305">
        <v>0</v>
      </c>
      <c r="CI127" s="305">
        <v>0</v>
      </c>
      <c r="CJ127" s="305">
        <v>0</v>
      </c>
      <c r="CK127" s="305">
        <v>0</v>
      </c>
      <c r="CL127" s="305">
        <v>0</v>
      </c>
      <c r="CO127" s="304" t="s">
        <v>644</v>
      </c>
      <c r="CP127" s="302">
        <v>0</v>
      </c>
      <c r="CQ127" s="302">
        <v>404209.15818875801</v>
      </c>
    </row>
    <row r="128" spans="61:95">
      <c r="BI128" s="304" t="s">
        <v>645</v>
      </c>
      <c r="BJ128" s="305">
        <v>6682782.3361421302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S128" s="305">
        <v>0</v>
      </c>
      <c r="BT128" s="305">
        <v>0</v>
      </c>
      <c r="BU128" s="305">
        <v>0</v>
      </c>
      <c r="BV128" s="305">
        <v>0</v>
      </c>
      <c r="BW128" s="305">
        <v>0</v>
      </c>
      <c r="BX128" s="305">
        <v>0</v>
      </c>
      <c r="BY128" s="305">
        <v>0</v>
      </c>
      <c r="BZ128" s="305">
        <v>0</v>
      </c>
      <c r="CA128" s="305">
        <v>0</v>
      </c>
      <c r="CB128" s="305">
        <v>0</v>
      </c>
      <c r="CC128" s="305">
        <v>0</v>
      </c>
      <c r="CD128" s="305">
        <v>0</v>
      </c>
      <c r="CE128" s="305">
        <v>0</v>
      </c>
      <c r="CF128" s="305">
        <v>0</v>
      </c>
      <c r="CG128" s="305">
        <v>0</v>
      </c>
      <c r="CH128" s="305">
        <v>0</v>
      </c>
      <c r="CI128" s="305">
        <v>0</v>
      </c>
      <c r="CJ128" s="305">
        <v>0</v>
      </c>
      <c r="CK128" s="305">
        <v>0</v>
      </c>
      <c r="CL128" s="305">
        <v>0</v>
      </c>
      <c r="CO128" s="304" t="s">
        <v>645</v>
      </c>
      <c r="CP128" s="302">
        <v>0</v>
      </c>
      <c r="CQ128" s="302">
        <v>0</v>
      </c>
    </row>
    <row r="129" spans="61:95">
      <c r="BI129" s="304" t="s">
        <v>646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8855804.3203369807</v>
      </c>
      <c r="BS129" s="305">
        <v>0</v>
      </c>
      <c r="BT129" s="305">
        <v>0</v>
      </c>
      <c r="BU129" s="305">
        <v>0</v>
      </c>
      <c r="BV129" s="305">
        <v>0</v>
      </c>
      <c r="BW129" s="305">
        <v>0</v>
      </c>
      <c r="BX129" s="305">
        <v>0</v>
      </c>
      <c r="BY129" s="305">
        <v>0</v>
      </c>
      <c r="BZ129" s="305">
        <v>0</v>
      </c>
      <c r="CA129" s="305">
        <v>0</v>
      </c>
      <c r="CB129" s="305">
        <v>0</v>
      </c>
      <c r="CC129" s="305">
        <v>0</v>
      </c>
      <c r="CD129" s="305">
        <v>0</v>
      </c>
      <c r="CE129" s="305">
        <v>0</v>
      </c>
      <c r="CF129" s="305">
        <v>0</v>
      </c>
      <c r="CG129" s="305">
        <v>0</v>
      </c>
      <c r="CH129" s="305">
        <v>0</v>
      </c>
      <c r="CI129" s="305">
        <v>0</v>
      </c>
      <c r="CJ129" s="305">
        <v>0</v>
      </c>
      <c r="CK129" s="305">
        <v>0</v>
      </c>
      <c r="CL129" s="305">
        <v>0</v>
      </c>
      <c r="CO129" s="304" t="s">
        <v>646</v>
      </c>
      <c r="CP129" s="302">
        <v>0</v>
      </c>
      <c r="CQ129" s="302">
        <v>0</v>
      </c>
    </row>
    <row r="130" spans="61:95">
      <c r="BI130" s="304" t="s">
        <v>647</v>
      </c>
      <c r="BJ130" s="305">
        <v>0</v>
      </c>
      <c r="BK130" s="305">
        <v>0</v>
      </c>
      <c r="BL130" s="305">
        <v>0</v>
      </c>
      <c r="BM130" s="305">
        <v>8855804.3203369807</v>
      </c>
      <c r="BN130" s="305">
        <v>0</v>
      </c>
      <c r="BO130" s="305">
        <v>0</v>
      </c>
      <c r="BP130" s="305">
        <v>0</v>
      </c>
      <c r="BQ130" s="305">
        <v>0</v>
      </c>
      <c r="BR130" s="305">
        <v>0</v>
      </c>
      <c r="BS130" s="305">
        <v>0</v>
      </c>
      <c r="BT130" s="305">
        <v>0</v>
      </c>
      <c r="BU130" s="305">
        <v>0</v>
      </c>
      <c r="BV130" s="305">
        <v>0</v>
      </c>
      <c r="BW130" s="305">
        <v>0</v>
      </c>
      <c r="BX130" s="305">
        <v>0</v>
      </c>
      <c r="BY130" s="305">
        <v>0</v>
      </c>
      <c r="BZ130" s="305">
        <v>0</v>
      </c>
      <c r="CA130" s="305">
        <v>0</v>
      </c>
      <c r="CB130" s="305">
        <v>0</v>
      </c>
      <c r="CC130" s="305">
        <v>0</v>
      </c>
      <c r="CD130" s="305">
        <v>0</v>
      </c>
      <c r="CE130" s="305">
        <v>0</v>
      </c>
      <c r="CF130" s="305">
        <v>0</v>
      </c>
      <c r="CG130" s="305">
        <v>0</v>
      </c>
      <c r="CH130" s="305">
        <v>0</v>
      </c>
      <c r="CI130" s="305">
        <v>0</v>
      </c>
      <c r="CJ130" s="305">
        <v>0</v>
      </c>
      <c r="CK130" s="305">
        <v>0</v>
      </c>
      <c r="CL130" s="305">
        <v>0</v>
      </c>
      <c r="CO130" s="304" t="s">
        <v>647</v>
      </c>
      <c r="CP130" s="302">
        <v>0</v>
      </c>
      <c r="CQ130" s="302">
        <v>0</v>
      </c>
    </row>
    <row r="131" spans="61:95">
      <c r="BI131" s="304" t="s">
        <v>648</v>
      </c>
      <c r="BJ131" s="305">
        <v>0</v>
      </c>
      <c r="BK131" s="305">
        <v>8855804.3203369807</v>
      </c>
      <c r="BL131" s="305">
        <v>0</v>
      </c>
      <c r="BM131" s="305">
        <v>0</v>
      </c>
      <c r="BN131" s="305">
        <v>0</v>
      </c>
      <c r="BO131" s="305">
        <v>0</v>
      </c>
      <c r="BP131" s="305">
        <v>0</v>
      </c>
      <c r="BQ131" s="305">
        <v>0</v>
      </c>
      <c r="BR131" s="305">
        <v>0</v>
      </c>
      <c r="BS131" s="305">
        <v>0</v>
      </c>
      <c r="BT131" s="305">
        <v>0</v>
      </c>
      <c r="BU131" s="305">
        <v>0</v>
      </c>
      <c r="BV131" s="305">
        <v>0</v>
      </c>
      <c r="BW131" s="305">
        <v>0</v>
      </c>
      <c r="BX131" s="305">
        <v>0</v>
      </c>
      <c r="BY131" s="305">
        <v>0</v>
      </c>
      <c r="BZ131" s="305">
        <v>0</v>
      </c>
      <c r="CA131" s="305">
        <v>0</v>
      </c>
      <c r="CB131" s="305">
        <v>0</v>
      </c>
      <c r="CC131" s="305">
        <v>0</v>
      </c>
      <c r="CD131" s="305">
        <v>0</v>
      </c>
      <c r="CE131" s="305">
        <v>0</v>
      </c>
      <c r="CF131" s="305">
        <v>0</v>
      </c>
      <c r="CG131" s="305">
        <v>0</v>
      </c>
      <c r="CH131" s="305">
        <v>0</v>
      </c>
      <c r="CI131" s="305">
        <v>0</v>
      </c>
      <c r="CJ131" s="305">
        <v>0</v>
      </c>
      <c r="CK131" s="305">
        <v>0</v>
      </c>
      <c r="CL131" s="305">
        <v>0</v>
      </c>
      <c r="CO131" s="304" t="s">
        <v>648</v>
      </c>
      <c r="CP131" s="302">
        <v>0</v>
      </c>
      <c r="CQ131" s="302">
        <v>0</v>
      </c>
    </row>
    <row r="132" spans="61:95">
      <c r="BI132" s="304" t="s">
        <v>649</v>
      </c>
      <c r="BJ132" s="305">
        <v>0</v>
      </c>
      <c r="BK132" s="305">
        <v>0</v>
      </c>
      <c r="BL132" s="305">
        <v>8850991.3601140399</v>
      </c>
      <c r="BM132" s="305">
        <v>0</v>
      </c>
      <c r="BN132" s="305">
        <v>0</v>
      </c>
      <c r="BO132" s="305">
        <v>0</v>
      </c>
      <c r="BP132" s="305">
        <v>0</v>
      </c>
      <c r="BQ132" s="305">
        <v>0</v>
      </c>
      <c r="BR132" s="305">
        <v>0</v>
      </c>
      <c r="BS132" s="305">
        <v>0</v>
      </c>
      <c r="BT132" s="305">
        <v>0</v>
      </c>
      <c r="BU132" s="305">
        <v>0</v>
      </c>
      <c r="BV132" s="305">
        <v>0</v>
      </c>
      <c r="BW132" s="305">
        <v>0</v>
      </c>
      <c r="BX132" s="305">
        <v>0</v>
      </c>
      <c r="BY132" s="305">
        <v>0</v>
      </c>
      <c r="BZ132" s="305">
        <v>0</v>
      </c>
      <c r="CA132" s="305">
        <v>0</v>
      </c>
      <c r="CB132" s="305">
        <v>0</v>
      </c>
      <c r="CC132" s="305">
        <v>0</v>
      </c>
      <c r="CD132" s="305">
        <v>0</v>
      </c>
      <c r="CE132" s="305">
        <v>0</v>
      </c>
      <c r="CF132" s="305">
        <v>0</v>
      </c>
      <c r="CG132" s="305">
        <v>0</v>
      </c>
      <c r="CH132" s="305">
        <v>0</v>
      </c>
      <c r="CI132" s="305">
        <v>0</v>
      </c>
      <c r="CJ132" s="305">
        <v>0</v>
      </c>
      <c r="CK132" s="305">
        <v>0</v>
      </c>
      <c r="CL132" s="305">
        <v>0</v>
      </c>
      <c r="CO132" s="304" t="s">
        <v>649</v>
      </c>
      <c r="CP132" s="302">
        <v>0</v>
      </c>
      <c r="CQ132" s="302">
        <v>0</v>
      </c>
    </row>
    <row r="133" spans="61:95">
      <c r="BI133" s="304" t="s">
        <v>650</v>
      </c>
      <c r="BJ133" s="305">
        <v>0</v>
      </c>
      <c r="BK133" s="305">
        <v>0</v>
      </c>
      <c r="BL133" s="305">
        <v>0</v>
      </c>
      <c r="BM133" s="305">
        <v>0</v>
      </c>
      <c r="BN133" s="305">
        <v>0</v>
      </c>
      <c r="BO133" s="305">
        <v>0</v>
      </c>
      <c r="BP133" s="305">
        <v>0</v>
      </c>
      <c r="BQ133" s="305">
        <v>4026178.1360752499</v>
      </c>
      <c r="BR133" s="305">
        <v>0</v>
      </c>
      <c r="BS133" s="305">
        <v>0</v>
      </c>
      <c r="BT133" s="305">
        <v>0</v>
      </c>
      <c r="BU133" s="305">
        <v>0</v>
      </c>
      <c r="BV133" s="305">
        <v>0</v>
      </c>
      <c r="BW133" s="305">
        <v>0</v>
      </c>
      <c r="BX133" s="305">
        <v>0</v>
      </c>
      <c r="BY133" s="305">
        <v>0</v>
      </c>
      <c r="BZ133" s="305">
        <v>0</v>
      </c>
      <c r="CA133" s="305">
        <v>0</v>
      </c>
      <c r="CB133" s="305">
        <v>0</v>
      </c>
      <c r="CC133" s="305">
        <v>0</v>
      </c>
      <c r="CD133" s="305">
        <v>0</v>
      </c>
      <c r="CE133" s="305">
        <v>0</v>
      </c>
      <c r="CF133" s="305">
        <v>0</v>
      </c>
      <c r="CG133" s="305">
        <v>0</v>
      </c>
      <c r="CH133" s="305">
        <v>0</v>
      </c>
      <c r="CI133" s="305">
        <v>0</v>
      </c>
      <c r="CJ133" s="305">
        <v>0</v>
      </c>
      <c r="CK133" s="305">
        <v>0</v>
      </c>
      <c r="CL133" s="305">
        <v>0</v>
      </c>
      <c r="CO133" s="304" t="s">
        <v>650</v>
      </c>
      <c r="CP133" s="302">
        <v>0</v>
      </c>
      <c r="CQ133" s="302">
        <v>0</v>
      </c>
    </row>
    <row r="134" spans="61:95">
      <c r="BI134" s="304" t="s">
        <v>709</v>
      </c>
      <c r="BJ134" s="305">
        <v>0</v>
      </c>
      <c r="BK134" s="305">
        <v>0</v>
      </c>
      <c r="BL134" s="305">
        <v>0</v>
      </c>
      <c r="BM134" s="305">
        <v>0</v>
      </c>
      <c r="BN134" s="305">
        <v>0</v>
      </c>
      <c r="BO134" s="305">
        <v>66251.174567632304</v>
      </c>
      <c r="BP134" s="305">
        <v>0</v>
      </c>
      <c r="BQ134" s="305">
        <v>0</v>
      </c>
      <c r="BR134" s="305">
        <v>0</v>
      </c>
      <c r="BS134" s="305">
        <v>0</v>
      </c>
      <c r="BT134" s="305">
        <v>0</v>
      </c>
      <c r="BU134" s="305">
        <v>0</v>
      </c>
      <c r="BV134" s="305">
        <v>0</v>
      </c>
      <c r="BW134" s="305">
        <v>0</v>
      </c>
      <c r="BX134" s="305">
        <v>0</v>
      </c>
      <c r="BY134" s="305">
        <v>0</v>
      </c>
      <c r="BZ134" s="305">
        <v>0</v>
      </c>
      <c r="CA134" s="305">
        <v>0</v>
      </c>
      <c r="CB134" s="305">
        <v>0</v>
      </c>
      <c r="CC134" s="305">
        <v>0</v>
      </c>
      <c r="CD134" s="305">
        <v>0</v>
      </c>
      <c r="CE134" s="305">
        <v>0</v>
      </c>
      <c r="CF134" s="305">
        <v>0</v>
      </c>
      <c r="CG134" s="305">
        <v>0</v>
      </c>
      <c r="CH134" s="305">
        <v>0</v>
      </c>
      <c r="CI134" s="305">
        <v>0</v>
      </c>
      <c r="CJ134" s="305">
        <v>0</v>
      </c>
      <c r="CK134" s="305">
        <v>0</v>
      </c>
      <c r="CL134" s="305">
        <v>0</v>
      </c>
      <c r="CO134" s="304" t="s">
        <v>709</v>
      </c>
      <c r="CP134" s="302">
        <v>0</v>
      </c>
      <c r="CQ134" s="302">
        <v>0</v>
      </c>
    </row>
    <row r="135" spans="61:95">
      <c r="BI135" s="304" t="s">
        <v>651</v>
      </c>
      <c r="BJ135" s="305">
        <v>11826.742854693801</v>
      </c>
      <c r="BK135" s="305">
        <v>0</v>
      </c>
      <c r="BL135" s="305">
        <v>30.954464502133501</v>
      </c>
      <c r="BM135" s="305">
        <v>0</v>
      </c>
      <c r="BN135" s="305">
        <v>0</v>
      </c>
      <c r="BO135" s="305">
        <v>0</v>
      </c>
      <c r="BP135" s="305">
        <v>0</v>
      </c>
      <c r="BQ135" s="305">
        <v>0</v>
      </c>
      <c r="BR135" s="305">
        <v>14491.848717543</v>
      </c>
      <c r="BS135" s="305">
        <v>0</v>
      </c>
      <c r="BT135" s="305">
        <v>0</v>
      </c>
      <c r="BU135" s="305">
        <v>125.026374728874</v>
      </c>
      <c r="BV135" s="305">
        <v>0</v>
      </c>
      <c r="BW135" s="305">
        <v>0</v>
      </c>
      <c r="BX135" s="305">
        <v>0.374842703513311</v>
      </c>
      <c r="BY135" s="305">
        <v>0</v>
      </c>
      <c r="BZ135" s="305">
        <v>0</v>
      </c>
      <c r="CA135" s="305">
        <v>0</v>
      </c>
      <c r="CB135" s="305">
        <v>0</v>
      </c>
      <c r="CC135" s="305">
        <v>0</v>
      </c>
      <c r="CD135" s="305">
        <v>0</v>
      </c>
      <c r="CE135" s="305">
        <v>0</v>
      </c>
      <c r="CF135" s="305">
        <v>0</v>
      </c>
      <c r="CG135" s="305">
        <v>0</v>
      </c>
      <c r="CH135" s="305">
        <v>0</v>
      </c>
      <c r="CI135" s="305">
        <v>0</v>
      </c>
      <c r="CJ135" s="305">
        <v>0</v>
      </c>
      <c r="CK135" s="305">
        <v>2671.5132120132398</v>
      </c>
      <c r="CL135" s="305">
        <v>0</v>
      </c>
      <c r="CO135" s="304" t="s">
        <v>651</v>
      </c>
      <c r="CP135" s="302">
        <v>0</v>
      </c>
      <c r="CQ135" s="302">
        <v>0</v>
      </c>
    </row>
    <row r="136" spans="61:95">
      <c r="BI136" s="304" t="s">
        <v>652</v>
      </c>
      <c r="BJ136" s="305">
        <v>0</v>
      </c>
      <c r="BK136" s="305">
        <v>0</v>
      </c>
      <c r="BL136" s="305">
        <v>0</v>
      </c>
      <c r="BM136" s="305">
        <v>0</v>
      </c>
      <c r="BN136" s="305">
        <v>0</v>
      </c>
      <c r="BO136" s="305">
        <v>0</v>
      </c>
      <c r="BP136" s="305">
        <v>0</v>
      </c>
      <c r="BQ136" s="305">
        <v>0</v>
      </c>
      <c r="BR136" s="305">
        <v>0</v>
      </c>
      <c r="BS136" s="305">
        <v>0</v>
      </c>
      <c r="BT136" s="305">
        <v>0</v>
      </c>
      <c r="BU136" s="305">
        <v>0</v>
      </c>
      <c r="BV136" s="305">
        <v>0</v>
      </c>
      <c r="BW136" s="305">
        <v>0</v>
      </c>
      <c r="BX136" s="305">
        <v>0</v>
      </c>
      <c r="BY136" s="305">
        <v>0</v>
      </c>
      <c r="BZ136" s="305">
        <v>0</v>
      </c>
      <c r="CA136" s="305">
        <v>0</v>
      </c>
      <c r="CB136" s="305">
        <v>0</v>
      </c>
      <c r="CC136" s="305">
        <v>0</v>
      </c>
      <c r="CD136" s="305">
        <v>0</v>
      </c>
      <c r="CE136" s="305">
        <v>0</v>
      </c>
      <c r="CF136" s="305">
        <v>0</v>
      </c>
      <c r="CG136" s="305">
        <v>0</v>
      </c>
      <c r="CH136" s="305">
        <v>0</v>
      </c>
      <c r="CI136" s="305">
        <v>0</v>
      </c>
      <c r="CJ136" s="305">
        <v>0</v>
      </c>
      <c r="CK136" s="305">
        <v>0</v>
      </c>
      <c r="CL136" s="305">
        <v>0</v>
      </c>
      <c r="CO136" s="304" t="s">
        <v>652</v>
      </c>
      <c r="CP136" s="302">
        <v>0</v>
      </c>
      <c r="CQ136" s="302">
        <v>555.77441893806395</v>
      </c>
    </row>
    <row r="137" spans="61:95">
      <c r="BI137" s="304" t="s">
        <v>653</v>
      </c>
      <c r="BJ137" s="305">
        <v>0</v>
      </c>
      <c r="BK137" s="305">
        <v>0</v>
      </c>
      <c r="BL137" s="305">
        <v>0</v>
      </c>
      <c r="BM137" s="305">
        <v>0</v>
      </c>
      <c r="BN137" s="305">
        <v>0</v>
      </c>
      <c r="BO137" s="305">
        <v>0</v>
      </c>
      <c r="BP137" s="305">
        <v>0</v>
      </c>
      <c r="BQ137" s="305">
        <v>0</v>
      </c>
      <c r="BR137" s="305">
        <v>0</v>
      </c>
      <c r="BS137" s="305">
        <v>0</v>
      </c>
      <c r="BT137" s="305">
        <v>0</v>
      </c>
      <c r="BU137" s="305">
        <v>0</v>
      </c>
      <c r="BV137" s="305">
        <v>0</v>
      </c>
      <c r="BW137" s="305">
        <v>0</v>
      </c>
      <c r="BX137" s="305">
        <v>0</v>
      </c>
      <c r="BY137" s="305">
        <v>0</v>
      </c>
      <c r="BZ137" s="305">
        <v>0</v>
      </c>
      <c r="CA137" s="305">
        <v>0</v>
      </c>
      <c r="CB137" s="305">
        <v>0</v>
      </c>
      <c r="CC137" s="305">
        <v>0</v>
      </c>
      <c r="CD137" s="305">
        <v>0</v>
      </c>
      <c r="CE137" s="305">
        <v>0</v>
      </c>
      <c r="CF137" s="305">
        <v>0</v>
      </c>
      <c r="CG137" s="305">
        <v>0</v>
      </c>
      <c r="CH137" s="305">
        <v>0</v>
      </c>
      <c r="CI137" s="305">
        <v>0</v>
      </c>
      <c r="CJ137" s="305">
        <v>0</v>
      </c>
      <c r="CK137" s="305">
        <v>0</v>
      </c>
      <c r="CL137" s="305">
        <v>0</v>
      </c>
      <c r="CO137" s="304" t="s">
        <v>653</v>
      </c>
      <c r="CP137" s="302">
        <v>0</v>
      </c>
      <c r="CQ137" s="302">
        <v>303788.26554911397</v>
      </c>
    </row>
    <row r="138" spans="61:95">
      <c r="BI138" s="304" t="s">
        <v>654</v>
      </c>
      <c r="BJ138" s="305">
        <v>0</v>
      </c>
      <c r="BK138" s="305">
        <v>0</v>
      </c>
      <c r="BL138" s="305">
        <v>0</v>
      </c>
      <c r="BM138" s="305">
        <v>0</v>
      </c>
      <c r="BN138" s="305">
        <v>0</v>
      </c>
      <c r="BO138" s="305">
        <v>0</v>
      </c>
      <c r="BP138" s="305">
        <v>0</v>
      </c>
      <c r="BQ138" s="305">
        <v>0</v>
      </c>
      <c r="BR138" s="305">
        <v>0</v>
      </c>
      <c r="BS138" s="305">
        <v>0</v>
      </c>
      <c r="BT138" s="305">
        <v>0</v>
      </c>
      <c r="BU138" s="305">
        <v>0</v>
      </c>
      <c r="BV138" s="305">
        <v>0</v>
      </c>
      <c r="BW138" s="305">
        <v>0</v>
      </c>
      <c r="BX138" s="305">
        <v>0</v>
      </c>
      <c r="BY138" s="305">
        <v>0</v>
      </c>
      <c r="BZ138" s="305">
        <v>0</v>
      </c>
      <c r="CA138" s="305">
        <v>0</v>
      </c>
      <c r="CB138" s="305">
        <v>0</v>
      </c>
      <c r="CC138" s="305">
        <v>0</v>
      </c>
      <c r="CD138" s="305">
        <v>0</v>
      </c>
      <c r="CE138" s="305">
        <v>0</v>
      </c>
      <c r="CF138" s="305">
        <v>0</v>
      </c>
      <c r="CG138" s="305">
        <v>0</v>
      </c>
      <c r="CH138" s="305">
        <v>0</v>
      </c>
      <c r="CI138" s="305">
        <v>0</v>
      </c>
      <c r="CJ138" s="305">
        <v>0</v>
      </c>
      <c r="CK138" s="305">
        <v>0</v>
      </c>
      <c r="CL138" s="305">
        <v>0</v>
      </c>
      <c r="CO138" s="304" t="s">
        <v>654</v>
      </c>
      <c r="CP138" s="302">
        <v>0</v>
      </c>
      <c r="CQ138" s="302">
        <v>2244.7960862667501</v>
      </c>
    </row>
    <row r="139" spans="61:95">
      <c r="BI139" s="304" t="s">
        <v>655</v>
      </c>
      <c r="BJ139" s="305">
        <v>0</v>
      </c>
      <c r="BK139" s="305">
        <v>0</v>
      </c>
      <c r="BL139" s="305">
        <v>0</v>
      </c>
      <c r="BM139" s="305">
        <v>0</v>
      </c>
      <c r="BN139" s="305">
        <v>0</v>
      </c>
      <c r="BO139" s="305">
        <v>0</v>
      </c>
      <c r="BP139" s="305">
        <v>0</v>
      </c>
      <c r="BQ139" s="305">
        <v>0</v>
      </c>
      <c r="BR139" s="305">
        <v>0</v>
      </c>
      <c r="BS139" s="305">
        <v>0</v>
      </c>
      <c r="BT139" s="305">
        <v>0</v>
      </c>
      <c r="BU139" s="305">
        <v>0</v>
      </c>
      <c r="BV139" s="305">
        <v>0</v>
      </c>
      <c r="BW139" s="305">
        <v>0</v>
      </c>
      <c r="BX139" s="305">
        <v>0</v>
      </c>
      <c r="BY139" s="305">
        <v>0</v>
      </c>
      <c r="BZ139" s="305">
        <v>0</v>
      </c>
      <c r="CA139" s="305">
        <v>0</v>
      </c>
      <c r="CB139" s="305">
        <v>0</v>
      </c>
      <c r="CC139" s="305">
        <v>0</v>
      </c>
      <c r="CD139" s="305">
        <v>0</v>
      </c>
      <c r="CE139" s="305">
        <v>0</v>
      </c>
      <c r="CF139" s="305">
        <v>0</v>
      </c>
      <c r="CG139" s="305">
        <v>0</v>
      </c>
      <c r="CH139" s="305">
        <v>0</v>
      </c>
      <c r="CI139" s="305">
        <v>0</v>
      </c>
      <c r="CJ139" s="305">
        <v>0</v>
      </c>
      <c r="CK139" s="305">
        <v>0</v>
      </c>
      <c r="CL139" s="305">
        <v>0</v>
      </c>
      <c r="CO139" s="304" t="s">
        <v>655</v>
      </c>
      <c r="CP139" s="302">
        <v>0</v>
      </c>
      <c r="CQ139" s="302">
        <v>6.7177820097776797</v>
      </c>
    </row>
    <row r="140" spans="61:95">
      <c r="BI140" s="304" t="s">
        <v>710</v>
      </c>
      <c r="BJ140" s="305">
        <v>0</v>
      </c>
      <c r="BK140" s="305">
        <v>0</v>
      </c>
      <c r="BL140" s="305">
        <v>0</v>
      </c>
      <c r="BM140" s="305">
        <v>0</v>
      </c>
      <c r="BN140" s="305">
        <v>0</v>
      </c>
      <c r="BO140" s="305">
        <v>0</v>
      </c>
      <c r="BP140" s="305">
        <v>0</v>
      </c>
      <c r="BQ140" s="305">
        <v>0</v>
      </c>
      <c r="BR140" s="305">
        <v>0</v>
      </c>
      <c r="BS140" s="305">
        <v>0</v>
      </c>
      <c r="BT140" s="305">
        <v>0</v>
      </c>
      <c r="BU140" s="305">
        <v>0</v>
      </c>
      <c r="BV140" s="305">
        <v>0</v>
      </c>
      <c r="BW140" s="305">
        <v>0</v>
      </c>
      <c r="BX140" s="305">
        <v>0</v>
      </c>
      <c r="BY140" s="305">
        <v>0</v>
      </c>
      <c r="BZ140" s="305">
        <v>0</v>
      </c>
      <c r="CA140" s="305">
        <v>0</v>
      </c>
      <c r="CB140" s="305">
        <v>0</v>
      </c>
      <c r="CC140" s="305">
        <v>0</v>
      </c>
      <c r="CD140" s="305">
        <v>0</v>
      </c>
      <c r="CE140" s="305">
        <v>0</v>
      </c>
      <c r="CF140" s="305">
        <v>0</v>
      </c>
      <c r="CG140" s="305">
        <v>0</v>
      </c>
      <c r="CH140" s="305">
        <v>0</v>
      </c>
      <c r="CI140" s="305">
        <v>0</v>
      </c>
      <c r="CJ140" s="305">
        <v>91837.795018258301</v>
      </c>
      <c r="CK140" s="305">
        <v>0</v>
      </c>
      <c r="CL140" s="305">
        <v>0</v>
      </c>
      <c r="CO140" s="304" t="s">
        <v>710</v>
      </c>
      <c r="CP140" s="302">
        <v>0</v>
      </c>
      <c r="CQ140" s="302">
        <v>0</v>
      </c>
    </row>
    <row r="141" spans="61:95">
      <c r="BI141" s="304" t="s">
        <v>711</v>
      </c>
      <c r="BJ141" s="305">
        <v>0</v>
      </c>
      <c r="BK141" s="305">
        <v>0</v>
      </c>
      <c r="BL141" s="305">
        <v>0</v>
      </c>
      <c r="BM141" s="305">
        <v>0</v>
      </c>
      <c r="BN141" s="305">
        <v>0</v>
      </c>
      <c r="BO141" s="305">
        <v>0</v>
      </c>
      <c r="BP141" s="305">
        <v>0</v>
      </c>
      <c r="BQ141" s="305">
        <v>0</v>
      </c>
      <c r="BR141" s="305">
        <v>0</v>
      </c>
      <c r="BS141" s="305">
        <v>0</v>
      </c>
      <c r="BT141" s="305">
        <v>0</v>
      </c>
      <c r="BU141" s="305">
        <v>0</v>
      </c>
      <c r="BV141" s="305">
        <v>0</v>
      </c>
      <c r="BW141" s="305">
        <v>0</v>
      </c>
      <c r="BX141" s="305">
        <v>0</v>
      </c>
      <c r="BY141" s="305">
        <v>0</v>
      </c>
      <c r="BZ141" s="305">
        <v>0</v>
      </c>
      <c r="CA141" s="305">
        <v>0</v>
      </c>
      <c r="CB141" s="305">
        <v>0</v>
      </c>
      <c r="CC141" s="305">
        <v>0</v>
      </c>
      <c r="CD141" s="305">
        <v>0</v>
      </c>
      <c r="CE141" s="305">
        <v>0</v>
      </c>
      <c r="CF141" s="305">
        <v>0</v>
      </c>
      <c r="CG141" s="305">
        <v>0</v>
      </c>
      <c r="CH141" s="305">
        <v>0</v>
      </c>
      <c r="CI141" s="305">
        <v>290.15291867903898</v>
      </c>
      <c r="CJ141" s="305">
        <v>0</v>
      </c>
      <c r="CK141" s="305">
        <v>0</v>
      </c>
      <c r="CL141" s="305">
        <v>0</v>
      </c>
      <c r="CO141" s="304" t="s">
        <v>711</v>
      </c>
      <c r="CP141" s="302">
        <v>0</v>
      </c>
      <c r="CQ141" s="302">
        <v>0</v>
      </c>
    </row>
    <row r="142" spans="61:95">
      <c r="BI142" s="304" t="s">
        <v>656</v>
      </c>
      <c r="BJ142" s="305">
        <v>318930.104231745</v>
      </c>
      <c r="BK142" s="305">
        <v>50.358084153937803</v>
      </c>
      <c r="BL142" s="305">
        <v>80616.370239891301</v>
      </c>
      <c r="BM142" s="305">
        <v>282.12877103151499</v>
      </c>
      <c r="BN142" s="305">
        <v>0</v>
      </c>
      <c r="BO142" s="305">
        <v>5820.7321553561396</v>
      </c>
      <c r="BP142" s="305">
        <v>0</v>
      </c>
      <c r="BQ142" s="305">
        <v>33191.859393697501</v>
      </c>
      <c r="BR142" s="305">
        <v>0</v>
      </c>
      <c r="BS142" s="305">
        <v>0</v>
      </c>
      <c r="BT142" s="305">
        <v>12626.098826338701</v>
      </c>
      <c r="BU142" s="305">
        <v>0</v>
      </c>
      <c r="BV142" s="305">
        <v>609792.25175934797</v>
      </c>
      <c r="BW142" s="305">
        <v>34.678095164115</v>
      </c>
      <c r="BX142" s="305">
        <v>0</v>
      </c>
      <c r="BY142" s="305">
        <v>2824.8856477449199</v>
      </c>
      <c r="BZ142" s="305">
        <v>67354.020465940004</v>
      </c>
      <c r="CA142" s="305">
        <v>0</v>
      </c>
      <c r="CB142" s="305">
        <v>0</v>
      </c>
      <c r="CC142" s="305">
        <v>0</v>
      </c>
      <c r="CD142" s="305">
        <v>0</v>
      </c>
      <c r="CE142" s="305">
        <v>0</v>
      </c>
      <c r="CF142" s="305">
        <v>0</v>
      </c>
      <c r="CG142" s="305">
        <v>0</v>
      </c>
      <c r="CH142" s="305">
        <v>0</v>
      </c>
      <c r="CI142" s="305">
        <v>0</v>
      </c>
      <c r="CJ142" s="305">
        <v>3155.63573488975</v>
      </c>
      <c r="CK142" s="305">
        <v>0</v>
      </c>
      <c r="CL142" s="305">
        <v>0</v>
      </c>
      <c r="CO142" s="304" t="s">
        <v>656</v>
      </c>
      <c r="CP142" s="302">
        <v>0</v>
      </c>
      <c r="CQ142" s="302">
        <v>0</v>
      </c>
    </row>
    <row r="143" spans="61:95">
      <c r="BI143" s="304" t="s">
        <v>657</v>
      </c>
      <c r="BJ143" s="305">
        <v>29112.263489807599</v>
      </c>
      <c r="BK143" s="305">
        <v>0</v>
      </c>
      <c r="BL143" s="305">
        <v>0</v>
      </c>
      <c r="BM143" s="305">
        <v>0</v>
      </c>
      <c r="BN143" s="305">
        <v>0</v>
      </c>
      <c r="BO143" s="305">
        <v>0</v>
      </c>
      <c r="BP143" s="305">
        <v>0</v>
      </c>
      <c r="BQ143" s="305">
        <v>0</v>
      </c>
      <c r="BR143" s="305">
        <v>0</v>
      </c>
      <c r="BS143" s="305">
        <v>0</v>
      </c>
      <c r="BT143" s="305">
        <v>0</v>
      </c>
      <c r="BU143" s="305">
        <v>0</v>
      </c>
      <c r="BV143" s="305">
        <v>0</v>
      </c>
      <c r="BW143" s="305">
        <v>0</v>
      </c>
      <c r="BX143" s="305">
        <v>0</v>
      </c>
      <c r="BY143" s="305">
        <v>0</v>
      </c>
      <c r="BZ143" s="305">
        <v>0</v>
      </c>
      <c r="CA143" s="305">
        <v>0</v>
      </c>
      <c r="CB143" s="305">
        <v>0</v>
      </c>
      <c r="CC143" s="305">
        <v>0</v>
      </c>
      <c r="CD143" s="305">
        <v>0</v>
      </c>
      <c r="CE143" s="305">
        <v>0</v>
      </c>
      <c r="CF143" s="305">
        <v>0</v>
      </c>
      <c r="CG143" s="305">
        <v>0</v>
      </c>
      <c r="CH143" s="305">
        <v>0</v>
      </c>
      <c r="CI143" s="305">
        <v>0</v>
      </c>
      <c r="CJ143" s="305">
        <v>0</v>
      </c>
      <c r="CK143" s="305">
        <v>0</v>
      </c>
      <c r="CL143" s="305">
        <v>0</v>
      </c>
      <c r="CO143" s="304" t="s">
        <v>657</v>
      </c>
      <c r="CP143" s="302">
        <v>0</v>
      </c>
      <c r="CQ143" s="302">
        <v>0</v>
      </c>
    </row>
    <row r="144" spans="61:95">
      <c r="BI144" s="304" t="s">
        <v>658</v>
      </c>
      <c r="BJ144" s="305">
        <v>0</v>
      </c>
      <c r="BK144" s="305">
        <v>0</v>
      </c>
      <c r="BL144" s="305">
        <v>23309.045257575199</v>
      </c>
      <c r="BM144" s="305">
        <v>0</v>
      </c>
      <c r="BN144" s="305">
        <v>0</v>
      </c>
      <c r="BO144" s="305">
        <v>0</v>
      </c>
      <c r="BP144" s="305">
        <v>0</v>
      </c>
      <c r="BQ144" s="305">
        <v>0</v>
      </c>
      <c r="BR144" s="305">
        <v>0</v>
      </c>
      <c r="BS144" s="305">
        <v>0</v>
      </c>
      <c r="BT144" s="305">
        <v>0</v>
      </c>
      <c r="BU144" s="305">
        <v>94146.207140653802</v>
      </c>
      <c r="BV144" s="305">
        <v>0</v>
      </c>
      <c r="BW144" s="305">
        <v>0</v>
      </c>
      <c r="BX144" s="305">
        <v>257.99399332425401</v>
      </c>
      <c r="BY144" s="305">
        <v>0</v>
      </c>
      <c r="BZ144" s="305">
        <v>2511.39821094118</v>
      </c>
      <c r="CA144" s="305">
        <v>0</v>
      </c>
      <c r="CB144" s="305">
        <v>0</v>
      </c>
      <c r="CC144" s="305">
        <v>0</v>
      </c>
      <c r="CD144" s="305">
        <v>0</v>
      </c>
      <c r="CE144" s="305">
        <v>0</v>
      </c>
      <c r="CF144" s="305">
        <v>0</v>
      </c>
      <c r="CG144" s="305">
        <v>0</v>
      </c>
      <c r="CH144" s="305">
        <v>0</v>
      </c>
      <c r="CI144" s="305">
        <v>0</v>
      </c>
      <c r="CJ144" s="305">
        <v>0</v>
      </c>
      <c r="CK144" s="305">
        <v>0</v>
      </c>
      <c r="CL144" s="305">
        <v>0</v>
      </c>
      <c r="CO144" s="304" t="s">
        <v>658</v>
      </c>
      <c r="CP144" s="302">
        <v>0</v>
      </c>
      <c r="CQ144" s="302">
        <v>0</v>
      </c>
    </row>
    <row r="145" spans="61:95">
      <c r="BI145" s="304" t="s">
        <v>712</v>
      </c>
      <c r="BJ145" s="305">
        <v>0</v>
      </c>
      <c r="BK145" s="305">
        <v>0</v>
      </c>
      <c r="BL145" s="305">
        <v>0</v>
      </c>
      <c r="BM145" s="305">
        <v>0</v>
      </c>
      <c r="BN145" s="305">
        <v>0</v>
      </c>
      <c r="BO145" s="305">
        <v>0</v>
      </c>
      <c r="BP145" s="305">
        <v>0</v>
      </c>
      <c r="BQ145" s="305">
        <v>0</v>
      </c>
      <c r="BR145" s="305">
        <v>0</v>
      </c>
      <c r="BS145" s="305">
        <v>0</v>
      </c>
      <c r="BT145" s="305">
        <v>0</v>
      </c>
      <c r="BU145" s="305">
        <v>0</v>
      </c>
      <c r="BV145" s="305">
        <v>0</v>
      </c>
      <c r="BW145" s="305">
        <v>0</v>
      </c>
      <c r="BX145" s="305">
        <v>0</v>
      </c>
      <c r="BY145" s="305">
        <v>0</v>
      </c>
      <c r="BZ145" s="305">
        <v>4830.4442158522497</v>
      </c>
      <c r="CA145" s="305">
        <v>0</v>
      </c>
      <c r="CB145" s="305">
        <v>0</v>
      </c>
      <c r="CC145" s="305">
        <v>0</v>
      </c>
      <c r="CD145" s="305">
        <v>0</v>
      </c>
      <c r="CE145" s="305">
        <v>0</v>
      </c>
      <c r="CF145" s="305">
        <v>0</v>
      </c>
      <c r="CG145" s="305">
        <v>0</v>
      </c>
      <c r="CH145" s="305">
        <v>0</v>
      </c>
      <c r="CI145" s="305">
        <v>0</v>
      </c>
      <c r="CJ145" s="305">
        <v>0</v>
      </c>
      <c r="CK145" s="305">
        <v>0</v>
      </c>
      <c r="CL145" s="305">
        <v>0</v>
      </c>
      <c r="CO145" s="304" t="s">
        <v>712</v>
      </c>
      <c r="CP145" s="302">
        <v>0</v>
      </c>
      <c r="CQ145" s="302">
        <v>0</v>
      </c>
    </row>
    <row r="146" spans="61:95">
      <c r="BI146" s="304" t="s">
        <v>713</v>
      </c>
      <c r="BJ146" s="305">
        <v>0</v>
      </c>
      <c r="BK146" s="305">
        <v>0</v>
      </c>
      <c r="BL146" s="305">
        <v>0</v>
      </c>
      <c r="BM146" s="305">
        <v>0</v>
      </c>
      <c r="BN146" s="305">
        <v>0</v>
      </c>
      <c r="BO146" s="305">
        <v>0</v>
      </c>
      <c r="BP146" s="305">
        <v>0</v>
      </c>
      <c r="BQ146" s="305">
        <v>0</v>
      </c>
      <c r="BR146" s="305">
        <v>0</v>
      </c>
      <c r="BS146" s="305">
        <v>0</v>
      </c>
      <c r="BT146" s="305">
        <v>0</v>
      </c>
      <c r="BU146" s="305">
        <v>0</v>
      </c>
      <c r="BV146" s="305">
        <v>0</v>
      </c>
      <c r="BW146" s="305">
        <v>0</v>
      </c>
      <c r="BX146" s="305">
        <v>0</v>
      </c>
      <c r="BY146" s="305">
        <v>0</v>
      </c>
      <c r="BZ146" s="305">
        <v>0</v>
      </c>
      <c r="CA146" s="305">
        <v>4830.4442158522497</v>
      </c>
      <c r="CB146" s="305">
        <v>0</v>
      </c>
      <c r="CC146" s="305">
        <v>0</v>
      </c>
      <c r="CD146" s="305">
        <v>0</v>
      </c>
      <c r="CE146" s="305">
        <v>0</v>
      </c>
      <c r="CF146" s="305">
        <v>0</v>
      </c>
      <c r="CG146" s="305">
        <v>0</v>
      </c>
      <c r="CH146" s="305">
        <v>0</v>
      </c>
      <c r="CI146" s="305">
        <v>0</v>
      </c>
      <c r="CJ146" s="305">
        <v>0</v>
      </c>
      <c r="CK146" s="305">
        <v>0</v>
      </c>
      <c r="CL146" s="305">
        <v>0</v>
      </c>
      <c r="CO146" s="304" t="s">
        <v>713</v>
      </c>
      <c r="CP146" s="302">
        <v>0</v>
      </c>
      <c r="CQ146" s="302">
        <v>0</v>
      </c>
    </row>
    <row r="147" spans="61:95">
      <c r="BI147" s="304" t="s">
        <v>659</v>
      </c>
      <c r="BJ147" s="305">
        <v>0</v>
      </c>
      <c r="BK147" s="305">
        <v>0</v>
      </c>
      <c r="BL147" s="305">
        <v>0</v>
      </c>
      <c r="BM147" s="305">
        <v>0</v>
      </c>
      <c r="BN147" s="305">
        <v>0</v>
      </c>
      <c r="BO147" s="305">
        <v>0</v>
      </c>
      <c r="BP147" s="305">
        <v>0</v>
      </c>
      <c r="BQ147" s="305">
        <v>0</v>
      </c>
      <c r="BR147" s="305">
        <v>0</v>
      </c>
      <c r="BS147" s="305">
        <v>0</v>
      </c>
      <c r="BT147" s="305">
        <v>0</v>
      </c>
      <c r="BU147" s="305">
        <v>0</v>
      </c>
      <c r="BV147" s="305">
        <v>0</v>
      </c>
      <c r="BW147" s="305">
        <v>0</v>
      </c>
      <c r="BX147" s="305">
        <v>0</v>
      </c>
      <c r="BY147" s="305">
        <v>0</v>
      </c>
      <c r="BZ147" s="305">
        <v>0</v>
      </c>
      <c r="CA147" s="305">
        <v>0</v>
      </c>
      <c r="CB147" s="305">
        <v>0</v>
      </c>
      <c r="CC147" s="305">
        <v>0</v>
      </c>
      <c r="CD147" s="305">
        <v>0</v>
      </c>
      <c r="CE147" s="305">
        <v>0</v>
      </c>
      <c r="CF147" s="305">
        <v>88071.706245154506</v>
      </c>
      <c r="CG147" s="305">
        <v>0</v>
      </c>
      <c r="CH147" s="305">
        <v>0</v>
      </c>
      <c r="CI147" s="305">
        <v>0</v>
      </c>
      <c r="CJ147" s="305">
        <v>0</v>
      </c>
      <c r="CK147" s="305">
        <v>0</v>
      </c>
      <c r="CL147" s="305">
        <v>0</v>
      </c>
      <c r="CO147" s="304" t="s">
        <v>659</v>
      </c>
      <c r="CP147" s="302">
        <v>0</v>
      </c>
      <c r="CQ147" s="302">
        <v>0</v>
      </c>
    </row>
    <row r="148" spans="61:95">
      <c r="BI148" s="304" t="s">
        <v>660</v>
      </c>
      <c r="BJ148" s="305">
        <v>0</v>
      </c>
      <c r="BK148" s="305">
        <v>0</v>
      </c>
      <c r="BL148" s="305">
        <v>0</v>
      </c>
      <c r="BM148" s="305">
        <v>0</v>
      </c>
      <c r="BN148" s="305">
        <v>0</v>
      </c>
      <c r="BO148" s="305">
        <v>0</v>
      </c>
      <c r="BP148" s="305">
        <v>0</v>
      </c>
      <c r="BQ148" s="305">
        <v>0</v>
      </c>
      <c r="BR148" s="305">
        <v>0</v>
      </c>
      <c r="BS148" s="305">
        <v>0</v>
      </c>
      <c r="BT148" s="305">
        <v>0</v>
      </c>
      <c r="BU148" s="305">
        <v>0</v>
      </c>
      <c r="BV148" s="305">
        <v>108184.85967288</v>
      </c>
      <c r="BW148" s="305">
        <v>0</v>
      </c>
      <c r="BX148" s="305">
        <v>0</v>
      </c>
      <c r="BY148" s="305">
        <v>0</v>
      </c>
      <c r="BZ148" s="305">
        <v>0</v>
      </c>
      <c r="CA148" s="305">
        <v>0</v>
      </c>
      <c r="CB148" s="305">
        <v>0</v>
      </c>
      <c r="CC148" s="305">
        <v>0</v>
      </c>
      <c r="CD148" s="305">
        <v>0</v>
      </c>
      <c r="CE148" s="305">
        <v>0</v>
      </c>
      <c r="CF148" s="305">
        <v>0</v>
      </c>
      <c r="CG148" s="305">
        <v>0</v>
      </c>
      <c r="CH148" s="305">
        <v>0</v>
      </c>
      <c r="CI148" s="305">
        <v>0</v>
      </c>
      <c r="CJ148" s="305">
        <v>0</v>
      </c>
      <c r="CK148" s="305">
        <v>0</v>
      </c>
      <c r="CL148" s="305">
        <v>0</v>
      </c>
      <c r="CO148" s="304" t="s">
        <v>660</v>
      </c>
      <c r="CP148" s="302">
        <v>0</v>
      </c>
      <c r="CQ148" s="302">
        <v>0</v>
      </c>
    </row>
    <row r="149" spans="61:95">
      <c r="BI149" s="304" t="s">
        <v>661</v>
      </c>
      <c r="BJ149" s="305">
        <v>0</v>
      </c>
      <c r="BK149" s="305">
        <v>0</v>
      </c>
      <c r="BL149" s="305">
        <v>0</v>
      </c>
      <c r="BM149" s="305">
        <v>0</v>
      </c>
      <c r="BN149" s="305">
        <v>0</v>
      </c>
      <c r="BO149" s="305">
        <v>0</v>
      </c>
      <c r="BP149" s="305">
        <v>0</v>
      </c>
      <c r="BQ149" s="305">
        <v>0</v>
      </c>
      <c r="BR149" s="305">
        <v>0</v>
      </c>
      <c r="BS149" s="305">
        <v>0</v>
      </c>
      <c r="BT149" s="305">
        <v>108184.85967288</v>
      </c>
      <c r="BU149" s="305">
        <v>0</v>
      </c>
      <c r="BV149" s="305">
        <v>0</v>
      </c>
      <c r="BW149" s="305">
        <v>0</v>
      </c>
      <c r="BX149" s="305">
        <v>0</v>
      </c>
      <c r="BY149" s="305">
        <v>0</v>
      </c>
      <c r="BZ149" s="305">
        <v>0</v>
      </c>
      <c r="CA149" s="305">
        <v>0</v>
      </c>
      <c r="CB149" s="305">
        <v>0</v>
      </c>
      <c r="CC149" s="305">
        <v>0</v>
      </c>
      <c r="CD149" s="305">
        <v>0</v>
      </c>
      <c r="CE149" s="305">
        <v>0</v>
      </c>
      <c r="CF149" s="305">
        <v>0</v>
      </c>
      <c r="CG149" s="305">
        <v>0</v>
      </c>
      <c r="CH149" s="305">
        <v>0</v>
      </c>
      <c r="CI149" s="305">
        <v>0</v>
      </c>
      <c r="CJ149" s="305">
        <v>0</v>
      </c>
      <c r="CK149" s="305">
        <v>0</v>
      </c>
      <c r="CL149" s="305">
        <v>0</v>
      </c>
      <c r="CO149" s="304" t="s">
        <v>661</v>
      </c>
      <c r="CP149" s="302">
        <v>0</v>
      </c>
      <c r="CQ149" s="302">
        <v>0</v>
      </c>
    </row>
    <row r="150" spans="61:95">
      <c r="BI150" s="304" t="s">
        <v>662</v>
      </c>
      <c r="BJ150" s="305">
        <v>0</v>
      </c>
      <c r="BK150" s="305">
        <v>0</v>
      </c>
      <c r="BL150" s="305">
        <v>0</v>
      </c>
      <c r="BM150" s="305">
        <v>0</v>
      </c>
      <c r="BN150" s="305">
        <v>0</v>
      </c>
      <c r="BO150" s="305">
        <v>0</v>
      </c>
      <c r="BP150" s="305">
        <v>0</v>
      </c>
      <c r="BQ150" s="305">
        <v>0</v>
      </c>
      <c r="BR150" s="305">
        <v>0</v>
      </c>
      <c r="BS150" s="305">
        <v>0</v>
      </c>
      <c r="BT150" s="305">
        <v>0</v>
      </c>
      <c r="BU150" s="305">
        <v>108184.85967288</v>
      </c>
      <c r="BV150" s="305">
        <v>0</v>
      </c>
      <c r="BW150" s="305">
        <v>0</v>
      </c>
      <c r="BX150" s="305">
        <v>0</v>
      </c>
      <c r="BY150" s="305">
        <v>0</v>
      </c>
      <c r="BZ150" s="305">
        <v>0</v>
      </c>
      <c r="CA150" s="305">
        <v>0</v>
      </c>
      <c r="CB150" s="305">
        <v>0</v>
      </c>
      <c r="CC150" s="305">
        <v>0</v>
      </c>
      <c r="CD150" s="305">
        <v>0</v>
      </c>
      <c r="CE150" s="305">
        <v>0</v>
      </c>
      <c r="CF150" s="305">
        <v>0</v>
      </c>
      <c r="CG150" s="305">
        <v>0</v>
      </c>
      <c r="CH150" s="305">
        <v>0</v>
      </c>
      <c r="CI150" s="305">
        <v>0</v>
      </c>
      <c r="CJ150" s="305">
        <v>0</v>
      </c>
      <c r="CK150" s="305">
        <v>0</v>
      </c>
      <c r="CL150" s="305">
        <v>0</v>
      </c>
      <c r="CO150" s="304" t="s">
        <v>662</v>
      </c>
      <c r="CP150" s="302">
        <v>0</v>
      </c>
      <c r="CQ150" s="302">
        <v>0</v>
      </c>
    </row>
    <row r="151" spans="61:95">
      <c r="BI151" s="304" t="s">
        <v>663</v>
      </c>
      <c r="BJ151" s="305">
        <v>0</v>
      </c>
      <c r="BK151" s="305">
        <v>0</v>
      </c>
      <c r="BL151" s="305">
        <v>0</v>
      </c>
      <c r="BM151" s="305">
        <v>0</v>
      </c>
      <c r="BN151" s="305">
        <v>0</v>
      </c>
      <c r="BO151" s="305">
        <v>0</v>
      </c>
      <c r="BP151" s="305">
        <v>0</v>
      </c>
      <c r="BQ151" s="305">
        <v>0</v>
      </c>
      <c r="BR151" s="305">
        <v>0</v>
      </c>
      <c r="BS151" s="305">
        <v>0</v>
      </c>
      <c r="BT151" s="305">
        <v>0</v>
      </c>
      <c r="BU151" s="305">
        <v>0</v>
      </c>
      <c r="BV151" s="305">
        <v>0</v>
      </c>
      <c r="BW151" s="305">
        <v>0</v>
      </c>
      <c r="BX151" s="305">
        <v>0</v>
      </c>
      <c r="BY151" s="305">
        <v>0</v>
      </c>
      <c r="BZ151" s="305">
        <v>0</v>
      </c>
      <c r="CA151" s="305">
        <v>0</v>
      </c>
      <c r="CB151" s="305">
        <v>0</v>
      </c>
      <c r="CC151" s="305">
        <v>0</v>
      </c>
      <c r="CD151" s="305">
        <v>0</v>
      </c>
      <c r="CE151" s="305">
        <v>0</v>
      </c>
      <c r="CF151" s="305">
        <v>0</v>
      </c>
      <c r="CG151" s="305">
        <v>0</v>
      </c>
      <c r="CH151" s="305">
        <v>0</v>
      </c>
      <c r="CI151" s="305">
        <v>0</v>
      </c>
      <c r="CJ151" s="305">
        <v>0</v>
      </c>
      <c r="CK151" s="305">
        <v>0</v>
      </c>
      <c r="CL151" s="305">
        <v>0</v>
      </c>
      <c r="CO151" s="304" t="s">
        <v>663</v>
      </c>
      <c r="CP151" s="302">
        <v>0</v>
      </c>
      <c r="CQ151" s="302">
        <v>21722.892325740399</v>
      </c>
    </row>
    <row r="152" spans="61:95">
      <c r="BI152" s="304" t="s">
        <v>664</v>
      </c>
      <c r="BJ152" s="305">
        <v>0</v>
      </c>
      <c r="BK152" s="305">
        <v>0</v>
      </c>
      <c r="BL152" s="305">
        <v>0</v>
      </c>
      <c r="BM152" s="305">
        <v>0</v>
      </c>
      <c r="BN152" s="305">
        <v>0</v>
      </c>
      <c r="BO152" s="305">
        <v>0</v>
      </c>
      <c r="BP152" s="305">
        <v>0</v>
      </c>
      <c r="BQ152" s="305">
        <v>0</v>
      </c>
      <c r="BR152" s="305">
        <v>0</v>
      </c>
      <c r="BS152" s="305">
        <v>0</v>
      </c>
      <c r="BT152" s="305">
        <v>0</v>
      </c>
      <c r="BU152" s="305">
        <v>0</v>
      </c>
      <c r="BV152" s="305">
        <v>0</v>
      </c>
      <c r="BW152" s="305">
        <v>0</v>
      </c>
      <c r="BX152" s="305">
        <v>0</v>
      </c>
      <c r="BY152" s="305">
        <v>0</v>
      </c>
      <c r="BZ152" s="305">
        <v>0</v>
      </c>
      <c r="CA152" s="305">
        <v>0</v>
      </c>
      <c r="CB152" s="305">
        <v>0</v>
      </c>
      <c r="CC152" s="305">
        <v>0</v>
      </c>
      <c r="CD152" s="305">
        <v>0</v>
      </c>
      <c r="CE152" s="305">
        <v>0</v>
      </c>
      <c r="CF152" s="305">
        <v>0</v>
      </c>
      <c r="CG152" s="305">
        <v>0</v>
      </c>
      <c r="CH152" s="305">
        <v>0</v>
      </c>
      <c r="CI152" s="305">
        <v>0</v>
      </c>
      <c r="CJ152" s="305">
        <v>0</v>
      </c>
      <c r="CK152" s="305">
        <v>0</v>
      </c>
      <c r="CL152" s="305">
        <v>0</v>
      </c>
      <c r="CO152" s="304" t="s">
        <v>664</v>
      </c>
      <c r="CP152" s="302">
        <v>0</v>
      </c>
      <c r="CQ152" s="302">
        <v>87222.135331413898</v>
      </c>
    </row>
    <row r="153" spans="61:95">
      <c r="BI153" s="304" t="s">
        <v>665</v>
      </c>
      <c r="BJ153" s="305">
        <v>0</v>
      </c>
      <c r="BK153" s="305">
        <v>0</v>
      </c>
      <c r="BL153" s="305">
        <v>0</v>
      </c>
      <c r="BM153" s="305">
        <v>0</v>
      </c>
      <c r="BN153" s="305">
        <v>0</v>
      </c>
      <c r="BO153" s="305">
        <v>0</v>
      </c>
      <c r="BP153" s="305">
        <v>0</v>
      </c>
      <c r="BQ153" s="305">
        <v>0</v>
      </c>
      <c r="BR153" s="305">
        <v>0</v>
      </c>
      <c r="BS153" s="305">
        <v>0</v>
      </c>
      <c r="BT153" s="305">
        <v>0</v>
      </c>
      <c r="BU153" s="305">
        <v>0</v>
      </c>
      <c r="BV153" s="305">
        <v>0</v>
      </c>
      <c r="BW153" s="305">
        <v>0</v>
      </c>
      <c r="BX153" s="305">
        <v>0</v>
      </c>
      <c r="BY153" s="305">
        <v>0</v>
      </c>
      <c r="BZ153" s="305">
        <v>0</v>
      </c>
      <c r="CA153" s="305">
        <v>0</v>
      </c>
      <c r="CB153" s="305">
        <v>0</v>
      </c>
      <c r="CC153" s="305">
        <v>0</v>
      </c>
      <c r="CD153" s="305">
        <v>0</v>
      </c>
      <c r="CE153" s="305">
        <v>0</v>
      </c>
      <c r="CF153" s="305">
        <v>0</v>
      </c>
      <c r="CG153" s="305">
        <v>0</v>
      </c>
      <c r="CH153" s="305">
        <v>0</v>
      </c>
      <c r="CI153" s="305">
        <v>0</v>
      </c>
      <c r="CJ153" s="305">
        <v>0</v>
      </c>
      <c r="CK153" s="305">
        <v>25297.051877142199</v>
      </c>
      <c r="CL153" s="305">
        <v>0</v>
      </c>
      <c r="CO153" s="304" t="s">
        <v>665</v>
      </c>
      <c r="CP153" s="302">
        <v>0</v>
      </c>
      <c r="CQ153" s="302">
        <v>0</v>
      </c>
    </row>
    <row r="154" spans="61:95">
      <c r="BI154" s="304" t="s">
        <v>666</v>
      </c>
      <c r="BJ154" s="305">
        <v>0</v>
      </c>
      <c r="BK154" s="305">
        <v>0</v>
      </c>
      <c r="BL154" s="305">
        <v>0</v>
      </c>
      <c r="BM154" s="305">
        <v>0</v>
      </c>
      <c r="BN154" s="305">
        <v>0</v>
      </c>
      <c r="BO154" s="305">
        <v>0</v>
      </c>
      <c r="BP154" s="305">
        <v>0</v>
      </c>
      <c r="BQ154" s="305">
        <v>0</v>
      </c>
      <c r="BR154" s="305">
        <v>0</v>
      </c>
      <c r="BS154" s="305">
        <v>0</v>
      </c>
      <c r="BT154" s="305">
        <v>0</v>
      </c>
      <c r="BU154" s="305">
        <v>0</v>
      </c>
      <c r="BV154" s="305">
        <v>0</v>
      </c>
      <c r="BW154" s="305">
        <v>0</v>
      </c>
      <c r="BX154" s="305">
        <v>0</v>
      </c>
      <c r="BY154" s="305">
        <v>25297.051877142199</v>
      </c>
      <c r="BZ154" s="305">
        <v>0</v>
      </c>
      <c r="CA154" s="305">
        <v>0</v>
      </c>
      <c r="CB154" s="305">
        <v>0</v>
      </c>
      <c r="CC154" s="305">
        <v>0</v>
      </c>
      <c r="CD154" s="305">
        <v>0</v>
      </c>
      <c r="CE154" s="305">
        <v>0</v>
      </c>
      <c r="CF154" s="305">
        <v>0</v>
      </c>
      <c r="CG154" s="305">
        <v>0</v>
      </c>
      <c r="CH154" s="305">
        <v>0</v>
      </c>
      <c r="CI154" s="305">
        <v>0</v>
      </c>
      <c r="CJ154" s="305">
        <v>0</v>
      </c>
      <c r="CK154" s="305">
        <v>0</v>
      </c>
      <c r="CL154" s="305">
        <v>0</v>
      </c>
      <c r="CO154" s="304" t="s">
        <v>666</v>
      </c>
      <c r="CP154" s="302">
        <v>0</v>
      </c>
      <c r="CQ154" s="302">
        <v>0</v>
      </c>
    </row>
    <row r="155" spans="61:95">
      <c r="BI155" s="304" t="s">
        <v>667</v>
      </c>
      <c r="BJ155" s="305">
        <v>0</v>
      </c>
      <c r="BK155" s="305">
        <v>0</v>
      </c>
      <c r="BL155" s="305">
        <v>0</v>
      </c>
      <c r="BM155" s="305">
        <v>0</v>
      </c>
      <c r="BN155" s="305">
        <v>0</v>
      </c>
      <c r="BO155" s="305">
        <v>0</v>
      </c>
      <c r="BP155" s="305">
        <v>0</v>
      </c>
      <c r="BQ155" s="305">
        <v>0</v>
      </c>
      <c r="BR155" s="305">
        <v>0</v>
      </c>
      <c r="BS155" s="305">
        <v>0</v>
      </c>
      <c r="BT155" s="305">
        <v>0</v>
      </c>
      <c r="BU155" s="305">
        <v>0</v>
      </c>
      <c r="BV155" s="305">
        <v>0</v>
      </c>
      <c r="BW155" s="305">
        <v>25297.051877142199</v>
      </c>
      <c r="BX155" s="305">
        <v>0</v>
      </c>
      <c r="BY155" s="305">
        <v>0</v>
      </c>
      <c r="BZ155" s="305">
        <v>0</v>
      </c>
      <c r="CA155" s="305">
        <v>0</v>
      </c>
      <c r="CB155" s="305">
        <v>0</v>
      </c>
      <c r="CC155" s="305">
        <v>0</v>
      </c>
      <c r="CD155" s="305">
        <v>0</v>
      </c>
      <c r="CE155" s="305">
        <v>0</v>
      </c>
      <c r="CF155" s="305">
        <v>0</v>
      </c>
      <c r="CG155" s="305">
        <v>0</v>
      </c>
      <c r="CH155" s="305">
        <v>0</v>
      </c>
      <c r="CI155" s="305">
        <v>0</v>
      </c>
      <c r="CJ155" s="305">
        <v>0</v>
      </c>
      <c r="CK155" s="305">
        <v>0</v>
      </c>
      <c r="CL155" s="305">
        <v>0</v>
      </c>
      <c r="CO155" s="304" t="s">
        <v>667</v>
      </c>
      <c r="CP155" s="302">
        <v>0</v>
      </c>
      <c r="CQ155" s="302">
        <v>0</v>
      </c>
    </row>
    <row r="156" spans="61:95">
      <c r="BI156" s="304" t="s">
        <v>668</v>
      </c>
      <c r="BJ156" s="305">
        <v>0</v>
      </c>
      <c r="BK156" s="305">
        <v>0</v>
      </c>
      <c r="BL156" s="305">
        <v>0</v>
      </c>
      <c r="BM156" s="305">
        <v>0</v>
      </c>
      <c r="BN156" s="305">
        <v>0</v>
      </c>
      <c r="BO156" s="305">
        <v>0</v>
      </c>
      <c r="BP156" s="305">
        <v>0</v>
      </c>
      <c r="BQ156" s="305">
        <v>0</v>
      </c>
      <c r="BR156" s="305">
        <v>0</v>
      </c>
      <c r="BS156" s="305">
        <v>0</v>
      </c>
      <c r="BT156" s="305">
        <v>0</v>
      </c>
      <c r="BU156" s="305">
        <v>0</v>
      </c>
      <c r="BV156" s="305">
        <v>0</v>
      </c>
      <c r="BW156" s="305">
        <v>0</v>
      </c>
      <c r="BX156" s="305">
        <v>25297.051877142199</v>
      </c>
      <c r="BY156" s="305">
        <v>0</v>
      </c>
      <c r="BZ156" s="305">
        <v>0</v>
      </c>
      <c r="CA156" s="305">
        <v>0</v>
      </c>
      <c r="CB156" s="305">
        <v>0</v>
      </c>
      <c r="CC156" s="305">
        <v>0</v>
      </c>
      <c r="CD156" s="305">
        <v>0</v>
      </c>
      <c r="CE156" s="305">
        <v>0</v>
      </c>
      <c r="CF156" s="305">
        <v>0</v>
      </c>
      <c r="CG156" s="305">
        <v>0</v>
      </c>
      <c r="CH156" s="305">
        <v>0</v>
      </c>
      <c r="CI156" s="305">
        <v>0</v>
      </c>
      <c r="CJ156" s="305">
        <v>0</v>
      </c>
      <c r="CK156" s="305">
        <v>0</v>
      </c>
      <c r="CL156" s="305">
        <v>0</v>
      </c>
      <c r="CO156" s="304" t="s">
        <v>668</v>
      </c>
      <c r="CP156" s="302">
        <v>0</v>
      </c>
      <c r="CQ156" s="302">
        <v>0</v>
      </c>
    </row>
    <row r="157" spans="61:95">
      <c r="BI157" s="304" t="s">
        <v>669</v>
      </c>
      <c r="BJ157" s="305">
        <v>0</v>
      </c>
      <c r="BK157" s="305">
        <v>0</v>
      </c>
      <c r="BL157" s="305">
        <v>0</v>
      </c>
      <c r="BM157" s="305">
        <v>0</v>
      </c>
      <c r="BN157" s="305">
        <v>0</v>
      </c>
      <c r="BO157" s="305">
        <v>0</v>
      </c>
      <c r="BP157" s="305">
        <v>0</v>
      </c>
      <c r="BQ157" s="305">
        <v>0</v>
      </c>
      <c r="BR157" s="305">
        <v>0</v>
      </c>
      <c r="BS157" s="305">
        <v>0</v>
      </c>
      <c r="BT157" s="305">
        <v>0</v>
      </c>
      <c r="BU157" s="305">
        <v>0</v>
      </c>
      <c r="BV157" s="305">
        <v>0</v>
      </c>
      <c r="BW157" s="305">
        <v>0</v>
      </c>
      <c r="BX157" s="305">
        <v>0</v>
      </c>
      <c r="BY157" s="305">
        <v>0</v>
      </c>
      <c r="BZ157" s="305">
        <v>0</v>
      </c>
      <c r="CA157" s="305">
        <v>0</v>
      </c>
      <c r="CB157" s="305">
        <v>0</v>
      </c>
      <c r="CC157" s="305">
        <v>0</v>
      </c>
      <c r="CD157" s="305">
        <v>0</v>
      </c>
      <c r="CE157" s="305">
        <v>0</v>
      </c>
      <c r="CF157" s="305">
        <v>0</v>
      </c>
      <c r="CG157" s="305">
        <v>0</v>
      </c>
      <c r="CH157" s="305">
        <v>0</v>
      </c>
      <c r="CI157" s="305">
        <v>0</v>
      </c>
      <c r="CJ157" s="305">
        <v>0</v>
      </c>
      <c r="CK157" s="305">
        <v>0</v>
      </c>
      <c r="CL157" s="305">
        <v>0</v>
      </c>
      <c r="CO157" s="304" t="s">
        <v>669</v>
      </c>
      <c r="CP157" s="302">
        <v>0</v>
      </c>
      <c r="CQ157" s="302">
        <v>7739.25118007116</v>
      </c>
    </row>
    <row r="158" spans="61:95">
      <c r="BI158" s="304" t="s">
        <v>670</v>
      </c>
      <c r="BJ158" s="305">
        <v>0</v>
      </c>
      <c r="BK158" s="305">
        <v>0</v>
      </c>
      <c r="BL158" s="305">
        <v>0</v>
      </c>
      <c r="BM158" s="305">
        <v>0</v>
      </c>
      <c r="BN158" s="305">
        <v>0</v>
      </c>
      <c r="BO158" s="305">
        <v>0</v>
      </c>
      <c r="BP158" s="305">
        <v>0</v>
      </c>
      <c r="BQ158" s="305">
        <v>0</v>
      </c>
      <c r="BR158" s="305">
        <v>0</v>
      </c>
      <c r="BS158" s="305">
        <v>0</v>
      </c>
      <c r="BT158" s="305">
        <v>0</v>
      </c>
      <c r="BU158" s="305">
        <v>0</v>
      </c>
      <c r="BV158" s="305">
        <v>0</v>
      </c>
      <c r="BW158" s="305">
        <v>0</v>
      </c>
      <c r="BX158" s="305">
        <v>24.076233417548501</v>
      </c>
      <c r="BY158" s="305">
        <v>0</v>
      </c>
      <c r="BZ158" s="305">
        <v>0</v>
      </c>
      <c r="CA158" s="305">
        <v>0</v>
      </c>
      <c r="CB158" s="305">
        <v>0</v>
      </c>
      <c r="CC158" s="305">
        <v>0</v>
      </c>
      <c r="CD158" s="305">
        <v>0</v>
      </c>
      <c r="CE158" s="305">
        <v>0</v>
      </c>
      <c r="CF158" s="305">
        <v>0</v>
      </c>
      <c r="CG158" s="305">
        <v>0</v>
      </c>
      <c r="CH158" s="305">
        <v>0</v>
      </c>
      <c r="CI158" s="305">
        <v>0</v>
      </c>
      <c r="CJ158" s="305">
        <v>0</v>
      </c>
      <c r="CK158" s="305">
        <v>0</v>
      </c>
      <c r="CL158" s="305">
        <v>0</v>
      </c>
      <c r="CO158" s="304" t="s">
        <v>670</v>
      </c>
      <c r="CP158" s="302">
        <v>0</v>
      </c>
      <c r="CQ158" s="302">
        <v>0</v>
      </c>
    </row>
    <row r="159" spans="61:95">
      <c r="BI159" s="304" t="s">
        <v>671</v>
      </c>
      <c r="BJ159" s="305">
        <v>2329445.30922601</v>
      </c>
      <c r="BK159" s="305">
        <v>0</v>
      </c>
      <c r="BL159" s="305">
        <v>0</v>
      </c>
      <c r="BM159" s="305">
        <v>0</v>
      </c>
      <c r="BN159" s="305">
        <v>0</v>
      </c>
      <c r="BO159" s="305">
        <v>0</v>
      </c>
      <c r="BP159" s="305">
        <v>0</v>
      </c>
      <c r="BQ159" s="305">
        <v>0</v>
      </c>
      <c r="BR159" s="305">
        <v>10583778.883576799</v>
      </c>
      <c r="BS159" s="305">
        <v>10407.5335702297</v>
      </c>
      <c r="BT159" s="305">
        <v>0</v>
      </c>
      <c r="BU159" s="305">
        <v>0</v>
      </c>
      <c r="BV159" s="305">
        <v>0</v>
      </c>
      <c r="BW159" s="305">
        <v>0</v>
      </c>
      <c r="BX159" s="305">
        <v>0</v>
      </c>
      <c r="BY159" s="305">
        <v>0</v>
      </c>
      <c r="BZ159" s="305">
        <v>0</v>
      </c>
      <c r="CA159" s="305">
        <v>0</v>
      </c>
      <c r="CB159" s="305">
        <v>0</v>
      </c>
      <c r="CC159" s="305">
        <v>0</v>
      </c>
      <c r="CD159" s="305">
        <v>0</v>
      </c>
      <c r="CE159" s="305">
        <v>0</v>
      </c>
      <c r="CF159" s="305">
        <v>0</v>
      </c>
      <c r="CG159" s="305">
        <v>0</v>
      </c>
      <c r="CH159" s="305">
        <v>0</v>
      </c>
      <c r="CI159" s="305">
        <v>0</v>
      </c>
      <c r="CJ159" s="305">
        <v>0</v>
      </c>
      <c r="CK159" s="305">
        <v>1951076.47558275</v>
      </c>
      <c r="CL159" s="305">
        <v>0</v>
      </c>
      <c r="CO159" s="304" t="s">
        <v>671</v>
      </c>
      <c r="CP159" s="302">
        <v>0</v>
      </c>
      <c r="CQ159" s="302">
        <v>0</v>
      </c>
    </row>
    <row r="160" spans="61:95">
      <c r="BI160" s="304" t="s">
        <v>714</v>
      </c>
      <c r="BJ160" s="305">
        <v>0</v>
      </c>
      <c r="BK160" s="305">
        <v>0</v>
      </c>
      <c r="BL160" s="305">
        <v>0</v>
      </c>
      <c r="BM160" s="305">
        <v>0</v>
      </c>
      <c r="BN160" s="305">
        <v>0</v>
      </c>
      <c r="BO160" s="305">
        <v>0</v>
      </c>
      <c r="BP160" s="305">
        <v>0</v>
      </c>
      <c r="BQ160" s="305">
        <v>0</v>
      </c>
      <c r="BR160" s="305">
        <v>0</v>
      </c>
      <c r="BS160" s="305">
        <v>0</v>
      </c>
      <c r="BT160" s="305">
        <v>0</v>
      </c>
      <c r="BU160" s="305">
        <v>0</v>
      </c>
      <c r="BV160" s="305">
        <v>0</v>
      </c>
      <c r="BW160" s="305">
        <v>0</v>
      </c>
      <c r="BX160" s="305">
        <v>0</v>
      </c>
      <c r="BY160" s="305">
        <v>0</v>
      </c>
      <c r="BZ160" s="305">
        <v>0</v>
      </c>
      <c r="CA160" s="305">
        <v>0</v>
      </c>
      <c r="CB160" s="305">
        <v>0</v>
      </c>
      <c r="CC160" s="305">
        <v>0</v>
      </c>
      <c r="CD160" s="305">
        <v>0</v>
      </c>
      <c r="CE160" s="305">
        <v>0</v>
      </c>
      <c r="CF160" s="305">
        <v>0</v>
      </c>
      <c r="CG160" s="305">
        <v>3749358.3680556798</v>
      </c>
      <c r="CH160" s="305">
        <v>0</v>
      </c>
      <c r="CI160" s="305">
        <v>0</v>
      </c>
      <c r="CJ160" s="305">
        <v>0</v>
      </c>
      <c r="CK160" s="305">
        <v>0</v>
      </c>
      <c r="CL160" s="305">
        <v>0</v>
      </c>
      <c r="CO160" s="304" t="s">
        <v>714</v>
      </c>
      <c r="CP160" s="302">
        <v>0</v>
      </c>
      <c r="CQ160" s="302">
        <v>0</v>
      </c>
    </row>
    <row r="161" spans="61:95">
      <c r="BI161" s="304" t="s">
        <v>715</v>
      </c>
      <c r="BJ161" s="305">
        <v>0</v>
      </c>
      <c r="BK161" s="305">
        <v>0</v>
      </c>
      <c r="BL161" s="305">
        <v>0</v>
      </c>
      <c r="BM161" s="305">
        <v>0</v>
      </c>
      <c r="BN161" s="305">
        <v>0</v>
      </c>
      <c r="BO161" s="305">
        <v>0</v>
      </c>
      <c r="BP161" s="305">
        <v>0</v>
      </c>
      <c r="BQ161" s="305">
        <v>0</v>
      </c>
      <c r="BR161" s="305">
        <v>0</v>
      </c>
      <c r="BS161" s="305">
        <v>0</v>
      </c>
      <c r="BT161" s="305">
        <v>0</v>
      </c>
      <c r="BU161" s="305">
        <v>0</v>
      </c>
      <c r="BV161" s="305">
        <v>0</v>
      </c>
      <c r="BW161" s="305">
        <v>0</v>
      </c>
      <c r="BX161" s="305">
        <v>0</v>
      </c>
      <c r="BY161" s="305">
        <v>0</v>
      </c>
      <c r="BZ161" s="305">
        <v>0</v>
      </c>
      <c r="CA161" s="305">
        <v>0</v>
      </c>
      <c r="CB161" s="305">
        <v>0</v>
      </c>
      <c r="CC161" s="305">
        <v>0</v>
      </c>
      <c r="CD161" s="305">
        <v>0</v>
      </c>
      <c r="CE161" s="305">
        <v>0</v>
      </c>
      <c r="CF161" s="305">
        <v>0</v>
      </c>
      <c r="CG161" s="305">
        <v>0</v>
      </c>
      <c r="CH161" s="305">
        <v>0</v>
      </c>
      <c r="CI161" s="305">
        <v>0</v>
      </c>
      <c r="CJ161" s="305">
        <v>668.84165319492104</v>
      </c>
      <c r="CK161" s="305">
        <v>0</v>
      </c>
      <c r="CL161" s="305">
        <v>0</v>
      </c>
      <c r="CO161" s="304" t="s">
        <v>715</v>
      </c>
      <c r="CP161" s="302">
        <v>0</v>
      </c>
      <c r="CQ161" s="302">
        <v>0</v>
      </c>
    </row>
    <row r="162" spans="61:95">
      <c r="BI162" s="304" t="s">
        <v>716</v>
      </c>
      <c r="BJ162" s="305">
        <v>0</v>
      </c>
      <c r="BK162" s="305">
        <v>0</v>
      </c>
      <c r="BL162" s="305">
        <v>0</v>
      </c>
      <c r="BM162" s="305">
        <v>0</v>
      </c>
      <c r="BN162" s="305">
        <v>0</v>
      </c>
      <c r="BO162" s="305">
        <v>0</v>
      </c>
      <c r="BP162" s="305">
        <v>0</v>
      </c>
      <c r="BQ162" s="305">
        <v>0</v>
      </c>
      <c r="BR162" s="305">
        <v>0</v>
      </c>
      <c r="BS162" s="305">
        <v>0</v>
      </c>
      <c r="BT162" s="305">
        <v>0</v>
      </c>
      <c r="BU162" s="305">
        <v>0</v>
      </c>
      <c r="BV162" s="305">
        <v>0</v>
      </c>
      <c r="BW162" s="305">
        <v>0</v>
      </c>
      <c r="BX162" s="305">
        <v>0</v>
      </c>
      <c r="BY162" s="305">
        <v>0</v>
      </c>
      <c r="BZ162" s="305">
        <v>0</v>
      </c>
      <c r="CA162" s="305">
        <v>0</v>
      </c>
      <c r="CB162" s="305">
        <v>0</v>
      </c>
      <c r="CC162" s="305">
        <v>0</v>
      </c>
      <c r="CD162" s="305">
        <v>0</v>
      </c>
      <c r="CE162" s="305">
        <v>0</v>
      </c>
      <c r="CF162" s="305">
        <v>0</v>
      </c>
      <c r="CG162" s="305">
        <v>0</v>
      </c>
      <c r="CH162" s="305">
        <v>0</v>
      </c>
      <c r="CI162" s="305">
        <v>668.84165319492104</v>
      </c>
      <c r="CJ162" s="305">
        <v>0</v>
      </c>
      <c r="CK162" s="305">
        <v>0</v>
      </c>
      <c r="CL162" s="305">
        <v>0</v>
      </c>
      <c r="CO162" s="304" t="s">
        <v>716</v>
      </c>
      <c r="CP162" s="302">
        <v>0</v>
      </c>
      <c r="CQ162" s="302">
        <v>0</v>
      </c>
    </row>
    <row r="163" spans="61:95">
      <c r="BI163" s="304" t="s">
        <v>717</v>
      </c>
      <c r="BJ163" s="305">
        <v>0</v>
      </c>
      <c r="BK163" s="305">
        <v>0</v>
      </c>
      <c r="BL163" s="305">
        <v>0</v>
      </c>
      <c r="BM163" s="305">
        <v>0</v>
      </c>
      <c r="BN163" s="305">
        <v>0</v>
      </c>
      <c r="BO163" s="305">
        <v>0</v>
      </c>
      <c r="BP163" s="305">
        <v>0</v>
      </c>
      <c r="BQ163" s="305">
        <v>0</v>
      </c>
      <c r="BR163" s="305">
        <v>0</v>
      </c>
      <c r="BS163" s="305">
        <v>0</v>
      </c>
      <c r="BT163" s="305">
        <v>0</v>
      </c>
      <c r="BU163" s="305">
        <v>0</v>
      </c>
      <c r="BV163" s="305">
        <v>0</v>
      </c>
      <c r="BW163" s="305">
        <v>0</v>
      </c>
      <c r="BX163" s="305">
        <v>0</v>
      </c>
      <c r="BY163" s="305">
        <v>0</v>
      </c>
      <c r="BZ163" s="305">
        <v>0</v>
      </c>
      <c r="CA163" s="305">
        <v>0</v>
      </c>
      <c r="CB163" s="305">
        <v>0</v>
      </c>
      <c r="CC163" s="305">
        <v>0</v>
      </c>
      <c r="CD163" s="305">
        <v>0</v>
      </c>
      <c r="CE163" s="305">
        <v>0</v>
      </c>
      <c r="CF163" s="305">
        <v>0</v>
      </c>
      <c r="CG163" s="305">
        <v>0</v>
      </c>
      <c r="CH163" s="305">
        <v>184686.52821315001</v>
      </c>
      <c r="CI163" s="305">
        <v>0</v>
      </c>
      <c r="CJ163" s="305">
        <v>0</v>
      </c>
      <c r="CK163" s="305">
        <v>0</v>
      </c>
      <c r="CL163" s="305">
        <v>0</v>
      </c>
      <c r="CO163" s="304" t="s">
        <v>717</v>
      </c>
      <c r="CP163" s="302">
        <v>0</v>
      </c>
      <c r="CQ163" s="302">
        <v>0</v>
      </c>
    </row>
    <row r="164" spans="61:95">
      <c r="BI164" s="304" t="s">
        <v>718</v>
      </c>
      <c r="BJ164" s="305">
        <v>0</v>
      </c>
      <c r="BK164" s="305">
        <v>0</v>
      </c>
      <c r="BL164" s="305">
        <v>0</v>
      </c>
      <c r="BM164" s="305">
        <v>0</v>
      </c>
      <c r="BN164" s="305">
        <v>0</v>
      </c>
      <c r="BO164" s="305">
        <v>0</v>
      </c>
      <c r="BP164" s="305">
        <v>0</v>
      </c>
      <c r="BQ164" s="305">
        <v>0</v>
      </c>
      <c r="BR164" s="305">
        <v>0</v>
      </c>
      <c r="BS164" s="305">
        <v>0</v>
      </c>
      <c r="BT164" s="305">
        <v>0</v>
      </c>
      <c r="BU164" s="305">
        <v>0</v>
      </c>
      <c r="BV164" s="305">
        <v>0</v>
      </c>
      <c r="BW164" s="305">
        <v>0</v>
      </c>
      <c r="BX164" s="305">
        <v>0</v>
      </c>
      <c r="BY164" s="305">
        <v>0</v>
      </c>
      <c r="BZ164" s="305">
        <v>0</v>
      </c>
      <c r="CA164" s="305">
        <v>0</v>
      </c>
      <c r="CB164" s="305">
        <v>184686.52821315001</v>
      </c>
      <c r="CC164" s="305">
        <v>0</v>
      </c>
      <c r="CD164" s="305">
        <v>0</v>
      </c>
      <c r="CE164" s="305">
        <v>0</v>
      </c>
      <c r="CF164" s="305">
        <v>0</v>
      </c>
      <c r="CG164" s="305">
        <v>0</v>
      </c>
      <c r="CH164" s="305">
        <v>0</v>
      </c>
      <c r="CI164" s="305">
        <v>0</v>
      </c>
      <c r="CJ164" s="305">
        <v>0</v>
      </c>
      <c r="CK164" s="305">
        <v>0</v>
      </c>
      <c r="CL164" s="305">
        <v>0</v>
      </c>
      <c r="CO164" s="304" t="s">
        <v>718</v>
      </c>
      <c r="CP164" s="302">
        <v>0</v>
      </c>
      <c r="CQ164" s="302">
        <v>0</v>
      </c>
    </row>
    <row r="165" spans="61:95">
      <c r="BI165" s="304" t="s">
        <v>719</v>
      </c>
      <c r="BJ165" s="305">
        <v>0</v>
      </c>
      <c r="BK165" s="305">
        <v>0</v>
      </c>
      <c r="BL165" s="305">
        <v>0</v>
      </c>
      <c r="BM165" s="305">
        <v>0</v>
      </c>
      <c r="BN165" s="305">
        <v>80113.817233021196</v>
      </c>
      <c r="BO165" s="305">
        <v>0</v>
      </c>
      <c r="BP165" s="305">
        <v>0</v>
      </c>
      <c r="BQ165" s="305">
        <v>0</v>
      </c>
      <c r="BR165" s="305">
        <v>0</v>
      </c>
      <c r="BS165" s="305">
        <v>0</v>
      </c>
      <c r="BT165" s="305">
        <v>0</v>
      </c>
      <c r="BU165" s="305">
        <v>0</v>
      </c>
      <c r="BV165" s="305">
        <v>0</v>
      </c>
      <c r="BW165" s="305">
        <v>0</v>
      </c>
      <c r="BX165" s="305">
        <v>0</v>
      </c>
      <c r="BY165" s="305">
        <v>0</v>
      </c>
      <c r="BZ165" s="305">
        <v>3204496.1178020099</v>
      </c>
      <c r="CA165" s="305">
        <v>0</v>
      </c>
      <c r="CB165" s="305">
        <v>0</v>
      </c>
      <c r="CC165" s="305">
        <v>0</v>
      </c>
      <c r="CD165" s="305">
        <v>0</v>
      </c>
      <c r="CE165" s="305">
        <v>0</v>
      </c>
      <c r="CF165" s="305">
        <v>0</v>
      </c>
      <c r="CG165" s="305">
        <v>0</v>
      </c>
      <c r="CH165" s="305">
        <v>0</v>
      </c>
      <c r="CI165" s="305">
        <v>0</v>
      </c>
      <c r="CJ165" s="305">
        <v>0</v>
      </c>
      <c r="CK165" s="305">
        <v>0</v>
      </c>
      <c r="CL165" s="305">
        <v>0</v>
      </c>
      <c r="CO165" s="304" t="s">
        <v>719</v>
      </c>
      <c r="CP165" s="302">
        <v>0</v>
      </c>
      <c r="CQ165" s="302">
        <v>0</v>
      </c>
    </row>
    <row r="166" spans="61:95">
      <c r="BI166" s="304" t="s">
        <v>720</v>
      </c>
      <c r="BJ166" s="305">
        <v>0</v>
      </c>
      <c r="BK166" s="305">
        <v>0</v>
      </c>
      <c r="BL166" s="305">
        <v>0</v>
      </c>
      <c r="BM166" s="305">
        <v>0</v>
      </c>
      <c r="BN166" s="305">
        <v>0</v>
      </c>
      <c r="BO166" s="305">
        <v>3090735.3644190198</v>
      </c>
      <c r="BP166" s="305">
        <v>0</v>
      </c>
      <c r="BQ166" s="305">
        <v>0</v>
      </c>
      <c r="BR166" s="305">
        <v>0</v>
      </c>
      <c r="BS166" s="305">
        <v>0</v>
      </c>
      <c r="BT166" s="305">
        <v>0</v>
      </c>
      <c r="BU166" s="305">
        <v>0</v>
      </c>
      <c r="BV166" s="305">
        <v>0</v>
      </c>
      <c r="BW166" s="305">
        <v>0</v>
      </c>
      <c r="BX166" s="305">
        <v>0</v>
      </c>
      <c r="BY166" s="305">
        <v>0</v>
      </c>
      <c r="BZ166" s="305">
        <v>0</v>
      </c>
      <c r="CA166" s="305">
        <v>0</v>
      </c>
      <c r="CB166" s="305">
        <v>0</v>
      </c>
      <c r="CC166" s="305">
        <v>0</v>
      </c>
      <c r="CD166" s="305">
        <v>0</v>
      </c>
      <c r="CE166" s="305">
        <v>0</v>
      </c>
      <c r="CF166" s="305">
        <v>0</v>
      </c>
      <c r="CG166" s="305">
        <v>0</v>
      </c>
      <c r="CH166" s="305">
        <v>0</v>
      </c>
      <c r="CI166" s="305">
        <v>0</v>
      </c>
      <c r="CJ166" s="305">
        <v>0</v>
      </c>
      <c r="CK166" s="305">
        <v>0</v>
      </c>
      <c r="CL166" s="305">
        <v>0</v>
      </c>
      <c r="CO166" s="304" t="s">
        <v>720</v>
      </c>
      <c r="CP166" s="302">
        <v>0</v>
      </c>
      <c r="CQ166" s="302">
        <v>0</v>
      </c>
    </row>
    <row r="167" spans="61:95">
      <c r="BI167" s="304" t="s">
        <v>721</v>
      </c>
      <c r="BJ167" s="305">
        <v>0</v>
      </c>
      <c r="BK167" s="305">
        <v>0</v>
      </c>
      <c r="BL167" s="305">
        <v>0</v>
      </c>
      <c r="BM167" s="305">
        <v>0</v>
      </c>
      <c r="BN167" s="305">
        <v>0</v>
      </c>
      <c r="BO167" s="305">
        <v>0</v>
      </c>
      <c r="BP167" s="305">
        <v>0</v>
      </c>
      <c r="BQ167" s="305">
        <v>0</v>
      </c>
      <c r="BR167" s="305">
        <v>0</v>
      </c>
      <c r="BS167" s="305">
        <v>0</v>
      </c>
      <c r="BT167" s="305">
        <v>0</v>
      </c>
      <c r="BU167" s="305">
        <v>0</v>
      </c>
      <c r="BV167" s="305">
        <v>0</v>
      </c>
      <c r="BW167" s="305">
        <v>0</v>
      </c>
      <c r="BX167" s="305">
        <v>0</v>
      </c>
      <c r="BY167" s="305">
        <v>0</v>
      </c>
      <c r="BZ167" s="305">
        <v>0</v>
      </c>
      <c r="CA167" s="305">
        <v>0</v>
      </c>
      <c r="CB167" s="305">
        <v>0</v>
      </c>
      <c r="CC167" s="305">
        <v>0</v>
      </c>
      <c r="CD167" s="305">
        <v>0</v>
      </c>
      <c r="CE167" s="305">
        <v>0</v>
      </c>
      <c r="CF167" s="305">
        <v>0</v>
      </c>
      <c r="CG167" s="305">
        <v>0</v>
      </c>
      <c r="CH167" s="305">
        <v>0</v>
      </c>
      <c r="CI167" s="305">
        <v>0</v>
      </c>
      <c r="CJ167" s="305">
        <v>0</v>
      </c>
      <c r="CK167" s="305">
        <v>0</v>
      </c>
      <c r="CL167" s="305">
        <v>21683.690906267198</v>
      </c>
      <c r="CO167" s="304" t="s">
        <v>721</v>
      </c>
      <c r="CP167" s="302">
        <v>0</v>
      </c>
      <c r="CQ167" s="302">
        <v>0</v>
      </c>
    </row>
    <row r="168" spans="61:95">
      <c r="BI168" s="304" t="s">
        <v>672</v>
      </c>
      <c r="BJ168" s="305">
        <v>0</v>
      </c>
      <c r="BK168" s="305">
        <v>0</v>
      </c>
      <c r="BL168" s="305">
        <v>0</v>
      </c>
      <c r="BM168" s="305">
        <v>0</v>
      </c>
      <c r="BN168" s="305">
        <v>0</v>
      </c>
      <c r="BO168" s="305">
        <v>0</v>
      </c>
      <c r="BP168" s="305">
        <v>0</v>
      </c>
      <c r="BQ168" s="305">
        <v>0</v>
      </c>
      <c r="BR168" s="305">
        <v>0</v>
      </c>
      <c r="BS168" s="305">
        <v>0</v>
      </c>
      <c r="BT168" s="305">
        <v>0</v>
      </c>
      <c r="BU168" s="305">
        <v>0</v>
      </c>
      <c r="BV168" s="305">
        <v>0</v>
      </c>
      <c r="BW168" s="305">
        <v>0</v>
      </c>
      <c r="BX168" s="305">
        <v>0</v>
      </c>
      <c r="BY168" s="305">
        <v>0</v>
      </c>
      <c r="BZ168" s="305">
        <v>0</v>
      </c>
      <c r="CA168" s="305">
        <v>0</v>
      </c>
      <c r="CB168" s="305">
        <v>0</v>
      </c>
      <c r="CC168" s="305">
        <v>0</v>
      </c>
      <c r="CD168" s="305">
        <v>0</v>
      </c>
      <c r="CE168" s="305">
        <v>0</v>
      </c>
      <c r="CF168" s="305">
        <v>0</v>
      </c>
      <c r="CG168" s="305">
        <v>0</v>
      </c>
      <c r="CH168" s="305">
        <v>0</v>
      </c>
      <c r="CI168" s="305">
        <v>0</v>
      </c>
      <c r="CJ168" s="305">
        <v>0</v>
      </c>
      <c r="CK168" s="305">
        <v>0</v>
      </c>
      <c r="CL168" s="305">
        <v>0</v>
      </c>
      <c r="CO168" s="304" t="s">
        <v>672</v>
      </c>
      <c r="CP168" s="302">
        <v>4157895.2984628798</v>
      </c>
      <c r="CQ168" s="302">
        <v>0</v>
      </c>
    </row>
    <row r="169" spans="61:95">
      <c r="BI169" s="304" t="s">
        <v>673</v>
      </c>
      <c r="BJ169" s="305">
        <v>0</v>
      </c>
      <c r="BK169" s="305">
        <v>0</v>
      </c>
      <c r="BL169" s="305">
        <v>0</v>
      </c>
      <c r="BM169" s="305">
        <v>0</v>
      </c>
      <c r="BN169" s="305">
        <v>0</v>
      </c>
      <c r="BO169" s="305">
        <v>0</v>
      </c>
      <c r="BP169" s="305">
        <v>0</v>
      </c>
      <c r="BQ169" s="305">
        <v>0</v>
      </c>
      <c r="BR169" s="305">
        <v>0</v>
      </c>
      <c r="BS169" s="305">
        <v>0</v>
      </c>
      <c r="BT169" s="305">
        <v>0</v>
      </c>
      <c r="BU169" s="305">
        <v>0</v>
      </c>
      <c r="BV169" s="305">
        <v>0</v>
      </c>
      <c r="BW169" s="305">
        <v>0</v>
      </c>
      <c r="BX169" s="305">
        <v>0</v>
      </c>
      <c r="BY169" s="305">
        <v>0</v>
      </c>
      <c r="BZ169" s="305">
        <v>0</v>
      </c>
      <c r="CA169" s="305">
        <v>0</v>
      </c>
      <c r="CB169" s="305">
        <v>0</v>
      </c>
      <c r="CC169" s="305">
        <v>0</v>
      </c>
      <c r="CD169" s="305">
        <v>0</v>
      </c>
      <c r="CE169" s="305">
        <v>0</v>
      </c>
      <c r="CF169" s="305">
        <v>0</v>
      </c>
      <c r="CG169" s="305">
        <v>0</v>
      </c>
      <c r="CH169" s="305">
        <v>0</v>
      </c>
      <c r="CI169" s="305">
        <v>0</v>
      </c>
      <c r="CJ169" s="305">
        <v>0</v>
      </c>
      <c r="CK169" s="305">
        <v>0</v>
      </c>
      <c r="CL169" s="305">
        <v>0</v>
      </c>
      <c r="CO169" s="304" t="s">
        <v>673</v>
      </c>
      <c r="CP169" s="302">
        <v>0</v>
      </c>
      <c r="CQ169" s="302">
        <v>67875.356217847497</v>
      </c>
    </row>
    <row r="170" spans="61:95">
      <c r="BI170" s="304" t="s">
        <v>722</v>
      </c>
      <c r="BJ170" s="305">
        <v>0</v>
      </c>
      <c r="BK170" s="305">
        <v>0</v>
      </c>
      <c r="BL170" s="305">
        <v>0</v>
      </c>
      <c r="BM170" s="305">
        <v>0</v>
      </c>
      <c r="BN170" s="305">
        <v>0</v>
      </c>
      <c r="BO170" s="305">
        <v>0</v>
      </c>
      <c r="BP170" s="305">
        <v>0</v>
      </c>
      <c r="BQ170" s="305">
        <v>0</v>
      </c>
      <c r="BR170" s="305">
        <v>0</v>
      </c>
      <c r="BS170" s="305">
        <v>0</v>
      </c>
      <c r="BT170" s="305">
        <v>0</v>
      </c>
      <c r="BU170" s="305">
        <v>0</v>
      </c>
      <c r="BV170" s="305">
        <v>0</v>
      </c>
      <c r="BW170" s="305">
        <v>0</v>
      </c>
      <c r="BX170" s="305">
        <v>0</v>
      </c>
      <c r="BY170" s="305">
        <v>0</v>
      </c>
      <c r="BZ170" s="305">
        <v>5048.7551388456604</v>
      </c>
      <c r="CA170" s="305">
        <v>0</v>
      </c>
      <c r="CB170" s="305">
        <v>0</v>
      </c>
      <c r="CC170" s="305">
        <v>0</v>
      </c>
      <c r="CD170" s="305">
        <v>0</v>
      </c>
      <c r="CE170" s="305">
        <v>0</v>
      </c>
      <c r="CF170" s="305">
        <v>0</v>
      </c>
      <c r="CG170" s="305">
        <v>0</v>
      </c>
      <c r="CH170" s="305">
        <v>0</v>
      </c>
      <c r="CI170" s="305">
        <v>0</v>
      </c>
      <c r="CJ170" s="305">
        <v>0</v>
      </c>
      <c r="CK170" s="305">
        <v>0</v>
      </c>
      <c r="CL170" s="305">
        <v>0</v>
      </c>
      <c r="CO170" s="304" t="s">
        <v>722</v>
      </c>
      <c r="CP170" s="302">
        <v>0</v>
      </c>
      <c r="CQ170" s="302">
        <v>0</v>
      </c>
    </row>
    <row r="171" spans="61:95">
      <c r="BI171" s="304" t="s">
        <v>723</v>
      </c>
      <c r="BJ171" s="305">
        <v>0</v>
      </c>
      <c r="BK171" s="305">
        <v>0</v>
      </c>
      <c r="BL171" s="305">
        <v>0</v>
      </c>
      <c r="BM171" s="305">
        <v>0</v>
      </c>
      <c r="BN171" s="305">
        <v>0</v>
      </c>
      <c r="BO171" s="305">
        <v>0</v>
      </c>
      <c r="BP171" s="305">
        <v>0</v>
      </c>
      <c r="BQ171" s="305">
        <v>0</v>
      </c>
      <c r="BR171" s="305">
        <v>0</v>
      </c>
      <c r="BS171" s="305">
        <v>0</v>
      </c>
      <c r="BT171" s="305">
        <v>0</v>
      </c>
      <c r="BU171" s="305">
        <v>0</v>
      </c>
      <c r="BV171" s="305">
        <v>0</v>
      </c>
      <c r="BW171" s="305">
        <v>0</v>
      </c>
      <c r="BX171" s="305">
        <v>0</v>
      </c>
      <c r="BY171" s="305">
        <v>0</v>
      </c>
      <c r="BZ171" s="305">
        <v>0</v>
      </c>
      <c r="CA171" s="305">
        <v>0</v>
      </c>
      <c r="CB171" s="305">
        <v>0</v>
      </c>
      <c r="CC171" s="305">
        <v>5023.7890204089899</v>
      </c>
      <c r="CD171" s="305">
        <v>0</v>
      </c>
      <c r="CE171" s="305">
        <v>0</v>
      </c>
      <c r="CF171" s="305">
        <v>0</v>
      </c>
      <c r="CG171" s="305">
        <v>0</v>
      </c>
      <c r="CH171" s="305">
        <v>0</v>
      </c>
      <c r="CI171" s="305">
        <v>0</v>
      </c>
      <c r="CJ171" s="305">
        <v>0</v>
      </c>
      <c r="CK171" s="305">
        <v>0</v>
      </c>
      <c r="CL171" s="305">
        <v>0</v>
      </c>
      <c r="CO171" s="304" t="s">
        <v>723</v>
      </c>
      <c r="CP171" s="302">
        <v>0</v>
      </c>
      <c r="CQ171" s="302">
        <v>0</v>
      </c>
    </row>
    <row r="172" spans="61:95">
      <c r="BI172" s="304" t="s">
        <v>674</v>
      </c>
      <c r="BJ172" s="305">
        <v>0</v>
      </c>
      <c r="BK172" s="305">
        <v>0</v>
      </c>
      <c r="BL172" s="305">
        <v>0</v>
      </c>
      <c r="BM172" s="305">
        <v>0</v>
      </c>
      <c r="BN172" s="305">
        <v>0</v>
      </c>
      <c r="BO172" s="305">
        <v>0</v>
      </c>
      <c r="BP172" s="305">
        <v>0</v>
      </c>
      <c r="BQ172" s="305">
        <v>0</v>
      </c>
      <c r="BR172" s="305">
        <v>0</v>
      </c>
      <c r="BS172" s="305">
        <v>0</v>
      </c>
      <c r="BT172" s="305">
        <v>0</v>
      </c>
      <c r="BU172" s="305">
        <v>0</v>
      </c>
      <c r="BV172" s="305">
        <v>0</v>
      </c>
      <c r="BW172" s="305">
        <v>0</v>
      </c>
      <c r="BX172" s="305">
        <v>0</v>
      </c>
      <c r="BY172" s="305">
        <v>0</v>
      </c>
      <c r="BZ172" s="305">
        <v>0</v>
      </c>
      <c r="CA172" s="305">
        <v>0</v>
      </c>
      <c r="CB172" s="305">
        <v>0</v>
      </c>
      <c r="CC172" s="305">
        <v>0</v>
      </c>
      <c r="CD172" s="305">
        <v>0</v>
      </c>
      <c r="CE172" s="305">
        <v>0</v>
      </c>
      <c r="CF172" s="305">
        <v>242016.07607977401</v>
      </c>
      <c r="CG172" s="305">
        <v>0</v>
      </c>
      <c r="CH172" s="305">
        <v>0</v>
      </c>
      <c r="CI172" s="305">
        <v>0</v>
      </c>
      <c r="CJ172" s="305">
        <v>0</v>
      </c>
      <c r="CK172" s="305">
        <v>0</v>
      </c>
      <c r="CL172" s="305">
        <v>0</v>
      </c>
      <c r="CO172" s="304" t="s">
        <v>674</v>
      </c>
      <c r="CP172" s="302">
        <v>0</v>
      </c>
      <c r="CQ172" s="302">
        <v>0</v>
      </c>
    </row>
    <row r="173" spans="61:95">
      <c r="BI173" s="304" t="s">
        <v>724</v>
      </c>
      <c r="BJ173" s="305">
        <v>0</v>
      </c>
      <c r="BK173" s="305">
        <v>0</v>
      </c>
      <c r="BL173" s="305">
        <v>0</v>
      </c>
      <c r="BM173" s="305">
        <v>0</v>
      </c>
      <c r="BN173" s="305">
        <v>0</v>
      </c>
      <c r="BO173" s="305">
        <v>0</v>
      </c>
      <c r="BP173" s="305">
        <v>0</v>
      </c>
      <c r="BQ173" s="305">
        <v>0</v>
      </c>
      <c r="BR173" s="305">
        <v>0</v>
      </c>
      <c r="BS173" s="305">
        <v>0</v>
      </c>
      <c r="BT173" s="305">
        <v>0</v>
      </c>
      <c r="BU173" s="305">
        <v>0</v>
      </c>
      <c r="BV173" s="305">
        <v>0</v>
      </c>
      <c r="BW173" s="305">
        <v>0</v>
      </c>
      <c r="BX173" s="305">
        <v>0</v>
      </c>
      <c r="BY173" s="305">
        <v>0</v>
      </c>
      <c r="BZ173" s="305">
        <v>0</v>
      </c>
      <c r="CA173" s="305">
        <v>0</v>
      </c>
      <c r="CB173" s="305">
        <v>0</v>
      </c>
      <c r="CC173" s="305">
        <v>0</v>
      </c>
      <c r="CD173" s="305">
        <v>0</v>
      </c>
      <c r="CE173" s="305">
        <v>0</v>
      </c>
      <c r="CF173" s="305">
        <v>0</v>
      </c>
      <c r="CG173" s="305">
        <v>0</v>
      </c>
      <c r="CH173" s="305">
        <v>0</v>
      </c>
      <c r="CI173" s="305">
        <v>0</v>
      </c>
      <c r="CJ173" s="305">
        <v>4306.0802326205903</v>
      </c>
      <c r="CK173" s="305">
        <v>0</v>
      </c>
      <c r="CL173" s="305">
        <v>0</v>
      </c>
      <c r="CO173" s="304" t="s">
        <v>724</v>
      </c>
      <c r="CP173" s="302">
        <v>0</v>
      </c>
      <c r="CQ173" s="302">
        <v>0</v>
      </c>
    </row>
    <row r="174" spans="61:95">
      <c r="BI174" s="304" t="s">
        <v>725</v>
      </c>
      <c r="BJ174" s="305">
        <v>0</v>
      </c>
      <c r="BK174" s="305">
        <v>0</v>
      </c>
      <c r="BL174" s="305">
        <v>0</v>
      </c>
      <c r="BM174" s="305">
        <v>0</v>
      </c>
      <c r="BN174" s="305">
        <v>0</v>
      </c>
      <c r="BO174" s="305">
        <v>0</v>
      </c>
      <c r="BP174" s="305">
        <v>0</v>
      </c>
      <c r="BQ174" s="305">
        <v>0</v>
      </c>
      <c r="BR174" s="305">
        <v>0</v>
      </c>
      <c r="BS174" s="305">
        <v>0</v>
      </c>
      <c r="BT174" s="305">
        <v>0</v>
      </c>
      <c r="BU174" s="305">
        <v>0</v>
      </c>
      <c r="BV174" s="305">
        <v>0</v>
      </c>
      <c r="BW174" s="305">
        <v>0</v>
      </c>
      <c r="BX174" s="305">
        <v>0</v>
      </c>
      <c r="BY174" s="305">
        <v>0</v>
      </c>
      <c r="BZ174" s="305">
        <v>82.091627997489695</v>
      </c>
      <c r="CA174" s="305">
        <v>0</v>
      </c>
      <c r="CB174" s="305">
        <v>0</v>
      </c>
      <c r="CC174" s="305">
        <v>0</v>
      </c>
      <c r="CD174" s="305">
        <v>0</v>
      </c>
      <c r="CE174" s="305">
        <v>0</v>
      </c>
      <c r="CF174" s="305">
        <v>0</v>
      </c>
      <c r="CG174" s="305">
        <v>0</v>
      </c>
      <c r="CH174" s="305">
        <v>0</v>
      </c>
      <c r="CI174" s="305">
        <v>0</v>
      </c>
      <c r="CJ174" s="305">
        <v>0</v>
      </c>
      <c r="CK174" s="305">
        <v>0</v>
      </c>
      <c r="CL174" s="305">
        <v>0</v>
      </c>
      <c r="CO174" s="304" t="s">
        <v>725</v>
      </c>
      <c r="CP174" s="302">
        <v>0</v>
      </c>
      <c r="CQ174" s="302">
        <v>0</v>
      </c>
    </row>
    <row r="175" spans="61:95">
      <c r="BI175" s="304" t="s">
        <v>726</v>
      </c>
      <c r="BJ175" s="305">
        <v>0</v>
      </c>
      <c r="BK175" s="305">
        <v>0</v>
      </c>
      <c r="BL175" s="305">
        <v>0</v>
      </c>
      <c r="BM175" s="305">
        <v>0</v>
      </c>
      <c r="BN175" s="305">
        <v>0</v>
      </c>
      <c r="BO175" s="305">
        <v>0</v>
      </c>
      <c r="BP175" s="305">
        <v>0</v>
      </c>
      <c r="BQ175" s="305">
        <v>0</v>
      </c>
      <c r="BR175" s="305">
        <v>0</v>
      </c>
      <c r="BS175" s="305">
        <v>0</v>
      </c>
      <c r="BT175" s="305">
        <v>0</v>
      </c>
      <c r="BU175" s="305">
        <v>0</v>
      </c>
      <c r="BV175" s="305">
        <v>0</v>
      </c>
      <c r="BW175" s="305">
        <v>0</v>
      </c>
      <c r="BX175" s="305">
        <v>0</v>
      </c>
      <c r="BY175" s="305">
        <v>0</v>
      </c>
      <c r="BZ175" s="305">
        <v>0</v>
      </c>
      <c r="CA175" s="305">
        <v>0</v>
      </c>
      <c r="CB175" s="305">
        <v>0</v>
      </c>
      <c r="CC175" s="305">
        <v>0</v>
      </c>
      <c r="CD175" s="305">
        <v>82.091627997489695</v>
      </c>
      <c r="CE175" s="305">
        <v>0</v>
      </c>
      <c r="CF175" s="305">
        <v>0</v>
      </c>
      <c r="CG175" s="305">
        <v>0</v>
      </c>
      <c r="CH175" s="305">
        <v>0</v>
      </c>
      <c r="CI175" s="305">
        <v>0</v>
      </c>
      <c r="CJ175" s="305">
        <v>0</v>
      </c>
      <c r="CK175" s="305">
        <v>0</v>
      </c>
      <c r="CL175" s="305">
        <v>0</v>
      </c>
      <c r="CO175" s="304" t="s">
        <v>726</v>
      </c>
      <c r="CP175" s="302">
        <v>0</v>
      </c>
      <c r="CQ175" s="302">
        <v>0</v>
      </c>
    </row>
    <row r="176" spans="61:95">
      <c r="BI176" s="304" t="s">
        <v>675</v>
      </c>
      <c r="BJ176" s="305">
        <v>0</v>
      </c>
      <c r="BK176" s="305">
        <v>0</v>
      </c>
      <c r="BL176" s="305">
        <v>0</v>
      </c>
      <c r="BM176" s="305">
        <v>0</v>
      </c>
      <c r="BN176" s="305">
        <v>0</v>
      </c>
      <c r="BO176" s="305">
        <v>0</v>
      </c>
      <c r="BP176" s="305">
        <v>0</v>
      </c>
      <c r="BQ176" s="305">
        <v>0</v>
      </c>
      <c r="BR176" s="305">
        <v>0</v>
      </c>
      <c r="BS176" s="305">
        <v>0</v>
      </c>
      <c r="BT176" s="305">
        <v>0</v>
      </c>
      <c r="BU176" s="305">
        <v>0</v>
      </c>
      <c r="BV176" s="305">
        <v>0</v>
      </c>
      <c r="BW176" s="305">
        <v>0</v>
      </c>
      <c r="BX176" s="305">
        <v>0</v>
      </c>
      <c r="BY176" s="305">
        <v>0</v>
      </c>
      <c r="BZ176" s="305">
        <v>0</v>
      </c>
      <c r="CA176" s="305">
        <v>0</v>
      </c>
      <c r="CB176" s="305">
        <v>0</v>
      </c>
      <c r="CC176" s="305">
        <v>0</v>
      </c>
      <c r="CD176" s="305">
        <v>0</v>
      </c>
      <c r="CE176" s="305">
        <v>0</v>
      </c>
      <c r="CF176" s="305">
        <v>0</v>
      </c>
      <c r="CG176" s="305">
        <v>0</v>
      </c>
      <c r="CH176" s="305">
        <v>0</v>
      </c>
      <c r="CI176" s="305">
        <v>0</v>
      </c>
      <c r="CJ176" s="305">
        <v>0</v>
      </c>
      <c r="CK176" s="305">
        <v>0</v>
      </c>
      <c r="CL176" s="305">
        <v>0</v>
      </c>
      <c r="CO176" s="304" t="s">
        <v>675</v>
      </c>
      <c r="CP176" s="302">
        <v>0</v>
      </c>
      <c r="CQ176" s="302">
        <v>955411.77850757004</v>
      </c>
    </row>
    <row r="177" spans="1:95">
      <c r="BI177" s="304" t="s">
        <v>676</v>
      </c>
      <c r="BJ177" s="305">
        <v>2830357.1263978099</v>
      </c>
      <c r="BK177" s="305">
        <v>0</v>
      </c>
      <c r="BL177" s="305">
        <v>0</v>
      </c>
      <c r="BM177" s="305">
        <v>0</v>
      </c>
      <c r="BN177" s="305">
        <v>0</v>
      </c>
      <c r="BO177" s="305">
        <v>0</v>
      </c>
      <c r="BP177" s="305">
        <v>0</v>
      </c>
      <c r="BQ177" s="305">
        <v>0</v>
      </c>
      <c r="BR177" s="305">
        <v>0</v>
      </c>
      <c r="BS177" s="305">
        <v>0</v>
      </c>
      <c r="BT177" s="305">
        <v>0</v>
      </c>
      <c r="BU177" s="305">
        <v>0</v>
      </c>
      <c r="BV177" s="305">
        <v>0</v>
      </c>
      <c r="BW177" s="305">
        <v>0</v>
      </c>
      <c r="BX177" s="305">
        <v>0</v>
      </c>
      <c r="BY177" s="305">
        <v>0</v>
      </c>
      <c r="BZ177" s="305">
        <v>0</v>
      </c>
      <c r="CA177" s="305">
        <v>0</v>
      </c>
      <c r="CB177" s="305">
        <v>0</v>
      </c>
      <c r="CC177" s="305">
        <v>0</v>
      </c>
      <c r="CD177" s="305">
        <v>0</v>
      </c>
      <c r="CE177" s="305">
        <v>0</v>
      </c>
      <c r="CF177" s="305">
        <v>0</v>
      </c>
      <c r="CG177" s="305">
        <v>0</v>
      </c>
      <c r="CH177" s="305">
        <v>0</v>
      </c>
      <c r="CI177" s="305">
        <v>0</v>
      </c>
      <c r="CJ177" s="305">
        <v>0</v>
      </c>
      <c r="CK177" s="305">
        <v>0</v>
      </c>
      <c r="CL177" s="305">
        <v>0</v>
      </c>
      <c r="CO177" s="304" t="s">
        <v>676</v>
      </c>
      <c r="CP177" s="302">
        <v>1213010.1970276299</v>
      </c>
      <c r="CQ177" s="302">
        <v>0</v>
      </c>
    </row>
    <row r="178" spans="1:95">
      <c r="BI178" s="304" t="s">
        <v>677</v>
      </c>
      <c r="BJ178" s="305">
        <v>0</v>
      </c>
      <c r="BK178" s="305">
        <v>0</v>
      </c>
      <c r="BL178" s="305">
        <v>0</v>
      </c>
      <c r="BM178" s="305">
        <v>0</v>
      </c>
      <c r="BN178" s="305">
        <v>0</v>
      </c>
      <c r="BO178" s="305">
        <v>0</v>
      </c>
      <c r="BP178" s="305">
        <v>4043367.3234254499</v>
      </c>
      <c r="BQ178" s="305">
        <v>0</v>
      </c>
      <c r="BR178" s="305">
        <v>0</v>
      </c>
      <c r="BS178" s="305">
        <v>0</v>
      </c>
      <c r="BT178" s="305">
        <v>0</v>
      </c>
      <c r="BU178" s="305">
        <v>0</v>
      </c>
      <c r="BV178" s="305">
        <v>0</v>
      </c>
      <c r="BW178" s="305">
        <v>0</v>
      </c>
      <c r="BX178" s="305">
        <v>0</v>
      </c>
      <c r="BY178" s="305">
        <v>0</v>
      </c>
      <c r="BZ178" s="305">
        <v>0</v>
      </c>
      <c r="CA178" s="305">
        <v>0</v>
      </c>
      <c r="CB178" s="305">
        <v>0</v>
      </c>
      <c r="CC178" s="305">
        <v>0</v>
      </c>
      <c r="CD178" s="305">
        <v>0</v>
      </c>
      <c r="CE178" s="305">
        <v>0</v>
      </c>
      <c r="CF178" s="305">
        <v>0</v>
      </c>
      <c r="CG178" s="305">
        <v>0</v>
      </c>
      <c r="CH178" s="305">
        <v>0</v>
      </c>
      <c r="CI178" s="305">
        <v>0</v>
      </c>
      <c r="CJ178" s="305">
        <v>0</v>
      </c>
      <c r="CK178" s="305">
        <v>0</v>
      </c>
      <c r="CL178" s="305">
        <v>0</v>
      </c>
      <c r="CO178" s="304" t="s">
        <v>677</v>
      </c>
      <c r="CP178" s="302">
        <v>0</v>
      </c>
      <c r="CQ178" s="302">
        <v>0</v>
      </c>
    </row>
    <row r="179" spans="1:95">
      <c r="BI179" s="304" t="s">
        <v>727</v>
      </c>
      <c r="BJ179" s="305">
        <v>0</v>
      </c>
      <c r="BK179" s="305">
        <v>0</v>
      </c>
      <c r="BL179" s="305">
        <v>0</v>
      </c>
      <c r="BM179" s="305">
        <v>0</v>
      </c>
      <c r="BN179" s="305">
        <v>0</v>
      </c>
      <c r="BO179" s="305">
        <v>0</v>
      </c>
      <c r="BP179" s="305">
        <v>0</v>
      </c>
      <c r="BQ179" s="305">
        <v>0</v>
      </c>
      <c r="BR179" s="305">
        <v>0</v>
      </c>
      <c r="BS179" s="305">
        <v>0</v>
      </c>
      <c r="BT179" s="305">
        <v>0</v>
      </c>
      <c r="BU179" s="305">
        <v>0</v>
      </c>
      <c r="BV179" s="305">
        <v>0</v>
      </c>
      <c r="BW179" s="305">
        <v>0</v>
      </c>
      <c r="BX179" s="305">
        <v>0</v>
      </c>
      <c r="BY179" s="305">
        <v>0</v>
      </c>
      <c r="BZ179" s="305">
        <v>43.206119998678503</v>
      </c>
      <c r="CA179" s="305">
        <v>0</v>
      </c>
      <c r="CB179" s="305">
        <v>0</v>
      </c>
      <c r="CC179" s="305">
        <v>0</v>
      </c>
      <c r="CD179" s="305">
        <v>0</v>
      </c>
      <c r="CE179" s="305">
        <v>0</v>
      </c>
      <c r="CF179" s="305">
        <v>0</v>
      </c>
      <c r="CG179" s="305">
        <v>0</v>
      </c>
      <c r="CH179" s="305">
        <v>0</v>
      </c>
      <c r="CI179" s="305">
        <v>0</v>
      </c>
      <c r="CJ179" s="305">
        <v>0</v>
      </c>
      <c r="CK179" s="305">
        <v>0</v>
      </c>
      <c r="CL179" s="305">
        <v>0</v>
      </c>
      <c r="CO179" s="304" t="s">
        <v>727</v>
      </c>
      <c r="CP179" s="302">
        <v>0</v>
      </c>
      <c r="CQ179" s="302">
        <v>0</v>
      </c>
    </row>
    <row r="180" spans="1:95">
      <c r="BI180" s="304" t="s">
        <v>728</v>
      </c>
      <c r="BJ180" s="305">
        <v>0</v>
      </c>
      <c r="BK180" s="305">
        <v>0</v>
      </c>
      <c r="BL180" s="305">
        <v>0</v>
      </c>
      <c r="BM180" s="305">
        <v>0</v>
      </c>
      <c r="BN180" s="305">
        <v>0</v>
      </c>
      <c r="BO180" s="305">
        <v>0</v>
      </c>
      <c r="BP180" s="305">
        <v>0</v>
      </c>
      <c r="BQ180" s="305">
        <v>0</v>
      </c>
      <c r="BR180" s="305">
        <v>0</v>
      </c>
      <c r="BS180" s="305">
        <v>0</v>
      </c>
      <c r="BT180" s="305">
        <v>0</v>
      </c>
      <c r="BU180" s="305">
        <v>0</v>
      </c>
      <c r="BV180" s="305">
        <v>0</v>
      </c>
      <c r="BW180" s="305">
        <v>0</v>
      </c>
      <c r="BX180" s="305">
        <v>0</v>
      </c>
      <c r="BY180" s="305">
        <v>0</v>
      </c>
      <c r="BZ180" s="305">
        <v>0</v>
      </c>
      <c r="CA180" s="305">
        <v>0</v>
      </c>
      <c r="CB180" s="305">
        <v>0</v>
      </c>
      <c r="CC180" s="305">
        <v>0</v>
      </c>
      <c r="CD180" s="305">
        <v>0</v>
      </c>
      <c r="CE180" s="305">
        <v>43.206119998678503</v>
      </c>
      <c r="CF180" s="305">
        <v>0</v>
      </c>
      <c r="CG180" s="305">
        <v>0</v>
      </c>
      <c r="CH180" s="305">
        <v>0</v>
      </c>
      <c r="CI180" s="305">
        <v>0</v>
      </c>
      <c r="CJ180" s="305">
        <v>0</v>
      </c>
      <c r="CK180" s="305">
        <v>0</v>
      </c>
      <c r="CL180" s="305">
        <v>0</v>
      </c>
      <c r="CO180" s="304" t="s">
        <v>728</v>
      </c>
      <c r="CP180" s="302">
        <v>0</v>
      </c>
      <c r="CQ180" s="302">
        <v>0</v>
      </c>
    </row>
    <row r="181" spans="1:95">
      <c r="BI181" s="304"/>
      <c r="BJ181" s="358" t="s">
        <v>698</v>
      </c>
      <c r="BK181" s="371"/>
      <c r="BL181" s="371"/>
      <c r="BM181" s="371"/>
      <c r="BN181" s="371"/>
      <c r="BO181" s="371"/>
      <c r="BP181" s="371"/>
      <c r="BQ181" s="371"/>
      <c r="BR181" s="371"/>
      <c r="BS181" s="371"/>
      <c r="BT181" s="371"/>
      <c r="BU181" s="371"/>
      <c r="BV181" s="371"/>
      <c r="BW181" s="371"/>
      <c r="BX181" s="371"/>
      <c r="BY181" s="371"/>
      <c r="BZ181" s="371"/>
      <c r="CA181" s="371"/>
      <c r="CB181" s="371"/>
      <c r="CC181" s="371"/>
      <c r="CD181" s="371"/>
      <c r="CE181" s="371"/>
      <c r="CF181" s="371"/>
      <c r="CG181" s="371"/>
      <c r="CH181" s="371"/>
      <c r="CI181" s="371"/>
      <c r="CJ181" s="371"/>
      <c r="CK181" s="371"/>
      <c r="CL181" s="371"/>
      <c r="CO181" s="304"/>
      <c r="CP181" s="358" t="s">
        <v>702</v>
      </c>
      <c r="CQ181" s="371"/>
    </row>
    <row r="184" spans="1:95" ht="227.4">
      <c r="A184" s="303" t="s">
        <v>641</v>
      </c>
      <c r="B184" s="234" t="s">
        <v>642</v>
      </c>
      <c r="C184" s="234" t="s">
        <v>708</v>
      </c>
      <c r="D184" s="234" t="s">
        <v>643</v>
      </c>
      <c r="E184" s="234" t="s">
        <v>644</v>
      </c>
      <c r="F184" s="234" t="s">
        <v>645</v>
      </c>
      <c r="G184" s="234" t="s">
        <v>646</v>
      </c>
      <c r="H184" s="234" t="s">
        <v>647</v>
      </c>
      <c r="I184" s="234" t="s">
        <v>648</v>
      </c>
      <c r="J184" s="234" t="s">
        <v>649</v>
      </c>
      <c r="K184" s="234" t="s">
        <v>650</v>
      </c>
      <c r="L184" s="234" t="s">
        <v>709</v>
      </c>
      <c r="M184" s="234" t="s">
        <v>651</v>
      </c>
      <c r="N184" s="234" t="s">
        <v>652</v>
      </c>
      <c r="O184" s="234" t="s">
        <v>653</v>
      </c>
      <c r="P184" s="234" t="s">
        <v>654</v>
      </c>
      <c r="Q184" s="234" t="s">
        <v>655</v>
      </c>
      <c r="R184" s="234" t="s">
        <v>710</v>
      </c>
      <c r="S184" s="234" t="s">
        <v>711</v>
      </c>
      <c r="T184" s="234" t="s">
        <v>656</v>
      </c>
      <c r="U184" s="234" t="s">
        <v>657</v>
      </c>
      <c r="V184" s="234" t="s">
        <v>658</v>
      </c>
      <c r="W184" s="234" t="s">
        <v>712</v>
      </c>
      <c r="X184" s="234" t="s">
        <v>713</v>
      </c>
      <c r="Y184" s="234" t="s">
        <v>659</v>
      </c>
      <c r="Z184" s="234" t="s">
        <v>660</v>
      </c>
      <c r="AA184" s="234" t="s">
        <v>661</v>
      </c>
      <c r="AB184" s="234" t="s">
        <v>662</v>
      </c>
      <c r="AC184" s="234" t="s">
        <v>663</v>
      </c>
      <c r="AD184" s="234" t="s">
        <v>664</v>
      </c>
      <c r="AE184" s="234" t="s">
        <v>665</v>
      </c>
      <c r="AF184" s="234" t="s">
        <v>666</v>
      </c>
      <c r="AG184" s="234" t="s">
        <v>667</v>
      </c>
      <c r="AH184" s="234" t="s">
        <v>668</v>
      </c>
      <c r="AI184" s="234" t="s">
        <v>669</v>
      </c>
      <c r="AJ184" s="234" t="s">
        <v>670</v>
      </c>
      <c r="AK184" s="234" t="s">
        <v>671</v>
      </c>
      <c r="AL184" s="234" t="s">
        <v>714</v>
      </c>
      <c r="AM184" s="234" t="s">
        <v>715</v>
      </c>
      <c r="AN184" s="234" t="s">
        <v>716</v>
      </c>
      <c r="AO184" s="234" t="s">
        <v>717</v>
      </c>
      <c r="AP184" s="234" t="s">
        <v>718</v>
      </c>
      <c r="AQ184" s="234" t="s">
        <v>719</v>
      </c>
      <c r="AR184" s="234" t="s">
        <v>720</v>
      </c>
      <c r="AS184" s="234" t="s">
        <v>721</v>
      </c>
      <c r="AT184" s="234" t="s">
        <v>672</v>
      </c>
      <c r="AU184" s="234" t="s">
        <v>673</v>
      </c>
      <c r="AV184" s="234" t="s">
        <v>722</v>
      </c>
      <c r="AW184" s="234" t="s">
        <v>723</v>
      </c>
      <c r="AX184" s="234" t="s">
        <v>674</v>
      </c>
      <c r="AY184" s="234" t="s">
        <v>724</v>
      </c>
      <c r="AZ184" s="234" t="s">
        <v>725</v>
      </c>
      <c r="BA184" s="234" t="s">
        <v>726</v>
      </c>
      <c r="BB184" s="234" t="s">
        <v>675</v>
      </c>
      <c r="BC184" s="234" t="s">
        <v>676</v>
      </c>
      <c r="BD184" s="234" t="s">
        <v>677</v>
      </c>
      <c r="BE184" s="234" t="s">
        <v>727</v>
      </c>
      <c r="BF184" s="234" t="s">
        <v>728</v>
      </c>
    </row>
    <row r="185" spans="1:95">
      <c r="A185" s="304" t="s">
        <v>683</v>
      </c>
      <c r="B185" s="305">
        <v>0</v>
      </c>
      <c r="C185" s="305">
        <v>0</v>
      </c>
      <c r="D185" s="305">
        <v>0</v>
      </c>
      <c r="E185" s="305">
        <v>404209.15818875801</v>
      </c>
      <c r="F185" s="305">
        <v>0</v>
      </c>
      <c r="G185" s="305">
        <v>0</v>
      </c>
      <c r="H185" s="305">
        <v>0</v>
      </c>
      <c r="I185" s="305">
        <v>0</v>
      </c>
      <c r="J185" s="305">
        <v>0</v>
      </c>
      <c r="K185" s="305">
        <v>0</v>
      </c>
      <c r="L185" s="305">
        <v>0</v>
      </c>
      <c r="M185" s="305">
        <v>0</v>
      </c>
      <c r="N185" s="305">
        <v>0</v>
      </c>
      <c r="O185" s="305">
        <v>0</v>
      </c>
      <c r="P185" s="305">
        <v>0</v>
      </c>
      <c r="Q185" s="305">
        <v>0</v>
      </c>
      <c r="R185" s="305">
        <v>0</v>
      </c>
      <c r="S185" s="305">
        <v>0</v>
      </c>
      <c r="T185" s="305">
        <v>0</v>
      </c>
      <c r="U185" s="305">
        <v>0</v>
      </c>
      <c r="V185" s="305">
        <v>0</v>
      </c>
      <c r="W185" s="305">
        <v>0</v>
      </c>
      <c r="X185" s="305">
        <v>0</v>
      </c>
      <c r="Y185" s="305">
        <v>0</v>
      </c>
      <c r="Z185" s="305">
        <v>0</v>
      </c>
      <c r="AA185" s="305">
        <v>0</v>
      </c>
      <c r="AB185" s="305">
        <v>0</v>
      </c>
      <c r="AC185" s="305">
        <v>0</v>
      </c>
      <c r="AD185" s="305">
        <v>0</v>
      </c>
      <c r="AE185" s="305">
        <v>0</v>
      </c>
      <c r="AF185" s="305">
        <v>0</v>
      </c>
      <c r="AG185" s="305">
        <v>0</v>
      </c>
      <c r="AH185" s="305">
        <v>0</v>
      </c>
      <c r="AI185" s="305">
        <v>0</v>
      </c>
      <c r="AJ185" s="305">
        <v>0</v>
      </c>
      <c r="AK185" s="305">
        <v>0</v>
      </c>
      <c r="AL185" s="305">
        <v>0</v>
      </c>
      <c r="AM185" s="305">
        <v>0</v>
      </c>
      <c r="AN185" s="305">
        <v>0</v>
      </c>
      <c r="AO185" s="305">
        <v>0</v>
      </c>
      <c r="AP185" s="305">
        <v>0</v>
      </c>
      <c r="AQ185" s="305">
        <v>0</v>
      </c>
      <c r="AR185" s="305">
        <v>0</v>
      </c>
      <c r="AS185" s="305">
        <v>0</v>
      </c>
      <c r="AT185" s="305">
        <v>4157895.2984628798</v>
      </c>
      <c r="AU185" s="305">
        <v>67875.356217847497</v>
      </c>
      <c r="AV185" s="305">
        <v>0</v>
      </c>
      <c r="AW185" s="305">
        <v>0</v>
      </c>
      <c r="AX185" s="305">
        <v>0</v>
      </c>
      <c r="AY185" s="305">
        <v>0</v>
      </c>
      <c r="AZ185" s="305">
        <v>0</v>
      </c>
      <c r="BA185" s="305">
        <v>0</v>
      </c>
      <c r="BB185" s="305">
        <v>0</v>
      </c>
      <c r="BC185" s="305">
        <v>0</v>
      </c>
      <c r="BD185" s="305">
        <v>0</v>
      </c>
      <c r="BE185" s="305">
        <v>0</v>
      </c>
      <c r="BF185" s="305">
        <v>0</v>
      </c>
    </row>
    <row r="186" spans="1:95">
      <c r="A186" s="304" t="s">
        <v>684</v>
      </c>
      <c r="B186" s="305">
        <v>0</v>
      </c>
      <c r="C186" s="305">
        <v>0</v>
      </c>
      <c r="D186" s="305">
        <v>0</v>
      </c>
      <c r="E186" s="305">
        <v>0</v>
      </c>
      <c r="F186" s="305">
        <v>0</v>
      </c>
      <c r="G186" s="305">
        <v>8855804.3203369807</v>
      </c>
      <c r="H186" s="305">
        <v>0</v>
      </c>
      <c r="I186" s="305">
        <v>0</v>
      </c>
      <c r="J186" s="305">
        <v>0</v>
      </c>
      <c r="K186" s="305">
        <v>0</v>
      </c>
      <c r="L186" s="305">
        <v>0</v>
      </c>
      <c r="M186" s="305">
        <v>0</v>
      </c>
      <c r="N186" s="305">
        <v>0</v>
      </c>
      <c r="O186" s="305">
        <v>0</v>
      </c>
      <c r="P186" s="305">
        <v>0</v>
      </c>
      <c r="Q186" s="305">
        <v>0</v>
      </c>
      <c r="R186" s="305">
        <v>0</v>
      </c>
      <c r="S186" s="305">
        <v>0</v>
      </c>
      <c r="T186" s="305">
        <v>0</v>
      </c>
      <c r="U186" s="305">
        <v>0</v>
      </c>
      <c r="V186" s="305">
        <v>0</v>
      </c>
      <c r="W186" s="305">
        <v>0</v>
      </c>
      <c r="X186" s="305">
        <v>0</v>
      </c>
      <c r="Y186" s="305">
        <v>0</v>
      </c>
      <c r="Z186" s="305">
        <v>0</v>
      </c>
      <c r="AA186" s="305">
        <v>0</v>
      </c>
      <c r="AB186" s="305">
        <v>0</v>
      </c>
      <c r="AC186" s="305">
        <v>0</v>
      </c>
      <c r="AD186" s="305">
        <v>0</v>
      </c>
      <c r="AE186" s="305">
        <v>0</v>
      </c>
      <c r="AF186" s="305">
        <v>0</v>
      </c>
      <c r="AG186" s="305">
        <v>0</v>
      </c>
      <c r="AH186" s="305">
        <v>0</v>
      </c>
      <c r="AI186" s="305">
        <v>0</v>
      </c>
      <c r="AJ186" s="305">
        <v>0</v>
      </c>
      <c r="AK186" s="305">
        <v>0</v>
      </c>
      <c r="AL186" s="305">
        <v>0</v>
      </c>
      <c r="AM186" s="305">
        <v>0</v>
      </c>
      <c r="AN186" s="305">
        <v>0</v>
      </c>
      <c r="AO186" s="305">
        <v>0</v>
      </c>
      <c r="AP186" s="305">
        <v>0</v>
      </c>
      <c r="AQ186" s="305">
        <v>0</v>
      </c>
      <c r="AR186" s="305">
        <v>0</v>
      </c>
      <c r="AS186" s="305">
        <v>0</v>
      </c>
      <c r="AT186" s="305">
        <v>0</v>
      </c>
      <c r="AU186" s="305">
        <v>0</v>
      </c>
      <c r="AV186" s="305">
        <v>0</v>
      </c>
      <c r="AW186" s="305">
        <v>0</v>
      </c>
      <c r="AX186" s="305">
        <v>0</v>
      </c>
      <c r="AY186" s="305">
        <v>0</v>
      </c>
      <c r="AZ186" s="305">
        <v>0</v>
      </c>
      <c r="BA186" s="305">
        <v>0</v>
      </c>
      <c r="BB186" s="305">
        <v>0</v>
      </c>
      <c r="BC186" s="305">
        <v>0</v>
      </c>
      <c r="BD186" s="305">
        <v>0</v>
      </c>
      <c r="BE186" s="305">
        <v>0</v>
      </c>
      <c r="BF186" s="305">
        <v>0</v>
      </c>
    </row>
    <row r="187" spans="1:95">
      <c r="A187" s="304" t="s">
        <v>685</v>
      </c>
      <c r="B187" s="305">
        <v>0</v>
      </c>
      <c r="C187" s="305">
        <v>0</v>
      </c>
      <c r="D187" s="305">
        <v>0</v>
      </c>
      <c r="E187" s="305">
        <v>0</v>
      </c>
      <c r="F187" s="305">
        <v>0</v>
      </c>
      <c r="G187" s="305">
        <v>0</v>
      </c>
      <c r="H187" s="305">
        <v>8855804.3203369807</v>
      </c>
      <c r="I187" s="305">
        <v>0</v>
      </c>
      <c r="J187" s="305">
        <v>0</v>
      </c>
      <c r="K187" s="305">
        <v>0</v>
      </c>
      <c r="L187" s="305">
        <v>0</v>
      </c>
      <c r="M187" s="305">
        <v>0</v>
      </c>
      <c r="N187" s="305">
        <v>555.77441893806395</v>
      </c>
      <c r="O187" s="305">
        <v>0</v>
      </c>
      <c r="P187" s="305">
        <v>0</v>
      </c>
      <c r="Q187" s="305">
        <v>0</v>
      </c>
      <c r="R187" s="305">
        <v>0</v>
      </c>
      <c r="S187" s="305">
        <v>0</v>
      </c>
      <c r="T187" s="305">
        <v>0</v>
      </c>
      <c r="U187" s="305">
        <v>0</v>
      </c>
      <c r="V187" s="305">
        <v>0</v>
      </c>
      <c r="W187" s="305">
        <v>0</v>
      </c>
      <c r="X187" s="305">
        <v>0</v>
      </c>
      <c r="Y187" s="305">
        <v>0</v>
      </c>
      <c r="Z187" s="305">
        <v>0</v>
      </c>
      <c r="AA187" s="305">
        <v>0</v>
      </c>
      <c r="AB187" s="305">
        <v>0</v>
      </c>
      <c r="AC187" s="305">
        <v>0</v>
      </c>
      <c r="AD187" s="305">
        <v>0</v>
      </c>
      <c r="AE187" s="305">
        <v>0</v>
      </c>
      <c r="AF187" s="305">
        <v>0</v>
      </c>
      <c r="AG187" s="305">
        <v>0</v>
      </c>
      <c r="AH187" s="305">
        <v>0</v>
      </c>
      <c r="AI187" s="305">
        <v>0</v>
      </c>
      <c r="AJ187" s="305">
        <v>0</v>
      </c>
      <c r="AK187" s="305">
        <v>0</v>
      </c>
      <c r="AL187" s="305">
        <v>0</v>
      </c>
      <c r="AM187" s="305">
        <v>0</v>
      </c>
      <c r="AN187" s="305">
        <v>0</v>
      </c>
      <c r="AO187" s="305">
        <v>0</v>
      </c>
      <c r="AP187" s="305">
        <v>0</v>
      </c>
      <c r="AQ187" s="305">
        <v>0</v>
      </c>
      <c r="AR187" s="305">
        <v>0</v>
      </c>
      <c r="AS187" s="305">
        <v>0</v>
      </c>
      <c r="AT187" s="305">
        <v>0</v>
      </c>
      <c r="AU187" s="305">
        <v>0</v>
      </c>
      <c r="AV187" s="305">
        <v>0</v>
      </c>
      <c r="AW187" s="305">
        <v>0</v>
      </c>
      <c r="AX187" s="305">
        <v>0</v>
      </c>
      <c r="AY187" s="305">
        <v>0</v>
      </c>
      <c r="AZ187" s="305">
        <v>0</v>
      </c>
      <c r="BA187" s="305">
        <v>0</v>
      </c>
      <c r="BB187" s="305">
        <v>0</v>
      </c>
      <c r="BC187" s="305">
        <v>0</v>
      </c>
      <c r="BD187" s="305">
        <v>0</v>
      </c>
      <c r="BE187" s="305">
        <v>0</v>
      </c>
      <c r="BF187" s="305">
        <v>0</v>
      </c>
    </row>
    <row r="188" spans="1:95">
      <c r="A188" s="304" t="s">
        <v>686</v>
      </c>
      <c r="B188" s="305">
        <v>0</v>
      </c>
      <c r="C188" s="305">
        <v>0</v>
      </c>
      <c r="D188" s="305">
        <v>0</v>
      </c>
      <c r="E188" s="305">
        <v>0</v>
      </c>
      <c r="F188" s="305">
        <v>0</v>
      </c>
      <c r="G188" s="305">
        <v>0</v>
      </c>
      <c r="H188" s="305">
        <v>0</v>
      </c>
      <c r="I188" s="305">
        <v>8855804.3203369807</v>
      </c>
      <c r="J188" s="305">
        <v>0</v>
      </c>
      <c r="K188" s="305">
        <v>0</v>
      </c>
      <c r="L188" s="305">
        <v>0</v>
      </c>
      <c r="M188" s="305">
        <v>0</v>
      </c>
      <c r="N188" s="305">
        <v>0</v>
      </c>
      <c r="O188" s="305">
        <v>0</v>
      </c>
      <c r="P188" s="305">
        <v>0</v>
      </c>
      <c r="Q188" s="305">
        <v>0</v>
      </c>
      <c r="R188" s="305">
        <v>0</v>
      </c>
      <c r="S188" s="305">
        <v>0</v>
      </c>
      <c r="T188" s="305">
        <v>0</v>
      </c>
      <c r="U188" s="305">
        <v>0</v>
      </c>
      <c r="V188" s="305">
        <v>0</v>
      </c>
      <c r="W188" s="305">
        <v>0</v>
      </c>
      <c r="X188" s="305">
        <v>0</v>
      </c>
      <c r="Y188" s="305">
        <v>0</v>
      </c>
      <c r="Z188" s="305">
        <v>0</v>
      </c>
      <c r="AA188" s="305">
        <v>0</v>
      </c>
      <c r="AB188" s="305">
        <v>0</v>
      </c>
      <c r="AC188" s="305">
        <v>0</v>
      </c>
      <c r="AD188" s="305">
        <v>0</v>
      </c>
      <c r="AE188" s="305">
        <v>0</v>
      </c>
      <c r="AF188" s="305">
        <v>0</v>
      </c>
      <c r="AG188" s="305">
        <v>0</v>
      </c>
      <c r="AH188" s="305">
        <v>0</v>
      </c>
      <c r="AI188" s="305">
        <v>0</v>
      </c>
      <c r="AJ188" s="305">
        <v>0</v>
      </c>
      <c r="AK188" s="305">
        <v>0</v>
      </c>
      <c r="AL188" s="305">
        <v>0</v>
      </c>
      <c r="AM188" s="305">
        <v>0</v>
      </c>
      <c r="AN188" s="305">
        <v>0</v>
      </c>
      <c r="AO188" s="305">
        <v>0</v>
      </c>
      <c r="AP188" s="305">
        <v>0</v>
      </c>
      <c r="AQ188" s="305">
        <v>0</v>
      </c>
      <c r="AR188" s="305">
        <v>0</v>
      </c>
      <c r="AS188" s="305">
        <v>0</v>
      </c>
      <c r="AT188" s="305">
        <v>0</v>
      </c>
      <c r="AU188" s="305">
        <v>0</v>
      </c>
      <c r="AV188" s="305">
        <v>0</v>
      </c>
      <c r="AW188" s="305">
        <v>0</v>
      </c>
      <c r="AX188" s="305">
        <v>0</v>
      </c>
      <c r="AY188" s="305">
        <v>0</v>
      </c>
      <c r="AZ188" s="305">
        <v>0</v>
      </c>
      <c r="BA188" s="305">
        <v>0</v>
      </c>
      <c r="BB188" s="305">
        <v>0</v>
      </c>
      <c r="BC188" s="305">
        <v>0</v>
      </c>
      <c r="BD188" s="305">
        <v>0</v>
      </c>
      <c r="BE188" s="305">
        <v>0</v>
      </c>
      <c r="BF188" s="305">
        <v>0</v>
      </c>
    </row>
    <row r="189" spans="1:95">
      <c r="A189" s="304" t="s">
        <v>749</v>
      </c>
      <c r="B189" s="305">
        <v>0</v>
      </c>
      <c r="C189" s="305">
        <v>0</v>
      </c>
      <c r="D189" s="305">
        <v>0</v>
      </c>
      <c r="E189" s="305">
        <v>0</v>
      </c>
      <c r="F189" s="305">
        <v>0</v>
      </c>
      <c r="G189" s="305">
        <v>0</v>
      </c>
      <c r="H189" s="305">
        <v>0</v>
      </c>
      <c r="I189" s="305">
        <v>0</v>
      </c>
      <c r="J189" s="305">
        <v>0</v>
      </c>
      <c r="K189" s="305">
        <v>0</v>
      </c>
      <c r="L189" s="305">
        <v>0</v>
      </c>
      <c r="M189" s="305">
        <v>0</v>
      </c>
      <c r="N189" s="305">
        <v>0</v>
      </c>
      <c r="O189" s="305">
        <v>0</v>
      </c>
      <c r="P189" s="305">
        <v>0</v>
      </c>
      <c r="Q189" s="305">
        <v>0</v>
      </c>
      <c r="R189" s="305">
        <v>0</v>
      </c>
      <c r="S189" s="305">
        <v>0</v>
      </c>
      <c r="T189" s="305">
        <v>0</v>
      </c>
      <c r="U189" s="305">
        <v>0</v>
      </c>
      <c r="V189" s="305">
        <v>0</v>
      </c>
      <c r="W189" s="305">
        <v>0</v>
      </c>
      <c r="X189" s="305">
        <v>0</v>
      </c>
      <c r="Y189" s="305">
        <v>0</v>
      </c>
      <c r="Z189" s="305">
        <v>0</v>
      </c>
      <c r="AA189" s="305">
        <v>0</v>
      </c>
      <c r="AB189" s="305">
        <v>0</v>
      </c>
      <c r="AC189" s="305">
        <v>0</v>
      </c>
      <c r="AD189" s="305">
        <v>0</v>
      </c>
      <c r="AE189" s="305">
        <v>0</v>
      </c>
      <c r="AF189" s="305">
        <v>0</v>
      </c>
      <c r="AG189" s="305">
        <v>0</v>
      </c>
      <c r="AH189" s="305">
        <v>0</v>
      </c>
      <c r="AI189" s="305">
        <v>0</v>
      </c>
      <c r="AJ189" s="305">
        <v>0</v>
      </c>
      <c r="AK189" s="305">
        <v>0</v>
      </c>
      <c r="AL189" s="305">
        <v>0</v>
      </c>
      <c r="AM189" s="305">
        <v>0</v>
      </c>
      <c r="AN189" s="305">
        <v>0</v>
      </c>
      <c r="AO189" s="305">
        <v>0</v>
      </c>
      <c r="AP189" s="305">
        <v>0</v>
      </c>
      <c r="AQ189" s="305">
        <v>0</v>
      </c>
      <c r="AR189" s="305">
        <v>0</v>
      </c>
      <c r="AS189" s="305">
        <v>16030.243919636299</v>
      </c>
      <c r="AT189" s="305">
        <v>0</v>
      </c>
      <c r="AU189" s="305">
        <v>0</v>
      </c>
      <c r="AV189" s="305">
        <v>0</v>
      </c>
      <c r="AW189" s="305">
        <v>0</v>
      </c>
      <c r="AX189" s="305">
        <v>0</v>
      </c>
      <c r="AY189" s="305">
        <v>0</v>
      </c>
      <c r="AZ189" s="305">
        <v>0</v>
      </c>
      <c r="BA189" s="305">
        <v>0</v>
      </c>
      <c r="BB189" s="305">
        <v>0</v>
      </c>
      <c r="BC189" s="305">
        <v>0</v>
      </c>
      <c r="BD189" s="305">
        <v>0</v>
      </c>
      <c r="BE189" s="305">
        <v>0</v>
      </c>
      <c r="BF189" s="305">
        <v>0</v>
      </c>
    </row>
    <row r="190" spans="1:95">
      <c r="A190" s="304" t="s">
        <v>750</v>
      </c>
      <c r="B190" s="305">
        <v>0</v>
      </c>
      <c r="C190" s="305">
        <v>0</v>
      </c>
      <c r="D190" s="305">
        <v>0</v>
      </c>
      <c r="E190" s="305">
        <v>0</v>
      </c>
      <c r="F190" s="305">
        <v>0</v>
      </c>
      <c r="G190" s="305">
        <v>0</v>
      </c>
      <c r="H190" s="305">
        <v>0</v>
      </c>
      <c r="I190" s="305">
        <v>0</v>
      </c>
      <c r="J190" s="305">
        <v>0</v>
      </c>
      <c r="K190" s="305">
        <v>0</v>
      </c>
      <c r="L190" s="305">
        <v>0</v>
      </c>
      <c r="M190" s="305">
        <v>0</v>
      </c>
      <c r="N190" s="305">
        <v>0</v>
      </c>
      <c r="O190" s="305">
        <v>0</v>
      </c>
      <c r="P190" s="305">
        <v>0</v>
      </c>
      <c r="Q190" s="305">
        <v>0</v>
      </c>
      <c r="R190" s="305">
        <v>0</v>
      </c>
      <c r="S190" s="305">
        <v>0</v>
      </c>
      <c r="T190" s="305">
        <v>0</v>
      </c>
      <c r="U190" s="305">
        <v>0</v>
      </c>
      <c r="V190" s="305">
        <v>0</v>
      </c>
      <c r="W190" s="305">
        <v>0</v>
      </c>
      <c r="X190" s="305">
        <v>0</v>
      </c>
      <c r="Y190" s="305">
        <v>0</v>
      </c>
      <c r="Z190" s="305">
        <v>0</v>
      </c>
      <c r="AA190" s="305">
        <v>0</v>
      </c>
      <c r="AB190" s="305">
        <v>0</v>
      </c>
      <c r="AC190" s="305">
        <v>0</v>
      </c>
      <c r="AD190" s="305">
        <v>0</v>
      </c>
      <c r="AE190" s="305">
        <v>0</v>
      </c>
      <c r="AF190" s="305">
        <v>0</v>
      </c>
      <c r="AG190" s="305">
        <v>0</v>
      </c>
      <c r="AH190" s="305">
        <v>0</v>
      </c>
      <c r="AI190" s="305">
        <v>0</v>
      </c>
      <c r="AJ190" s="305">
        <v>0</v>
      </c>
      <c r="AK190" s="305">
        <v>0</v>
      </c>
      <c r="AL190" s="305">
        <v>0</v>
      </c>
      <c r="AM190" s="305">
        <v>0</v>
      </c>
      <c r="AN190" s="305">
        <v>0</v>
      </c>
      <c r="AO190" s="305">
        <v>0</v>
      </c>
      <c r="AP190" s="305">
        <v>0</v>
      </c>
      <c r="AQ190" s="305">
        <v>3202004.12978845</v>
      </c>
      <c r="AR190" s="305">
        <v>0</v>
      </c>
      <c r="AS190" s="305">
        <v>0</v>
      </c>
      <c r="AT190" s="305">
        <v>0</v>
      </c>
      <c r="AU190" s="305">
        <v>0</v>
      </c>
      <c r="AV190" s="305">
        <v>0</v>
      </c>
      <c r="AW190" s="305">
        <v>0</v>
      </c>
      <c r="AX190" s="305">
        <v>0</v>
      </c>
      <c r="AY190" s="305">
        <v>0</v>
      </c>
      <c r="AZ190" s="305">
        <v>0</v>
      </c>
      <c r="BA190" s="305">
        <v>0</v>
      </c>
      <c r="BB190" s="305">
        <v>0</v>
      </c>
      <c r="BC190" s="305">
        <v>0</v>
      </c>
      <c r="BD190" s="305">
        <v>0</v>
      </c>
      <c r="BE190" s="305">
        <v>0</v>
      </c>
      <c r="BF190" s="305">
        <v>0</v>
      </c>
    </row>
    <row r="191" spans="1:95">
      <c r="A191" s="304" t="s">
        <v>687</v>
      </c>
      <c r="B191" s="305">
        <v>0</v>
      </c>
      <c r="C191" s="305">
        <v>0</v>
      </c>
      <c r="D191" s="305">
        <v>0</v>
      </c>
      <c r="E191" s="305">
        <v>0</v>
      </c>
      <c r="F191" s="305">
        <v>0</v>
      </c>
      <c r="G191" s="305">
        <v>0</v>
      </c>
      <c r="H191" s="305">
        <v>0</v>
      </c>
      <c r="I191" s="305">
        <v>0</v>
      </c>
      <c r="J191" s="305">
        <v>0</v>
      </c>
      <c r="K191" s="305">
        <v>0</v>
      </c>
      <c r="L191" s="305">
        <v>0</v>
      </c>
      <c r="M191" s="305">
        <v>0</v>
      </c>
      <c r="N191" s="305">
        <v>0</v>
      </c>
      <c r="O191" s="305">
        <v>0</v>
      </c>
      <c r="P191" s="305">
        <v>0</v>
      </c>
      <c r="Q191" s="305">
        <v>0</v>
      </c>
      <c r="R191" s="305">
        <v>0</v>
      </c>
      <c r="S191" s="305">
        <v>0</v>
      </c>
      <c r="T191" s="305">
        <v>0</v>
      </c>
      <c r="U191" s="305">
        <v>0</v>
      </c>
      <c r="V191" s="305">
        <v>0</v>
      </c>
      <c r="W191" s="305">
        <v>0</v>
      </c>
      <c r="X191" s="305">
        <v>0</v>
      </c>
      <c r="Y191" s="305">
        <v>0</v>
      </c>
      <c r="Z191" s="305">
        <v>0</v>
      </c>
      <c r="AA191" s="305">
        <v>0</v>
      </c>
      <c r="AB191" s="305">
        <v>0</v>
      </c>
      <c r="AC191" s="305">
        <v>0</v>
      </c>
      <c r="AD191" s="305">
        <v>0</v>
      </c>
      <c r="AE191" s="305">
        <v>0</v>
      </c>
      <c r="AF191" s="305">
        <v>0</v>
      </c>
      <c r="AG191" s="305">
        <v>0</v>
      </c>
      <c r="AH191" s="305">
        <v>0</v>
      </c>
      <c r="AI191" s="305">
        <v>0</v>
      </c>
      <c r="AJ191" s="305">
        <v>0</v>
      </c>
      <c r="AK191" s="305">
        <v>0</v>
      </c>
      <c r="AL191" s="305">
        <v>0</v>
      </c>
      <c r="AM191" s="305">
        <v>0</v>
      </c>
      <c r="AN191" s="305">
        <v>0</v>
      </c>
      <c r="AO191" s="305">
        <v>0</v>
      </c>
      <c r="AP191" s="305">
        <v>0</v>
      </c>
      <c r="AQ191" s="305">
        <v>0</v>
      </c>
      <c r="AR191" s="305">
        <v>0</v>
      </c>
      <c r="AS191" s="305">
        <v>0</v>
      </c>
      <c r="AT191" s="305">
        <v>0</v>
      </c>
      <c r="AU191" s="305">
        <v>0</v>
      </c>
      <c r="AV191" s="305">
        <v>0</v>
      </c>
      <c r="AW191" s="305">
        <v>0</v>
      </c>
      <c r="AX191" s="305">
        <v>0</v>
      </c>
      <c r="AY191" s="305">
        <v>0</v>
      </c>
      <c r="AZ191" s="305">
        <v>0</v>
      </c>
      <c r="BA191" s="305">
        <v>0</v>
      </c>
      <c r="BB191" s="305">
        <v>0</v>
      </c>
      <c r="BC191" s="305">
        <v>4043367.3234254499</v>
      </c>
      <c r="BD191" s="305">
        <v>0</v>
      </c>
      <c r="BE191" s="305">
        <v>0</v>
      </c>
      <c r="BF191" s="305">
        <v>0</v>
      </c>
    </row>
    <row r="192" spans="1:95">
      <c r="A192" s="304" t="s">
        <v>688</v>
      </c>
      <c r="B192" s="305">
        <v>0</v>
      </c>
      <c r="C192" s="305">
        <v>0</v>
      </c>
      <c r="D192" s="305">
        <v>0</v>
      </c>
      <c r="E192" s="305">
        <v>0</v>
      </c>
      <c r="F192" s="305">
        <v>0</v>
      </c>
      <c r="G192" s="305">
        <v>0</v>
      </c>
      <c r="H192" s="305">
        <v>0</v>
      </c>
      <c r="I192" s="305">
        <v>0</v>
      </c>
      <c r="J192" s="305">
        <v>0</v>
      </c>
      <c r="K192" s="305">
        <v>0</v>
      </c>
      <c r="L192" s="305">
        <v>0</v>
      </c>
      <c r="M192" s="305">
        <v>0</v>
      </c>
      <c r="N192" s="305">
        <v>0</v>
      </c>
      <c r="O192" s="305">
        <v>0</v>
      </c>
      <c r="P192" s="305">
        <v>0</v>
      </c>
      <c r="Q192" s="305">
        <v>0</v>
      </c>
      <c r="R192" s="305">
        <v>0</v>
      </c>
      <c r="S192" s="305">
        <v>0</v>
      </c>
      <c r="T192" s="305">
        <v>0</v>
      </c>
      <c r="U192" s="305">
        <v>0</v>
      </c>
      <c r="V192" s="305">
        <v>0</v>
      </c>
      <c r="W192" s="305">
        <v>0</v>
      </c>
      <c r="X192" s="305">
        <v>0</v>
      </c>
      <c r="Y192" s="305">
        <v>0</v>
      </c>
      <c r="Z192" s="305">
        <v>0</v>
      </c>
      <c r="AA192" s="305">
        <v>0</v>
      </c>
      <c r="AB192" s="305">
        <v>0</v>
      </c>
      <c r="AC192" s="305">
        <v>0</v>
      </c>
      <c r="AD192" s="305">
        <v>0</v>
      </c>
      <c r="AE192" s="305">
        <v>0</v>
      </c>
      <c r="AF192" s="305">
        <v>0</v>
      </c>
      <c r="AG192" s="305">
        <v>0</v>
      </c>
      <c r="AH192" s="305">
        <v>0</v>
      </c>
      <c r="AI192" s="305">
        <v>0</v>
      </c>
      <c r="AJ192" s="305">
        <v>0</v>
      </c>
      <c r="AK192" s="305">
        <v>0</v>
      </c>
      <c r="AL192" s="305">
        <v>0</v>
      </c>
      <c r="AM192" s="305">
        <v>0</v>
      </c>
      <c r="AN192" s="305">
        <v>0</v>
      </c>
      <c r="AO192" s="305">
        <v>0</v>
      </c>
      <c r="AP192" s="305">
        <v>0</v>
      </c>
      <c r="AQ192" s="305">
        <v>0</v>
      </c>
      <c r="AR192" s="305">
        <v>0</v>
      </c>
      <c r="AS192" s="305">
        <v>0</v>
      </c>
      <c r="AT192" s="305">
        <v>0</v>
      </c>
      <c r="AU192" s="305">
        <v>0</v>
      </c>
      <c r="AV192" s="305">
        <v>0</v>
      </c>
      <c r="AW192" s="305">
        <v>0</v>
      </c>
      <c r="AX192" s="305">
        <v>0</v>
      </c>
      <c r="AY192" s="305">
        <v>0</v>
      </c>
      <c r="AZ192" s="305">
        <v>0</v>
      </c>
      <c r="BA192" s="305">
        <v>0</v>
      </c>
      <c r="BB192" s="305">
        <v>0</v>
      </c>
      <c r="BC192" s="305">
        <v>0</v>
      </c>
      <c r="BD192" s="305">
        <v>4043367.3234254499</v>
      </c>
      <c r="BE192" s="305">
        <v>0</v>
      </c>
      <c r="BF192" s="305">
        <v>0</v>
      </c>
    </row>
    <row r="193" spans="1:58">
      <c r="A193" s="304" t="s">
        <v>689</v>
      </c>
      <c r="B193" s="305">
        <v>6408288.6211381704</v>
      </c>
      <c r="C193" s="305">
        <v>0</v>
      </c>
      <c r="D193" s="305">
        <v>8991.6203231094005</v>
      </c>
      <c r="E193" s="305">
        <v>0</v>
      </c>
      <c r="F193" s="305">
        <v>0</v>
      </c>
      <c r="G193" s="305">
        <v>0</v>
      </c>
      <c r="H193" s="305">
        <v>0</v>
      </c>
      <c r="I193" s="305">
        <v>0</v>
      </c>
      <c r="J193" s="305">
        <v>0</v>
      </c>
      <c r="K193" s="305">
        <v>4026178.1360752499</v>
      </c>
      <c r="L193" s="305">
        <v>0</v>
      </c>
      <c r="M193" s="305">
        <v>0</v>
      </c>
      <c r="N193" s="305">
        <v>0</v>
      </c>
      <c r="O193" s="305">
        <v>303788.26554911397</v>
      </c>
      <c r="P193" s="305">
        <v>0</v>
      </c>
      <c r="Q193" s="305">
        <v>0</v>
      </c>
      <c r="R193" s="305">
        <v>0</v>
      </c>
      <c r="S193" s="305">
        <v>0</v>
      </c>
      <c r="T193" s="305">
        <v>0</v>
      </c>
      <c r="U193" s="305">
        <v>0</v>
      </c>
      <c r="V193" s="305">
        <v>0</v>
      </c>
      <c r="W193" s="305">
        <v>0</v>
      </c>
      <c r="X193" s="305">
        <v>0</v>
      </c>
      <c r="Y193" s="305">
        <v>0</v>
      </c>
      <c r="Z193" s="305">
        <v>0</v>
      </c>
      <c r="AA193" s="305">
        <v>0</v>
      </c>
      <c r="AB193" s="305">
        <v>0</v>
      </c>
      <c r="AC193" s="305">
        <v>0</v>
      </c>
      <c r="AD193" s="305">
        <v>0</v>
      </c>
      <c r="AE193" s="305">
        <v>0</v>
      </c>
      <c r="AF193" s="305">
        <v>0</v>
      </c>
      <c r="AG193" s="305">
        <v>0</v>
      </c>
      <c r="AH193" s="305">
        <v>0</v>
      </c>
      <c r="AI193" s="305">
        <v>0</v>
      </c>
      <c r="AJ193" s="305">
        <v>0</v>
      </c>
      <c r="AK193" s="305">
        <v>0</v>
      </c>
      <c r="AL193" s="305">
        <v>0</v>
      </c>
      <c r="AM193" s="305">
        <v>0</v>
      </c>
      <c r="AN193" s="305">
        <v>0</v>
      </c>
      <c r="AO193" s="305">
        <v>0</v>
      </c>
      <c r="AP193" s="305">
        <v>0</v>
      </c>
      <c r="AQ193" s="305">
        <v>0</v>
      </c>
      <c r="AR193" s="305">
        <v>0</v>
      </c>
      <c r="AS193" s="305">
        <v>0</v>
      </c>
      <c r="AT193" s="305">
        <v>0</v>
      </c>
      <c r="AU193" s="305">
        <v>0</v>
      </c>
      <c r="AV193" s="305">
        <v>0</v>
      </c>
      <c r="AW193" s="305">
        <v>0</v>
      </c>
      <c r="AX193" s="305">
        <v>0</v>
      </c>
      <c r="AY193" s="305">
        <v>0</v>
      </c>
      <c r="AZ193" s="305">
        <v>0</v>
      </c>
      <c r="BA193" s="305">
        <v>0</v>
      </c>
      <c r="BB193" s="305">
        <v>955411.77850757004</v>
      </c>
      <c r="BC193" s="305">
        <v>0</v>
      </c>
      <c r="BD193" s="305">
        <v>0</v>
      </c>
      <c r="BE193" s="305">
        <v>0</v>
      </c>
      <c r="BF193" s="305">
        <v>0</v>
      </c>
    </row>
    <row r="194" spans="1:58">
      <c r="A194" s="304" t="s">
        <v>751</v>
      </c>
      <c r="B194" s="305">
        <v>0</v>
      </c>
      <c r="C194" s="305">
        <v>0</v>
      </c>
      <c r="D194" s="305">
        <v>0</v>
      </c>
      <c r="E194" s="305">
        <v>0</v>
      </c>
      <c r="F194" s="305">
        <v>0</v>
      </c>
      <c r="G194" s="305">
        <v>0</v>
      </c>
      <c r="H194" s="305">
        <v>0</v>
      </c>
      <c r="I194" s="305">
        <v>0</v>
      </c>
      <c r="J194" s="305">
        <v>0</v>
      </c>
      <c r="K194" s="305">
        <v>0</v>
      </c>
      <c r="L194" s="305">
        <v>0</v>
      </c>
      <c r="M194" s="305">
        <v>0</v>
      </c>
      <c r="N194" s="305">
        <v>0</v>
      </c>
      <c r="O194" s="305">
        <v>0</v>
      </c>
      <c r="P194" s="305">
        <v>0</v>
      </c>
      <c r="Q194" s="305">
        <v>0</v>
      </c>
      <c r="R194" s="305">
        <v>0</v>
      </c>
      <c r="S194" s="305">
        <v>0</v>
      </c>
      <c r="T194" s="305">
        <v>0</v>
      </c>
      <c r="U194" s="305">
        <v>0</v>
      </c>
      <c r="V194" s="305">
        <v>0</v>
      </c>
      <c r="W194" s="305">
        <v>0</v>
      </c>
      <c r="X194" s="305">
        <v>0</v>
      </c>
      <c r="Y194" s="305">
        <v>0</v>
      </c>
      <c r="Z194" s="305">
        <v>0</v>
      </c>
      <c r="AA194" s="305">
        <v>0</v>
      </c>
      <c r="AB194" s="305">
        <v>0</v>
      </c>
      <c r="AC194" s="305">
        <v>0</v>
      </c>
      <c r="AD194" s="305">
        <v>0</v>
      </c>
      <c r="AE194" s="305">
        <v>0</v>
      </c>
      <c r="AF194" s="305">
        <v>0</v>
      </c>
      <c r="AG194" s="305">
        <v>0</v>
      </c>
      <c r="AH194" s="305">
        <v>0</v>
      </c>
      <c r="AI194" s="305">
        <v>0</v>
      </c>
      <c r="AJ194" s="305">
        <v>0</v>
      </c>
      <c r="AK194" s="305">
        <v>0</v>
      </c>
      <c r="AL194" s="305">
        <v>0</v>
      </c>
      <c r="AM194" s="305">
        <v>0</v>
      </c>
      <c r="AN194" s="305">
        <v>0</v>
      </c>
      <c r="AO194" s="305">
        <v>0</v>
      </c>
      <c r="AP194" s="305">
        <v>0</v>
      </c>
      <c r="AQ194" s="305">
        <v>0</v>
      </c>
      <c r="AR194" s="305">
        <v>0</v>
      </c>
      <c r="AS194" s="305">
        <v>5653.4469866310001</v>
      </c>
      <c r="AT194" s="305">
        <v>0</v>
      </c>
      <c r="AU194" s="305">
        <v>0</v>
      </c>
      <c r="AV194" s="305">
        <v>0</v>
      </c>
      <c r="AW194" s="305">
        <v>0</v>
      </c>
      <c r="AX194" s="305">
        <v>0</v>
      </c>
      <c r="AY194" s="305">
        <v>0</v>
      </c>
      <c r="AZ194" s="305">
        <v>0</v>
      </c>
      <c r="BA194" s="305">
        <v>0</v>
      </c>
      <c r="BB194" s="305">
        <v>0</v>
      </c>
      <c r="BC194" s="305">
        <v>0</v>
      </c>
      <c r="BD194" s="305">
        <v>0</v>
      </c>
      <c r="BE194" s="305">
        <v>0</v>
      </c>
      <c r="BF194" s="305">
        <v>0</v>
      </c>
    </row>
    <row r="195" spans="1:58">
      <c r="A195" s="304" t="s">
        <v>690</v>
      </c>
      <c r="B195" s="305">
        <v>0</v>
      </c>
      <c r="C195" s="305">
        <v>0</v>
      </c>
      <c r="D195" s="305">
        <v>0</v>
      </c>
      <c r="E195" s="305">
        <v>0</v>
      </c>
      <c r="F195" s="305">
        <v>0</v>
      </c>
      <c r="G195" s="305">
        <v>0</v>
      </c>
      <c r="H195" s="305">
        <v>0</v>
      </c>
      <c r="I195" s="305">
        <v>0</v>
      </c>
      <c r="J195" s="305">
        <v>0</v>
      </c>
      <c r="K195" s="305">
        <v>0</v>
      </c>
      <c r="L195" s="305">
        <v>0</v>
      </c>
      <c r="M195" s="305">
        <v>0</v>
      </c>
      <c r="N195" s="305">
        <v>0</v>
      </c>
      <c r="O195" s="305">
        <v>0</v>
      </c>
      <c r="P195" s="305">
        <v>0</v>
      </c>
      <c r="Q195" s="305">
        <v>0</v>
      </c>
      <c r="R195" s="305">
        <v>0</v>
      </c>
      <c r="S195" s="305">
        <v>0</v>
      </c>
      <c r="T195" s="305">
        <v>0</v>
      </c>
      <c r="U195" s="305">
        <v>0</v>
      </c>
      <c r="V195" s="305">
        <v>0</v>
      </c>
      <c r="W195" s="305">
        <v>0</v>
      </c>
      <c r="X195" s="305">
        <v>0</v>
      </c>
      <c r="Y195" s="305">
        <v>88071.706245154506</v>
      </c>
      <c r="Z195" s="305">
        <v>0</v>
      </c>
      <c r="AA195" s="305">
        <v>0</v>
      </c>
      <c r="AB195" s="305">
        <v>0</v>
      </c>
      <c r="AC195" s="305">
        <v>21722.892325740399</v>
      </c>
      <c r="AD195" s="305">
        <v>0</v>
      </c>
      <c r="AE195" s="305">
        <v>0</v>
      </c>
      <c r="AF195" s="305">
        <v>0</v>
      </c>
      <c r="AG195" s="305">
        <v>0</v>
      </c>
      <c r="AH195" s="305">
        <v>0</v>
      </c>
      <c r="AI195" s="305">
        <v>0</v>
      </c>
      <c r="AJ195" s="305">
        <v>0</v>
      </c>
      <c r="AK195" s="305">
        <v>0</v>
      </c>
      <c r="AL195" s="305">
        <v>0</v>
      </c>
      <c r="AM195" s="305">
        <v>0</v>
      </c>
      <c r="AN195" s="305">
        <v>0</v>
      </c>
      <c r="AO195" s="305">
        <v>0</v>
      </c>
      <c r="AP195" s="305">
        <v>0</v>
      </c>
      <c r="AQ195" s="305">
        <v>0</v>
      </c>
      <c r="AR195" s="305">
        <v>0</v>
      </c>
      <c r="AS195" s="305">
        <v>0</v>
      </c>
      <c r="AT195" s="305">
        <v>0</v>
      </c>
      <c r="AU195" s="305">
        <v>0</v>
      </c>
      <c r="AV195" s="305">
        <v>0</v>
      </c>
      <c r="AW195" s="305">
        <v>0</v>
      </c>
      <c r="AX195" s="305">
        <v>0</v>
      </c>
      <c r="AY195" s="305">
        <v>0</v>
      </c>
      <c r="AZ195" s="305">
        <v>0</v>
      </c>
      <c r="BA195" s="305">
        <v>0</v>
      </c>
      <c r="BB195" s="305">
        <v>0</v>
      </c>
      <c r="BC195" s="305">
        <v>0</v>
      </c>
      <c r="BD195" s="305">
        <v>0</v>
      </c>
      <c r="BE195" s="305">
        <v>0</v>
      </c>
      <c r="BF195" s="305">
        <v>0</v>
      </c>
    </row>
    <row r="196" spans="1:58">
      <c r="A196" s="304" t="s">
        <v>691</v>
      </c>
      <c r="B196" s="305">
        <v>0</v>
      </c>
      <c r="C196" s="305">
        <v>0</v>
      </c>
      <c r="D196" s="305">
        <v>0</v>
      </c>
      <c r="E196" s="305">
        <v>0</v>
      </c>
      <c r="F196" s="305">
        <v>0</v>
      </c>
      <c r="G196" s="305">
        <v>0</v>
      </c>
      <c r="H196" s="305">
        <v>0</v>
      </c>
      <c r="I196" s="305">
        <v>0</v>
      </c>
      <c r="J196" s="305">
        <v>0</v>
      </c>
      <c r="K196" s="305">
        <v>0</v>
      </c>
      <c r="L196" s="305">
        <v>0</v>
      </c>
      <c r="M196" s="305">
        <v>0</v>
      </c>
      <c r="N196" s="305">
        <v>0</v>
      </c>
      <c r="O196" s="305">
        <v>0</v>
      </c>
      <c r="P196" s="305">
        <v>2244.7960862667501</v>
      </c>
      <c r="Q196" s="305">
        <v>0</v>
      </c>
      <c r="R196" s="305">
        <v>0</v>
      </c>
      <c r="S196" s="305">
        <v>0</v>
      </c>
      <c r="T196" s="305">
        <v>0</v>
      </c>
      <c r="U196" s="305">
        <v>0</v>
      </c>
      <c r="V196" s="305">
        <v>0</v>
      </c>
      <c r="W196" s="305">
        <v>0</v>
      </c>
      <c r="X196" s="305">
        <v>0</v>
      </c>
      <c r="Y196" s="305">
        <v>0</v>
      </c>
      <c r="Z196" s="305">
        <v>108184.85967288</v>
      </c>
      <c r="AA196" s="305">
        <v>0</v>
      </c>
      <c r="AB196" s="305">
        <v>0</v>
      </c>
      <c r="AC196" s="305">
        <v>0</v>
      </c>
      <c r="AD196" s="305">
        <v>0</v>
      </c>
      <c r="AE196" s="305">
        <v>0</v>
      </c>
      <c r="AF196" s="305">
        <v>0</v>
      </c>
      <c r="AG196" s="305">
        <v>0</v>
      </c>
      <c r="AH196" s="305">
        <v>0</v>
      </c>
      <c r="AI196" s="305">
        <v>0</v>
      </c>
      <c r="AJ196" s="305">
        <v>0</v>
      </c>
      <c r="AK196" s="305">
        <v>0</v>
      </c>
      <c r="AL196" s="305">
        <v>0</v>
      </c>
      <c r="AM196" s="305">
        <v>0</v>
      </c>
      <c r="AN196" s="305">
        <v>0</v>
      </c>
      <c r="AO196" s="305">
        <v>0</v>
      </c>
      <c r="AP196" s="305">
        <v>0</v>
      </c>
      <c r="AQ196" s="305">
        <v>0</v>
      </c>
      <c r="AR196" s="305">
        <v>0</v>
      </c>
      <c r="AS196" s="305">
        <v>0</v>
      </c>
      <c r="AT196" s="305">
        <v>0</v>
      </c>
      <c r="AU196" s="305">
        <v>0</v>
      </c>
      <c r="AV196" s="305">
        <v>0</v>
      </c>
      <c r="AW196" s="305">
        <v>0</v>
      </c>
      <c r="AX196" s="305">
        <v>0</v>
      </c>
      <c r="AY196" s="305">
        <v>0</v>
      </c>
      <c r="AZ196" s="305">
        <v>0</v>
      </c>
      <c r="BA196" s="305">
        <v>0</v>
      </c>
      <c r="BB196" s="305">
        <v>0</v>
      </c>
      <c r="BC196" s="305">
        <v>0</v>
      </c>
      <c r="BD196" s="305">
        <v>0</v>
      </c>
      <c r="BE196" s="305">
        <v>0</v>
      </c>
      <c r="BF196" s="305">
        <v>0</v>
      </c>
    </row>
    <row r="197" spans="1:58">
      <c r="A197" s="304" t="s">
        <v>692</v>
      </c>
      <c r="B197" s="305">
        <v>0</v>
      </c>
      <c r="C197" s="305">
        <v>0</v>
      </c>
      <c r="D197" s="305">
        <v>0</v>
      </c>
      <c r="E197" s="305">
        <v>0</v>
      </c>
      <c r="F197" s="305">
        <v>0</v>
      </c>
      <c r="G197" s="305">
        <v>0</v>
      </c>
      <c r="H197" s="305">
        <v>0</v>
      </c>
      <c r="I197" s="305">
        <v>0</v>
      </c>
      <c r="J197" s="305">
        <v>0</v>
      </c>
      <c r="K197" s="305">
        <v>0</v>
      </c>
      <c r="L197" s="305">
        <v>0</v>
      </c>
      <c r="M197" s="305">
        <v>0</v>
      </c>
      <c r="N197" s="305">
        <v>0</v>
      </c>
      <c r="O197" s="305">
        <v>0</v>
      </c>
      <c r="P197" s="305">
        <v>0</v>
      </c>
      <c r="Q197" s="305">
        <v>0</v>
      </c>
      <c r="R197" s="305">
        <v>0</v>
      </c>
      <c r="S197" s="305">
        <v>0</v>
      </c>
      <c r="T197" s="305">
        <v>0</v>
      </c>
      <c r="U197" s="305">
        <v>0</v>
      </c>
      <c r="V197" s="305">
        <v>0</v>
      </c>
      <c r="W197" s="305">
        <v>0</v>
      </c>
      <c r="X197" s="305">
        <v>0</v>
      </c>
      <c r="Y197" s="305">
        <v>0</v>
      </c>
      <c r="Z197" s="305">
        <v>0</v>
      </c>
      <c r="AA197" s="305">
        <v>108184.85967288</v>
      </c>
      <c r="AB197" s="305">
        <v>0</v>
      </c>
      <c r="AC197" s="305">
        <v>0</v>
      </c>
      <c r="AD197" s="305">
        <v>0</v>
      </c>
      <c r="AE197" s="305">
        <v>0</v>
      </c>
      <c r="AF197" s="305">
        <v>0</v>
      </c>
      <c r="AG197" s="305">
        <v>0</v>
      </c>
      <c r="AH197" s="305">
        <v>0</v>
      </c>
      <c r="AI197" s="305">
        <v>0</v>
      </c>
      <c r="AJ197" s="305">
        <v>0</v>
      </c>
      <c r="AK197" s="305">
        <v>0</v>
      </c>
      <c r="AL197" s="305">
        <v>0</v>
      </c>
      <c r="AM197" s="305">
        <v>0</v>
      </c>
      <c r="AN197" s="305">
        <v>0</v>
      </c>
      <c r="AO197" s="305">
        <v>0</v>
      </c>
      <c r="AP197" s="305">
        <v>0</v>
      </c>
      <c r="AQ197" s="305">
        <v>0</v>
      </c>
      <c r="AR197" s="305">
        <v>0</v>
      </c>
      <c r="AS197" s="305">
        <v>0</v>
      </c>
      <c r="AT197" s="305">
        <v>0</v>
      </c>
      <c r="AU197" s="305">
        <v>0</v>
      </c>
      <c r="AV197" s="305">
        <v>0</v>
      </c>
      <c r="AW197" s="305">
        <v>0</v>
      </c>
      <c r="AX197" s="305">
        <v>0</v>
      </c>
      <c r="AY197" s="305">
        <v>0</v>
      </c>
      <c r="AZ197" s="305">
        <v>0</v>
      </c>
      <c r="BA197" s="305">
        <v>0</v>
      </c>
      <c r="BB197" s="305">
        <v>0</v>
      </c>
      <c r="BC197" s="305">
        <v>0</v>
      </c>
      <c r="BD197" s="305">
        <v>0</v>
      </c>
      <c r="BE197" s="305">
        <v>0</v>
      </c>
      <c r="BF197" s="305">
        <v>0</v>
      </c>
    </row>
    <row r="198" spans="1:58">
      <c r="A198" s="304" t="s">
        <v>693</v>
      </c>
      <c r="B198" s="305">
        <v>0</v>
      </c>
      <c r="C198" s="305">
        <v>0</v>
      </c>
      <c r="D198" s="305">
        <v>0</v>
      </c>
      <c r="E198" s="305">
        <v>0</v>
      </c>
      <c r="F198" s="305">
        <v>0</v>
      </c>
      <c r="G198" s="305">
        <v>0</v>
      </c>
      <c r="H198" s="305">
        <v>0</v>
      </c>
      <c r="I198" s="305">
        <v>0</v>
      </c>
      <c r="J198" s="305">
        <v>0</v>
      </c>
      <c r="K198" s="305">
        <v>0</v>
      </c>
      <c r="L198" s="305">
        <v>0</v>
      </c>
      <c r="M198" s="305">
        <v>0</v>
      </c>
      <c r="N198" s="305">
        <v>0</v>
      </c>
      <c r="O198" s="305">
        <v>0</v>
      </c>
      <c r="P198" s="305">
        <v>0</v>
      </c>
      <c r="Q198" s="305">
        <v>0</v>
      </c>
      <c r="R198" s="305">
        <v>0</v>
      </c>
      <c r="S198" s="305">
        <v>0</v>
      </c>
      <c r="T198" s="305">
        <v>0</v>
      </c>
      <c r="U198" s="305">
        <v>0</v>
      </c>
      <c r="V198" s="305">
        <v>0</v>
      </c>
      <c r="W198" s="305">
        <v>0</v>
      </c>
      <c r="X198" s="305">
        <v>0</v>
      </c>
      <c r="Y198" s="305">
        <v>0</v>
      </c>
      <c r="Z198" s="305">
        <v>0</v>
      </c>
      <c r="AA198" s="305">
        <v>0</v>
      </c>
      <c r="AB198" s="305">
        <v>0</v>
      </c>
      <c r="AC198" s="305">
        <v>0</v>
      </c>
      <c r="AD198" s="305">
        <v>0</v>
      </c>
      <c r="AE198" s="305">
        <v>25297.051877142199</v>
      </c>
      <c r="AF198" s="305">
        <v>0</v>
      </c>
      <c r="AG198" s="305">
        <v>0</v>
      </c>
      <c r="AH198" s="305">
        <v>0</v>
      </c>
      <c r="AI198" s="305">
        <v>0</v>
      </c>
      <c r="AJ198" s="305">
        <v>0</v>
      </c>
      <c r="AK198" s="305">
        <v>0</v>
      </c>
      <c r="AL198" s="305">
        <v>0</v>
      </c>
      <c r="AM198" s="305">
        <v>0</v>
      </c>
      <c r="AN198" s="305">
        <v>0</v>
      </c>
      <c r="AO198" s="305">
        <v>0</v>
      </c>
      <c r="AP198" s="305">
        <v>0</v>
      </c>
      <c r="AQ198" s="305">
        <v>0</v>
      </c>
      <c r="AR198" s="305">
        <v>0</v>
      </c>
      <c r="AS198" s="305">
        <v>0</v>
      </c>
      <c r="AT198" s="305">
        <v>0</v>
      </c>
      <c r="AU198" s="305">
        <v>0</v>
      </c>
      <c r="AV198" s="305">
        <v>0</v>
      </c>
      <c r="AW198" s="305">
        <v>0</v>
      </c>
      <c r="AX198" s="305">
        <v>0</v>
      </c>
      <c r="AY198" s="305">
        <v>0</v>
      </c>
      <c r="AZ198" s="305">
        <v>0</v>
      </c>
      <c r="BA198" s="305">
        <v>0</v>
      </c>
      <c r="BB198" s="305">
        <v>0</v>
      </c>
      <c r="BC198" s="305">
        <v>0</v>
      </c>
      <c r="BD198" s="305">
        <v>0</v>
      </c>
      <c r="BE198" s="305">
        <v>0</v>
      </c>
      <c r="BF198" s="305">
        <v>0</v>
      </c>
    </row>
    <row r="199" spans="1:58">
      <c r="A199" s="304" t="s">
        <v>694</v>
      </c>
      <c r="B199" s="305">
        <v>0</v>
      </c>
      <c r="C199" s="305">
        <v>0</v>
      </c>
      <c r="D199" s="305">
        <v>0</v>
      </c>
      <c r="E199" s="305">
        <v>0</v>
      </c>
      <c r="F199" s="305">
        <v>0</v>
      </c>
      <c r="G199" s="305">
        <v>0</v>
      </c>
      <c r="H199" s="305">
        <v>0</v>
      </c>
      <c r="I199" s="305">
        <v>0</v>
      </c>
      <c r="J199" s="305">
        <v>0</v>
      </c>
      <c r="K199" s="305">
        <v>0</v>
      </c>
      <c r="L199" s="305">
        <v>0</v>
      </c>
      <c r="M199" s="305">
        <v>0</v>
      </c>
      <c r="N199" s="305">
        <v>0</v>
      </c>
      <c r="O199" s="305">
        <v>0</v>
      </c>
      <c r="P199" s="305">
        <v>0</v>
      </c>
      <c r="Q199" s="305">
        <v>6.7177820097776797</v>
      </c>
      <c r="R199" s="305">
        <v>0</v>
      </c>
      <c r="S199" s="305">
        <v>0</v>
      </c>
      <c r="T199" s="305">
        <v>0</v>
      </c>
      <c r="U199" s="305">
        <v>0</v>
      </c>
      <c r="V199" s="305">
        <v>0</v>
      </c>
      <c r="W199" s="305">
        <v>0</v>
      </c>
      <c r="X199" s="305">
        <v>0</v>
      </c>
      <c r="Y199" s="305">
        <v>0</v>
      </c>
      <c r="Z199" s="305">
        <v>0</v>
      </c>
      <c r="AA199" s="305">
        <v>0</v>
      </c>
      <c r="AB199" s="305">
        <v>0</v>
      </c>
      <c r="AC199" s="305">
        <v>0</v>
      </c>
      <c r="AD199" s="305">
        <v>0</v>
      </c>
      <c r="AE199" s="305">
        <v>0</v>
      </c>
      <c r="AF199" s="305">
        <v>25297.051877142199</v>
      </c>
      <c r="AG199" s="305">
        <v>0</v>
      </c>
      <c r="AH199" s="305">
        <v>0</v>
      </c>
      <c r="AI199" s="305">
        <v>0</v>
      </c>
      <c r="AJ199" s="305">
        <v>0</v>
      </c>
      <c r="AK199" s="305">
        <v>0</v>
      </c>
      <c r="AL199" s="305">
        <v>0</v>
      </c>
      <c r="AM199" s="305">
        <v>0</v>
      </c>
      <c r="AN199" s="305">
        <v>0</v>
      </c>
      <c r="AO199" s="305">
        <v>0</v>
      </c>
      <c r="AP199" s="305">
        <v>0</v>
      </c>
      <c r="AQ199" s="305">
        <v>0</v>
      </c>
      <c r="AR199" s="305">
        <v>0</v>
      </c>
      <c r="AS199" s="305">
        <v>0</v>
      </c>
      <c r="AT199" s="305">
        <v>0</v>
      </c>
      <c r="AU199" s="305">
        <v>0</v>
      </c>
      <c r="AV199" s="305">
        <v>0</v>
      </c>
      <c r="AW199" s="305">
        <v>0</v>
      </c>
      <c r="AX199" s="305">
        <v>0</v>
      </c>
      <c r="AY199" s="305">
        <v>0</v>
      </c>
      <c r="AZ199" s="305">
        <v>0</v>
      </c>
      <c r="BA199" s="305">
        <v>0</v>
      </c>
      <c r="BB199" s="305">
        <v>0</v>
      </c>
      <c r="BC199" s="305">
        <v>0</v>
      </c>
      <c r="BD199" s="305">
        <v>0</v>
      </c>
      <c r="BE199" s="305">
        <v>0</v>
      </c>
      <c r="BF199" s="305">
        <v>0</v>
      </c>
    </row>
    <row r="200" spans="1:58">
      <c r="A200" s="304" t="s">
        <v>695</v>
      </c>
      <c r="B200" s="305">
        <v>0</v>
      </c>
      <c r="C200" s="305">
        <v>0</v>
      </c>
      <c r="D200" s="305">
        <v>0</v>
      </c>
      <c r="E200" s="305">
        <v>0</v>
      </c>
      <c r="F200" s="305">
        <v>0</v>
      </c>
      <c r="G200" s="305">
        <v>0</v>
      </c>
      <c r="H200" s="305">
        <v>0</v>
      </c>
      <c r="I200" s="305">
        <v>0</v>
      </c>
      <c r="J200" s="305">
        <v>0</v>
      </c>
      <c r="K200" s="305">
        <v>0</v>
      </c>
      <c r="L200" s="305">
        <v>0</v>
      </c>
      <c r="M200" s="305">
        <v>0</v>
      </c>
      <c r="N200" s="305">
        <v>0</v>
      </c>
      <c r="O200" s="305">
        <v>0</v>
      </c>
      <c r="P200" s="305">
        <v>0</v>
      </c>
      <c r="Q200" s="305">
        <v>0</v>
      </c>
      <c r="R200" s="305">
        <v>0</v>
      </c>
      <c r="S200" s="305">
        <v>0</v>
      </c>
      <c r="T200" s="305">
        <v>0</v>
      </c>
      <c r="U200" s="305">
        <v>0</v>
      </c>
      <c r="V200" s="305">
        <v>0</v>
      </c>
      <c r="W200" s="305">
        <v>0</v>
      </c>
      <c r="X200" s="305">
        <v>0</v>
      </c>
      <c r="Y200" s="305">
        <v>0</v>
      </c>
      <c r="Z200" s="305">
        <v>0</v>
      </c>
      <c r="AA200" s="305">
        <v>0</v>
      </c>
      <c r="AB200" s="305">
        <v>0</v>
      </c>
      <c r="AC200" s="305">
        <v>0</v>
      </c>
      <c r="AD200" s="305">
        <v>0</v>
      </c>
      <c r="AE200" s="305">
        <v>0</v>
      </c>
      <c r="AF200" s="305">
        <v>0</v>
      </c>
      <c r="AG200" s="305">
        <v>25297.051877142199</v>
      </c>
      <c r="AH200" s="305">
        <v>0</v>
      </c>
      <c r="AI200" s="305">
        <v>0</v>
      </c>
      <c r="AJ200" s="305">
        <v>0</v>
      </c>
      <c r="AK200" s="305">
        <v>0</v>
      </c>
      <c r="AL200" s="305">
        <v>0</v>
      </c>
      <c r="AM200" s="305">
        <v>0</v>
      </c>
      <c r="AN200" s="305">
        <v>0</v>
      </c>
      <c r="AO200" s="305">
        <v>0</v>
      </c>
      <c r="AP200" s="305">
        <v>0</v>
      </c>
      <c r="AQ200" s="305">
        <v>0</v>
      </c>
      <c r="AR200" s="305">
        <v>0</v>
      </c>
      <c r="AS200" s="305">
        <v>0</v>
      </c>
      <c r="AT200" s="305">
        <v>0</v>
      </c>
      <c r="AU200" s="305">
        <v>0</v>
      </c>
      <c r="AV200" s="305">
        <v>0</v>
      </c>
      <c r="AW200" s="305">
        <v>0</v>
      </c>
      <c r="AX200" s="305">
        <v>0</v>
      </c>
      <c r="AY200" s="305">
        <v>0</v>
      </c>
      <c r="AZ200" s="305">
        <v>0</v>
      </c>
      <c r="BA200" s="305">
        <v>0</v>
      </c>
      <c r="BB200" s="305">
        <v>0</v>
      </c>
      <c r="BC200" s="305">
        <v>0</v>
      </c>
      <c r="BD200" s="305">
        <v>0</v>
      </c>
      <c r="BE200" s="305">
        <v>0</v>
      </c>
      <c r="BF200" s="305">
        <v>0</v>
      </c>
    </row>
    <row r="201" spans="1:58">
      <c r="A201" s="304" t="s">
        <v>752</v>
      </c>
      <c r="B201" s="305">
        <v>0</v>
      </c>
      <c r="C201" s="305">
        <v>0</v>
      </c>
      <c r="D201" s="305">
        <v>0</v>
      </c>
      <c r="E201" s="305">
        <v>0</v>
      </c>
      <c r="F201" s="305">
        <v>0</v>
      </c>
      <c r="G201" s="305">
        <v>0</v>
      </c>
      <c r="H201" s="305">
        <v>0</v>
      </c>
      <c r="I201" s="305">
        <v>0</v>
      </c>
      <c r="J201" s="305">
        <v>0</v>
      </c>
      <c r="K201" s="305">
        <v>0</v>
      </c>
      <c r="L201" s="305">
        <v>0</v>
      </c>
      <c r="M201" s="305">
        <v>0</v>
      </c>
      <c r="N201" s="305">
        <v>0</v>
      </c>
      <c r="O201" s="305">
        <v>0</v>
      </c>
      <c r="P201" s="305">
        <v>0</v>
      </c>
      <c r="Q201" s="305">
        <v>0</v>
      </c>
      <c r="R201" s="305">
        <v>0</v>
      </c>
      <c r="S201" s="305">
        <v>0</v>
      </c>
      <c r="T201" s="305">
        <v>1032997.83916021</v>
      </c>
      <c r="U201" s="305">
        <v>0</v>
      </c>
      <c r="V201" s="305">
        <v>0</v>
      </c>
      <c r="W201" s="305">
        <v>0</v>
      </c>
      <c r="X201" s="305">
        <v>0</v>
      </c>
      <c r="Y201" s="305">
        <v>0</v>
      </c>
      <c r="Z201" s="305">
        <v>0</v>
      </c>
      <c r="AA201" s="305">
        <v>0</v>
      </c>
      <c r="AB201" s="305">
        <v>0</v>
      </c>
      <c r="AC201" s="305">
        <v>0</v>
      </c>
      <c r="AD201" s="305">
        <v>0</v>
      </c>
      <c r="AE201" s="305">
        <v>0</v>
      </c>
      <c r="AF201" s="305">
        <v>0</v>
      </c>
      <c r="AG201" s="305">
        <v>0</v>
      </c>
      <c r="AH201" s="305">
        <v>0</v>
      </c>
      <c r="AI201" s="305">
        <v>0</v>
      </c>
      <c r="AJ201" s="305">
        <v>0</v>
      </c>
      <c r="AK201" s="305">
        <v>0</v>
      </c>
      <c r="AL201" s="305">
        <v>0</v>
      </c>
      <c r="AM201" s="305">
        <v>0</v>
      </c>
      <c r="AN201" s="305">
        <v>0</v>
      </c>
      <c r="AO201" s="305">
        <v>0</v>
      </c>
      <c r="AP201" s="305">
        <v>0</v>
      </c>
      <c r="AQ201" s="305">
        <v>0</v>
      </c>
      <c r="AR201" s="305">
        <v>0</v>
      </c>
      <c r="AS201" s="305">
        <v>0</v>
      </c>
      <c r="AT201" s="305">
        <v>0</v>
      </c>
      <c r="AU201" s="305">
        <v>0</v>
      </c>
      <c r="AV201" s="305">
        <v>0</v>
      </c>
      <c r="AW201" s="305">
        <v>0</v>
      </c>
      <c r="AX201" s="305">
        <v>0</v>
      </c>
      <c r="AY201" s="305">
        <v>0</v>
      </c>
      <c r="AZ201" s="305">
        <v>0</v>
      </c>
      <c r="BA201" s="305">
        <v>0</v>
      </c>
      <c r="BB201" s="305">
        <v>0</v>
      </c>
      <c r="BC201" s="305">
        <v>0</v>
      </c>
      <c r="BD201" s="305">
        <v>0</v>
      </c>
      <c r="BE201" s="305">
        <v>0</v>
      </c>
      <c r="BF201" s="305">
        <v>0</v>
      </c>
    </row>
    <row r="202" spans="1:58">
      <c r="A202" s="304" t="s">
        <v>753</v>
      </c>
      <c r="B202" s="305">
        <v>0</v>
      </c>
      <c r="C202" s="305">
        <v>0</v>
      </c>
      <c r="D202" s="305">
        <v>0</v>
      </c>
      <c r="E202" s="305">
        <v>0</v>
      </c>
      <c r="F202" s="305">
        <v>0</v>
      </c>
      <c r="G202" s="305">
        <v>0</v>
      </c>
      <c r="H202" s="305">
        <v>0</v>
      </c>
      <c r="I202" s="305">
        <v>0</v>
      </c>
      <c r="J202" s="305">
        <v>0</v>
      </c>
      <c r="K202" s="305">
        <v>0</v>
      </c>
      <c r="L202" s="305">
        <v>0</v>
      </c>
      <c r="M202" s="305">
        <v>0</v>
      </c>
      <c r="N202" s="305">
        <v>0</v>
      </c>
      <c r="O202" s="305">
        <v>0</v>
      </c>
      <c r="P202" s="305">
        <v>0</v>
      </c>
      <c r="Q202" s="305">
        <v>0</v>
      </c>
      <c r="R202" s="305">
        <v>0</v>
      </c>
      <c r="S202" s="305">
        <v>0</v>
      </c>
      <c r="T202" s="305">
        <v>0</v>
      </c>
      <c r="U202" s="305">
        <v>0</v>
      </c>
      <c r="V202" s="305">
        <v>0</v>
      </c>
      <c r="W202" s="305">
        <v>4830.4442158522497</v>
      </c>
      <c r="X202" s="305">
        <v>0</v>
      </c>
      <c r="Y202" s="305">
        <v>0</v>
      </c>
      <c r="Z202" s="305">
        <v>0</v>
      </c>
      <c r="AA202" s="305">
        <v>0</v>
      </c>
      <c r="AB202" s="305">
        <v>0</v>
      </c>
      <c r="AC202" s="305">
        <v>0</v>
      </c>
      <c r="AD202" s="305">
        <v>0</v>
      </c>
      <c r="AE202" s="305">
        <v>0</v>
      </c>
      <c r="AF202" s="305">
        <v>0</v>
      </c>
      <c r="AG202" s="305">
        <v>0</v>
      </c>
      <c r="AH202" s="305">
        <v>0</v>
      </c>
      <c r="AI202" s="305">
        <v>0</v>
      </c>
      <c r="AJ202" s="305">
        <v>0</v>
      </c>
      <c r="AK202" s="305">
        <v>0</v>
      </c>
      <c r="AL202" s="305">
        <v>0</v>
      </c>
      <c r="AM202" s="305">
        <v>0</v>
      </c>
      <c r="AN202" s="305">
        <v>0</v>
      </c>
      <c r="AO202" s="305">
        <v>0</v>
      </c>
      <c r="AP202" s="305">
        <v>0</v>
      </c>
      <c r="AQ202" s="305">
        <v>0</v>
      </c>
      <c r="AR202" s="305">
        <v>0</v>
      </c>
      <c r="AS202" s="305">
        <v>0</v>
      </c>
      <c r="AT202" s="305">
        <v>0</v>
      </c>
      <c r="AU202" s="305">
        <v>0</v>
      </c>
      <c r="AV202" s="305">
        <v>0</v>
      </c>
      <c r="AW202" s="305">
        <v>0</v>
      </c>
      <c r="AX202" s="305">
        <v>0</v>
      </c>
      <c r="AY202" s="305">
        <v>0</v>
      </c>
      <c r="AZ202" s="305">
        <v>0</v>
      </c>
      <c r="BA202" s="305">
        <v>0</v>
      </c>
      <c r="BB202" s="305">
        <v>0</v>
      </c>
      <c r="BC202" s="305">
        <v>0</v>
      </c>
      <c r="BD202" s="305">
        <v>0</v>
      </c>
      <c r="BE202" s="305">
        <v>0</v>
      </c>
      <c r="BF202" s="305">
        <v>0</v>
      </c>
    </row>
    <row r="203" spans="1:58">
      <c r="A203" s="304" t="s">
        <v>754</v>
      </c>
      <c r="B203" s="305">
        <v>0</v>
      </c>
      <c r="C203" s="305">
        <v>0</v>
      </c>
      <c r="D203" s="305">
        <v>0</v>
      </c>
      <c r="E203" s="305">
        <v>0</v>
      </c>
      <c r="F203" s="305">
        <v>0</v>
      </c>
      <c r="G203" s="305">
        <v>0</v>
      </c>
      <c r="H203" s="305">
        <v>0</v>
      </c>
      <c r="I203" s="305">
        <v>0</v>
      </c>
      <c r="J203" s="305">
        <v>0</v>
      </c>
      <c r="K203" s="305">
        <v>0</v>
      </c>
      <c r="L203" s="305">
        <v>0</v>
      </c>
      <c r="M203" s="305">
        <v>0</v>
      </c>
      <c r="N203" s="305">
        <v>0</v>
      </c>
      <c r="O203" s="305">
        <v>0</v>
      </c>
      <c r="P203" s="305">
        <v>0</v>
      </c>
      <c r="Q203" s="305">
        <v>0</v>
      </c>
      <c r="R203" s="305">
        <v>0</v>
      </c>
      <c r="S203" s="305">
        <v>0</v>
      </c>
      <c r="T203" s="305">
        <v>0</v>
      </c>
      <c r="U203" s="305">
        <v>0</v>
      </c>
      <c r="V203" s="305">
        <v>0</v>
      </c>
      <c r="W203" s="305">
        <v>0</v>
      </c>
      <c r="X203" s="305">
        <v>0</v>
      </c>
      <c r="Y203" s="305">
        <v>0</v>
      </c>
      <c r="Z203" s="305">
        <v>0</v>
      </c>
      <c r="AA203" s="305">
        <v>0</v>
      </c>
      <c r="AB203" s="305">
        <v>0</v>
      </c>
      <c r="AC203" s="305">
        <v>0</v>
      </c>
      <c r="AD203" s="305">
        <v>0</v>
      </c>
      <c r="AE203" s="305">
        <v>0</v>
      </c>
      <c r="AF203" s="305">
        <v>0</v>
      </c>
      <c r="AG203" s="305">
        <v>0</v>
      </c>
      <c r="AH203" s="305">
        <v>0</v>
      </c>
      <c r="AI203" s="305">
        <v>0</v>
      </c>
      <c r="AJ203" s="305">
        <v>0</v>
      </c>
      <c r="AK203" s="305">
        <v>0</v>
      </c>
      <c r="AL203" s="305">
        <v>0</v>
      </c>
      <c r="AM203" s="305">
        <v>0</v>
      </c>
      <c r="AN203" s="305">
        <v>0</v>
      </c>
      <c r="AO203" s="305">
        <v>184686.52821315001</v>
      </c>
      <c r="AP203" s="305">
        <v>0</v>
      </c>
      <c r="AQ203" s="305">
        <v>0</v>
      </c>
      <c r="AR203" s="305">
        <v>0</v>
      </c>
      <c r="AS203" s="305">
        <v>0</v>
      </c>
      <c r="AT203" s="305">
        <v>0</v>
      </c>
      <c r="AU203" s="305">
        <v>0</v>
      </c>
      <c r="AV203" s="305">
        <v>0</v>
      </c>
      <c r="AW203" s="305">
        <v>0</v>
      </c>
      <c r="AX203" s="305">
        <v>0</v>
      </c>
      <c r="AY203" s="305">
        <v>0</v>
      </c>
      <c r="AZ203" s="305">
        <v>0</v>
      </c>
      <c r="BA203" s="305">
        <v>0</v>
      </c>
      <c r="BB203" s="305">
        <v>0</v>
      </c>
      <c r="BC203" s="305">
        <v>0</v>
      </c>
      <c r="BD203" s="305">
        <v>0</v>
      </c>
      <c r="BE203" s="305">
        <v>0</v>
      </c>
      <c r="BF203" s="305">
        <v>0</v>
      </c>
    </row>
    <row r="204" spans="1:58">
      <c r="A204" s="304" t="s">
        <v>755</v>
      </c>
      <c r="B204" s="305">
        <v>0</v>
      </c>
      <c r="C204" s="305">
        <v>0</v>
      </c>
      <c r="D204" s="305">
        <v>0</v>
      </c>
      <c r="E204" s="305">
        <v>0</v>
      </c>
      <c r="F204" s="305">
        <v>0</v>
      </c>
      <c r="G204" s="305">
        <v>0</v>
      </c>
      <c r="H204" s="305">
        <v>0</v>
      </c>
      <c r="I204" s="305">
        <v>0</v>
      </c>
      <c r="J204" s="305">
        <v>0</v>
      </c>
      <c r="K204" s="305">
        <v>0</v>
      </c>
      <c r="L204" s="305">
        <v>0</v>
      </c>
      <c r="M204" s="305">
        <v>0</v>
      </c>
      <c r="N204" s="305">
        <v>0</v>
      </c>
      <c r="O204" s="305">
        <v>0</v>
      </c>
      <c r="P204" s="305">
        <v>0</v>
      </c>
      <c r="Q204" s="305">
        <v>0</v>
      </c>
      <c r="R204" s="305">
        <v>0</v>
      </c>
      <c r="S204" s="305">
        <v>0</v>
      </c>
      <c r="T204" s="305">
        <v>0</v>
      </c>
      <c r="U204" s="305">
        <v>0</v>
      </c>
      <c r="V204" s="305">
        <v>0</v>
      </c>
      <c r="W204" s="305">
        <v>0</v>
      </c>
      <c r="X204" s="305">
        <v>0</v>
      </c>
      <c r="Y204" s="305">
        <v>0</v>
      </c>
      <c r="Z204" s="305">
        <v>0</v>
      </c>
      <c r="AA204" s="305">
        <v>0</v>
      </c>
      <c r="AB204" s="305">
        <v>0</v>
      </c>
      <c r="AC204" s="305">
        <v>0</v>
      </c>
      <c r="AD204" s="305">
        <v>0</v>
      </c>
      <c r="AE204" s="305">
        <v>0</v>
      </c>
      <c r="AF204" s="305">
        <v>0</v>
      </c>
      <c r="AG204" s="305">
        <v>0</v>
      </c>
      <c r="AH204" s="305">
        <v>0</v>
      </c>
      <c r="AI204" s="305">
        <v>0</v>
      </c>
      <c r="AJ204" s="305">
        <v>0</v>
      </c>
      <c r="AK204" s="305">
        <v>0</v>
      </c>
      <c r="AL204" s="305">
        <v>0</v>
      </c>
      <c r="AM204" s="305">
        <v>0</v>
      </c>
      <c r="AN204" s="305">
        <v>0</v>
      </c>
      <c r="AO204" s="305">
        <v>0</v>
      </c>
      <c r="AP204" s="305">
        <v>0</v>
      </c>
      <c r="AQ204" s="305">
        <v>0</v>
      </c>
      <c r="AR204" s="305">
        <v>0</v>
      </c>
      <c r="AS204" s="305">
        <v>0</v>
      </c>
      <c r="AT204" s="305">
        <v>0</v>
      </c>
      <c r="AU204" s="305">
        <v>0</v>
      </c>
      <c r="AV204" s="305">
        <v>5023.7890204089899</v>
      </c>
      <c r="AW204" s="305">
        <v>0</v>
      </c>
      <c r="AX204" s="305">
        <v>0</v>
      </c>
      <c r="AY204" s="305">
        <v>0</v>
      </c>
      <c r="AZ204" s="305">
        <v>0</v>
      </c>
      <c r="BA204" s="305">
        <v>0</v>
      </c>
      <c r="BB204" s="305">
        <v>0</v>
      </c>
      <c r="BC204" s="305">
        <v>0</v>
      </c>
      <c r="BD204" s="305">
        <v>0</v>
      </c>
      <c r="BE204" s="305">
        <v>0</v>
      </c>
      <c r="BF204" s="305">
        <v>0</v>
      </c>
    </row>
    <row r="205" spans="1:58">
      <c r="A205" s="304" t="s">
        <v>756</v>
      </c>
      <c r="B205" s="305">
        <v>0</v>
      </c>
      <c r="C205" s="305">
        <v>0</v>
      </c>
      <c r="D205" s="305">
        <v>0</v>
      </c>
      <c r="E205" s="305">
        <v>0</v>
      </c>
      <c r="F205" s="305">
        <v>0</v>
      </c>
      <c r="G205" s="305">
        <v>0</v>
      </c>
      <c r="H205" s="305">
        <v>0</v>
      </c>
      <c r="I205" s="305">
        <v>0</v>
      </c>
      <c r="J205" s="305">
        <v>0</v>
      </c>
      <c r="K205" s="305">
        <v>0</v>
      </c>
      <c r="L205" s="305">
        <v>0</v>
      </c>
      <c r="M205" s="305">
        <v>0</v>
      </c>
      <c r="N205" s="305">
        <v>0</v>
      </c>
      <c r="O205" s="305">
        <v>0</v>
      </c>
      <c r="P205" s="305">
        <v>0</v>
      </c>
      <c r="Q205" s="305">
        <v>0</v>
      </c>
      <c r="R205" s="305">
        <v>0</v>
      </c>
      <c r="S205" s="305">
        <v>0</v>
      </c>
      <c r="T205" s="305">
        <v>0</v>
      </c>
      <c r="U205" s="305">
        <v>0</v>
      </c>
      <c r="V205" s="305">
        <v>0</v>
      </c>
      <c r="W205" s="305">
        <v>0</v>
      </c>
      <c r="X205" s="305">
        <v>0</v>
      </c>
      <c r="Y205" s="305">
        <v>0</v>
      </c>
      <c r="Z205" s="305">
        <v>0</v>
      </c>
      <c r="AA205" s="305">
        <v>0</v>
      </c>
      <c r="AB205" s="305">
        <v>0</v>
      </c>
      <c r="AC205" s="305">
        <v>0</v>
      </c>
      <c r="AD205" s="305">
        <v>0</v>
      </c>
      <c r="AE205" s="305">
        <v>0</v>
      </c>
      <c r="AF205" s="305">
        <v>0</v>
      </c>
      <c r="AG205" s="305">
        <v>0</v>
      </c>
      <c r="AH205" s="305">
        <v>0</v>
      </c>
      <c r="AI205" s="305">
        <v>0</v>
      </c>
      <c r="AJ205" s="305">
        <v>0</v>
      </c>
      <c r="AK205" s="305">
        <v>0</v>
      </c>
      <c r="AL205" s="305">
        <v>0</v>
      </c>
      <c r="AM205" s="305">
        <v>0</v>
      </c>
      <c r="AN205" s="305">
        <v>0</v>
      </c>
      <c r="AO205" s="305">
        <v>0</v>
      </c>
      <c r="AP205" s="305">
        <v>0</v>
      </c>
      <c r="AQ205" s="305">
        <v>0</v>
      </c>
      <c r="AR205" s="305">
        <v>0</v>
      </c>
      <c r="AS205" s="305">
        <v>0</v>
      </c>
      <c r="AT205" s="305">
        <v>0</v>
      </c>
      <c r="AU205" s="305">
        <v>0</v>
      </c>
      <c r="AV205" s="305">
        <v>0</v>
      </c>
      <c r="AW205" s="305">
        <v>0</v>
      </c>
      <c r="AX205" s="305">
        <v>0</v>
      </c>
      <c r="AY205" s="305">
        <v>0</v>
      </c>
      <c r="AZ205" s="305">
        <v>82.091627997489695</v>
      </c>
      <c r="BA205" s="305">
        <v>0</v>
      </c>
      <c r="BB205" s="305">
        <v>0</v>
      </c>
      <c r="BC205" s="305">
        <v>0</v>
      </c>
      <c r="BD205" s="305">
        <v>0</v>
      </c>
      <c r="BE205" s="305">
        <v>0</v>
      </c>
      <c r="BF205" s="305">
        <v>0</v>
      </c>
    </row>
    <row r="206" spans="1:58">
      <c r="A206" s="304" t="s">
        <v>757</v>
      </c>
      <c r="B206" s="305">
        <v>0</v>
      </c>
      <c r="C206" s="305">
        <v>0</v>
      </c>
      <c r="D206" s="305">
        <v>0</v>
      </c>
      <c r="E206" s="305">
        <v>0</v>
      </c>
      <c r="F206" s="305">
        <v>0</v>
      </c>
      <c r="G206" s="305">
        <v>0</v>
      </c>
      <c r="H206" s="305">
        <v>0</v>
      </c>
      <c r="I206" s="305">
        <v>0</v>
      </c>
      <c r="J206" s="305">
        <v>0</v>
      </c>
      <c r="K206" s="305">
        <v>0</v>
      </c>
      <c r="L206" s="305">
        <v>0</v>
      </c>
      <c r="M206" s="305">
        <v>0</v>
      </c>
      <c r="N206" s="305">
        <v>0</v>
      </c>
      <c r="O206" s="305">
        <v>0</v>
      </c>
      <c r="P206" s="305">
        <v>0</v>
      </c>
      <c r="Q206" s="305">
        <v>0</v>
      </c>
      <c r="R206" s="305">
        <v>0</v>
      </c>
      <c r="S206" s="305">
        <v>0</v>
      </c>
      <c r="T206" s="305">
        <v>0</v>
      </c>
      <c r="U206" s="305">
        <v>0</v>
      </c>
      <c r="V206" s="305">
        <v>0</v>
      </c>
      <c r="W206" s="305">
        <v>0</v>
      </c>
      <c r="X206" s="305">
        <v>0</v>
      </c>
      <c r="Y206" s="305">
        <v>0</v>
      </c>
      <c r="Z206" s="305">
        <v>0</v>
      </c>
      <c r="AA206" s="305">
        <v>0</v>
      </c>
      <c r="AB206" s="305">
        <v>0</v>
      </c>
      <c r="AC206" s="305">
        <v>0</v>
      </c>
      <c r="AD206" s="305">
        <v>0</v>
      </c>
      <c r="AE206" s="305">
        <v>0</v>
      </c>
      <c r="AF206" s="305">
        <v>0</v>
      </c>
      <c r="AG206" s="305">
        <v>0</v>
      </c>
      <c r="AH206" s="305">
        <v>0</v>
      </c>
      <c r="AI206" s="305">
        <v>0</v>
      </c>
      <c r="AJ206" s="305">
        <v>0</v>
      </c>
      <c r="AK206" s="305">
        <v>0</v>
      </c>
      <c r="AL206" s="305">
        <v>0</v>
      </c>
      <c r="AM206" s="305">
        <v>0</v>
      </c>
      <c r="AN206" s="305">
        <v>0</v>
      </c>
      <c r="AO206" s="305">
        <v>0</v>
      </c>
      <c r="AP206" s="305">
        <v>0</v>
      </c>
      <c r="AQ206" s="305">
        <v>0</v>
      </c>
      <c r="AR206" s="305">
        <v>0</v>
      </c>
      <c r="AS206" s="305">
        <v>0</v>
      </c>
      <c r="AT206" s="305">
        <v>0</v>
      </c>
      <c r="AU206" s="305">
        <v>0</v>
      </c>
      <c r="AV206" s="305">
        <v>0</v>
      </c>
      <c r="AW206" s="305">
        <v>0</v>
      </c>
      <c r="AX206" s="305">
        <v>0</v>
      </c>
      <c r="AY206" s="305">
        <v>0</v>
      </c>
      <c r="AZ206" s="305">
        <v>0</v>
      </c>
      <c r="BA206" s="305">
        <v>0</v>
      </c>
      <c r="BB206" s="305">
        <v>0</v>
      </c>
      <c r="BC206" s="305">
        <v>0</v>
      </c>
      <c r="BD206" s="305">
        <v>0</v>
      </c>
      <c r="BE206" s="305">
        <v>43.206119998678503</v>
      </c>
      <c r="BF206" s="305">
        <v>0</v>
      </c>
    </row>
    <row r="207" spans="1:58">
      <c r="A207" s="304" t="s">
        <v>696</v>
      </c>
      <c r="B207" s="305">
        <v>0</v>
      </c>
      <c r="C207" s="305">
        <v>0</v>
      </c>
      <c r="D207" s="305">
        <v>0</v>
      </c>
      <c r="E207" s="305">
        <v>0</v>
      </c>
      <c r="F207" s="305">
        <v>6682782.3361421302</v>
      </c>
      <c r="G207" s="305">
        <v>0</v>
      </c>
      <c r="H207" s="305">
        <v>0</v>
      </c>
      <c r="I207" s="305">
        <v>0</v>
      </c>
      <c r="J207" s="305">
        <v>0</v>
      </c>
      <c r="K207" s="305">
        <v>0</v>
      </c>
      <c r="L207" s="305">
        <v>0</v>
      </c>
      <c r="M207" s="305">
        <v>0</v>
      </c>
      <c r="N207" s="305">
        <v>0</v>
      </c>
      <c r="O207" s="305">
        <v>0</v>
      </c>
      <c r="P207" s="305">
        <v>0</v>
      </c>
      <c r="Q207" s="305">
        <v>0</v>
      </c>
      <c r="R207" s="305">
        <v>0</v>
      </c>
      <c r="S207" s="305">
        <v>0</v>
      </c>
      <c r="T207" s="305">
        <v>0</v>
      </c>
      <c r="U207" s="305">
        <v>0</v>
      </c>
      <c r="V207" s="305">
        <v>0</v>
      </c>
      <c r="W207" s="305">
        <v>0</v>
      </c>
      <c r="X207" s="305">
        <v>0</v>
      </c>
      <c r="Y207" s="305">
        <v>0</v>
      </c>
      <c r="Z207" s="305">
        <v>0</v>
      </c>
      <c r="AA207" s="305">
        <v>0</v>
      </c>
      <c r="AB207" s="305">
        <v>0</v>
      </c>
      <c r="AC207" s="305">
        <v>0</v>
      </c>
      <c r="AD207" s="305">
        <v>0</v>
      </c>
      <c r="AE207" s="305">
        <v>0</v>
      </c>
      <c r="AF207" s="305">
        <v>0</v>
      </c>
      <c r="AG207" s="305">
        <v>0</v>
      </c>
      <c r="AH207" s="305">
        <v>0</v>
      </c>
      <c r="AI207" s="305">
        <v>0</v>
      </c>
      <c r="AJ207" s="305">
        <v>0</v>
      </c>
      <c r="AK207" s="305">
        <v>0</v>
      </c>
      <c r="AL207" s="305">
        <v>0</v>
      </c>
      <c r="AM207" s="305">
        <v>0</v>
      </c>
      <c r="AN207" s="305">
        <v>0</v>
      </c>
      <c r="AO207" s="305">
        <v>0</v>
      </c>
      <c r="AP207" s="305">
        <v>0</v>
      </c>
      <c r="AQ207" s="305">
        <v>0</v>
      </c>
      <c r="AR207" s="305">
        <v>0</v>
      </c>
      <c r="AS207" s="305">
        <v>0</v>
      </c>
      <c r="AT207" s="305">
        <v>0</v>
      </c>
      <c r="AU207" s="305">
        <v>0</v>
      </c>
      <c r="AV207" s="305">
        <v>0</v>
      </c>
      <c r="AW207" s="305">
        <v>0</v>
      </c>
      <c r="AX207" s="305">
        <v>0</v>
      </c>
      <c r="AY207" s="305">
        <v>0</v>
      </c>
      <c r="AZ207" s="305">
        <v>0</v>
      </c>
      <c r="BA207" s="305">
        <v>0</v>
      </c>
      <c r="BB207" s="305">
        <v>0</v>
      </c>
      <c r="BC207" s="305">
        <v>0</v>
      </c>
      <c r="BD207" s="305">
        <v>0</v>
      </c>
      <c r="BE207" s="305">
        <v>0</v>
      </c>
      <c r="BF207" s="305">
        <v>0</v>
      </c>
    </row>
    <row r="208" spans="1:58">
      <c r="A208" s="304" t="s">
        <v>758</v>
      </c>
      <c r="B208" s="305">
        <v>0</v>
      </c>
      <c r="C208" s="305">
        <v>0</v>
      </c>
      <c r="D208" s="305">
        <v>0</v>
      </c>
      <c r="E208" s="305">
        <v>0</v>
      </c>
      <c r="F208" s="305">
        <v>0</v>
      </c>
      <c r="G208" s="305">
        <v>0</v>
      </c>
      <c r="H208" s="305">
        <v>0</v>
      </c>
      <c r="I208" s="305">
        <v>0</v>
      </c>
      <c r="J208" s="305">
        <v>0</v>
      </c>
      <c r="K208" s="305">
        <v>0</v>
      </c>
      <c r="L208" s="305">
        <v>0</v>
      </c>
      <c r="M208" s="305">
        <v>0</v>
      </c>
      <c r="N208" s="305">
        <v>0</v>
      </c>
      <c r="O208" s="305">
        <v>0</v>
      </c>
      <c r="P208" s="305">
        <v>0</v>
      </c>
      <c r="Q208" s="305">
        <v>0</v>
      </c>
      <c r="R208" s="305">
        <v>0</v>
      </c>
      <c r="S208" s="305">
        <v>0</v>
      </c>
      <c r="T208" s="305">
        <v>0</v>
      </c>
      <c r="U208" s="305">
        <v>0</v>
      </c>
      <c r="V208" s="305">
        <v>0</v>
      </c>
      <c r="W208" s="305">
        <v>0</v>
      </c>
      <c r="X208" s="305">
        <v>0</v>
      </c>
      <c r="Y208" s="305">
        <v>0</v>
      </c>
      <c r="Z208" s="305">
        <v>0</v>
      </c>
      <c r="AA208" s="305">
        <v>0</v>
      </c>
      <c r="AB208" s="305">
        <v>0</v>
      </c>
      <c r="AC208" s="305">
        <v>0</v>
      </c>
      <c r="AD208" s="305">
        <v>0</v>
      </c>
      <c r="AE208" s="305">
        <v>0</v>
      </c>
      <c r="AF208" s="305">
        <v>0</v>
      </c>
      <c r="AG208" s="305">
        <v>0</v>
      </c>
      <c r="AH208" s="305">
        <v>0</v>
      </c>
      <c r="AI208" s="305">
        <v>0</v>
      </c>
      <c r="AJ208" s="305">
        <v>0</v>
      </c>
      <c r="AK208" s="305">
        <v>3749358.3680556798</v>
      </c>
      <c r="AL208" s="305">
        <v>0</v>
      </c>
      <c r="AM208" s="305">
        <v>0</v>
      </c>
      <c r="AN208" s="305">
        <v>0</v>
      </c>
      <c r="AO208" s="305">
        <v>0</v>
      </c>
      <c r="AP208" s="305">
        <v>0</v>
      </c>
      <c r="AQ208" s="305">
        <v>0</v>
      </c>
      <c r="AR208" s="305">
        <v>0</v>
      </c>
      <c r="AS208" s="305">
        <v>0</v>
      </c>
      <c r="AT208" s="305">
        <v>0</v>
      </c>
      <c r="AU208" s="305">
        <v>0</v>
      </c>
      <c r="AV208" s="305">
        <v>0</v>
      </c>
      <c r="AW208" s="305">
        <v>0</v>
      </c>
      <c r="AX208" s="305">
        <v>0</v>
      </c>
      <c r="AY208" s="305">
        <v>0</v>
      </c>
      <c r="AZ208" s="305">
        <v>0</v>
      </c>
      <c r="BA208" s="305">
        <v>0</v>
      </c>
      <c r="BB208" s="305">
        <v>0</v>
      </c>
      <c r="BC208" s="305">
        <v>0</v>
      </c>
      <c r="BD208" s="305">
        <v>0</v>
      </c>
      <c r="BE208" s="305">
        <v>0</v>
      </c>
      <c r="BF208" s="305">
        <v>0</v>
      </c>
    </row>
    <row r="209" spans="1:58">
      <c r="A209" s="304" t="s">
        <v>759</v>
      </c>
      <c r="B209" s="305">
        <v>0</v>
      </c>
      <c r="C209" s="305">
        <v>0</v>
      </c>
      <c r="D209" s="305">
        <v>0</v>
      </c>
      <c r="E209" s="305">
        <v>0</v>
      </c>
      <c r="F209" s="305">
        <v>0</v>
      </c>
      <c r="G209" s="305">
        <v>0</v>
      </c>
      <c r="H209" s="305">
        <v>0</v>
      </c>
      <c r="I209" s="305">
        <v>0</v>
      </c>
      <c r="J209" s="305">
        <v>0</v>
      </c>
      <c r="K209" s="305">
        <v>0</v>
      </c>
      <c r="L209" s="305">
        <v>0</v>
      </c>
      <c r="M209" s="305">
        <v>0</v>
      </c>
      <c r="N209" s="305">
        <v>0</v>
      </c>
      <c r="O209" s="305">
        <v>0</v>
      </c>
      <c r="P209" s="305">
        <v>0</v>
      </c>
      <c r="Q209" s="305">
        <v>0</v>
      </c>
      <c r="R209" s="305">
        <v>0</v>
      </c>
      <c r="S209" s="305">
        <v>0</v>
      </c>
      <c r="T209" s="305">
        <v>60946.554310340602</v>
      </c>
      <c r="U209" s="305">
        <v>0</v>
      </c>
      <c r="V209" s="305">
        <v>0</v>
      </c>
      <c r="W209" s="305">
        <v>0</v>
      </c>
      <c r="X209" s="305">
        <v>0</v>
      </c>
      <c r="Y209" s="305">
        <v>0</v>
      </c>
      <c r="Z209" s="305">
        <v>0</v>
      </c>
      <c r="AA209" s="305">
        <v>0</v>
      </c>
      <c r="AB209" s="305">
        <v>0</v>
      </c>
      <c r="AC209" s="305">
        <v>0</v>
      </c>
      <c r="AD209" s="305">
        <v>0</v>
      </c>
      <c r="AE209" s="305">
        <v>0</v>
      </c>
      <c r="AF209" s="305">
        <v>0</v>
      </c>
      <c r="AG209" s="305">
        <v>0</v>
      </c>
      <c r="AH209" s="305">
        <v>0</v>
      </c>
      <c r="AI209" s="305">
        <v>0</v>
      </c>
      <c r="AJ209" s="305">
        <v>0</v>
      </c>
      <c r="AK209" s="305">
        <v>0</v>
      </c>
      <c r="AL209" s="305">
        <v>0</v>
      </c>
      <c r="AM209" s="305">
        <v>0</v>
      </c>
      <c r="AN209" s="305">
        <v>0</v>
      </c>
      <c r="AO209" s="305">
        <v>0</v>
      </c>
      <c r="AP209" s="305">
        <v>0</v>
      </c>
      <c r="AQ209" s="305">
        <v>0</v>
      </c>
      <c r="AR209" s="305">
        <v>0</v>
      </c>
      <c r="AS209" s="305">
        <v>0</v>
      </c>
      <c r="AT209" s="305">
        <v>0</v>
      </c>
      <c r="AU209" s="305">
        <v>0</v>
      </c>
      <c r="AV209" s="305">
        <v>0</v>
      </c>
      <c r="AW209" s="305">
        <v>0</v>
      </c>
      <c r="AX209" s="305">
        <v>0</v>
      </c>
      <c r="AY209" s="305">
        <v>0</v>
      </c>
      <c r="AZ209" s="305">
        <v>0</v>
      </c>
      <c r="BA209" s="305">
        <v>0</v>
      </c>
      <c r="BB209" s="305">
        <v>0</v>
      </c>
      <c r="BC209" s="305">
        <v>0</v>
      </c>
      <c r="BD209" s="305">
        <v>0</v>
      </c>
      <c r="BE209" s="305">
        <v>0</v>
      </c>
      <c r="BF209" s="305">
        <v>0</v>
      </c>
    </row>
    <row r="210" spans="1:58">
      <c r="A210" s="304" t="s">
        <v>760</v>
      </c>
      <c r="B210" s="305">
        <v>0</v>
      </c>
      <c r="C210" s="305">
        <v>0</v>
      </c>
      <c r="D210" s="305">
        <v>0</v>
      </c>
      <c r="E210" s="305">
        <v>0</v>
      </c>
      <c r="F210" s="305">
        <v>0</v>
      </c>
      <c r="G210" s="305">
        <v>0</v>
      </c>
      <c r="H210" s="305">
        <v>0</v>
      </c>
      <c r="I210" s="305">
        <v>0</v>
      </c>
      <c r="J210" s="305">
        <v>0</v>
      </c>
      <c r="K210" s="305">
        <v>0</v>
      </c>
      <c r="L210" s="305">
        <v>0</v>
      </c>
      <c r="M210" s="305">
        <v>0</v>
      </c>
      <c r="N210" s="305">
        <v>0</v>
      </c>
      <c r="O210" s="305">
        <v>0</v>
      </c>
      <c r="P210" s="305">
        <v>0</v>
      </c>
      <c r="Q210" s="305">
        <v>0</v>
      </c>
      <c r="R210" s="305">
        <v>290.15291867903898</v>
      </c>
      <c r="S210" s="305">
        <v>0</v>
      </c>
      <c r="T210" s="305">
        <v>0</v>
      </c>
      <c r="U210" s="305">
        <v>0</v>
      </c>
      <c r="V210" s="305">
        <v>0</v>
      </c>
      <c r="W210" s="305">
        <v>0</v>
      </c>
      <c r="X210" s="305">
        <v>0</v>
      </c>
      <c r="Y210" s="305">
        <v>0</v>
      </c>
      <c r="Z210" s="305">
        <v>0</v>
      </c>
      <c r="AA210" s="305">
        <v>0</v>
      </c>
      <c r="AB210" s="305">
        <v>0</v>
      </c>
      <c r="AC210" s="305">
        <v>0</v>
      </c>
      <c r="AD210" s="305">
        <v>0</v>
      </c>
      <c r="AE210" s="305">
        <v>0</v>
      </c>
      <c r="AF210" s="305">
        <v>0</v>
      </c>
      <c r="AG210" s="305">
        <v>0</v>
      </c>
      <c r="AH210" s="305">
        <v>0</v>
      </c>
      <c r="AI210" s="305">
        <v>0</v>
      </c>
      <c r="AJ210" s="305">
        <v>0</v>
      </c>
      <c r="AK210" s="305">
        <v>0</v>
      </c>
      <c r="AL210" s="305">
        <v>0</v>
      </c>
      <c r="AM210" s="305">
        <v>668.84165319492104</v>
      </c>
      <c r="AN210" s="305">
        <v>0</v>
      </c>
      <c r="AO210" s="305">
        <v>0</v>
      </c>
      <c r="AP210" s="305">
        <v>0</v>
      </c>
      <c r="AQ210" s="305">
        <v>0</v>
      </c>
      <c r="AR210" s="305">
        <v>0</v>
      </c>
      <c r="AS210" s="305">
        <v>0</v>
      </c>
      <c r="AT210" s="305">
        <v>0</v>
      </c>
      <c r="AU210" s="305">
        <v>0</v>
      </c>
      <c r="AV210" s="305">
        <v>0</v>
      </c>
      <c r="AW210" s="305">
        <v>0</v>
      </c>
      <c r="AX210" s="305">
        <v>0</v>
      </c>
      <c r="AY210" s="305">
        <v>0</v>
      </c>
      <c r="AZ210" s="305">
        <v>0</v>
      </c>
      <c r="BA210" s="305">
        <v>0</v>
      </c>
      <c r="BB210" s="305">
        <v>0</v>
      </c>
      <c r="BC210" s="305">
        <v>0</v>
      </c>
      <c r="BD210" s="305">
        <v>0</v>
      </c>
      <c r="BE210" s="305">
        <v>0</v>
      </c>
      <c r="BF210" s="305">
        <v>0</v>
      </c>
    </row>
    <row r="211" spans="1:58">
      <c r="A211" s="304" t="s">
        <v>761</v>
      </c>
      <c r="B211" s="305">
        <v>0</v>
      </c>
      <c r="C211" s="305">
        <v>0</v>
      </c>
      <c r="D211" s="305">
        <v>0</v>
      </c>
      <c r="E211" s="305">
        <v>0</v>
      </c>
      <c r="F211" s="305">
        <v>0</v>
      </c>
      <c r="G211" s="305">
        <v>0</v>
      </c>
      <c r="H211" s="305">
        <v>0</v>
      </c>
      <c r="I211" s="305">
        <v>0</v>
      </c>
      <c r="J211" s="305">
        <v>0</v>
      </c>
      <c r="K211" s="305">
        <v>0</v>
      </c>
      <c r="L211" s="305">
        <v>0</v>
      </c>
      <c r="M211" s="305">
        <v>0</v>
      </c>
      <c r="N211" s="305">
        <v>0</v>
      </c>
      <c r="O211" s="305">
        <v>0</v>
      </c>
      <c r="P211" s="305">
        <v>0</v>
      </c>
      <c r="Q211" s="305">
        <v>0</v>
      </c>
      <c r="R211" s="305">
        <v>0</v>
      </c>
      <c r="S211" s="305">
        <v>0</v>
      </c>
      <c r="T211" s="305">
        <v>0</v>
      </c>
      <c r="U211" s="305">
        <v>27606.454518918301</v>
      </c>
      <c r="V211" s="305">
        <v>60240.419732123897</v>
      </c>
      <c r="W211" s="305">
        <v>0</v>
      </c>
      <c r="X211" s="305">
        <v>0</v>
      </c>
      <c r="Y211" s="305">
        <v>0</v>
      </c>
      <c r="Z211" s="305">
        <v>0</v>
      </c>
      <c r="AA211" s="305">
        <v>0</v>
      </c>
      <c r="AB211" s="305">
        <v>0</v>
      </c>
      <c r="AC211" s="305">
        <v>0</v>
      </c>
      <c r="AD211" s="305">
        <v>0</v>
      </c>
      <c r="AE211" s="305">
        <v>0</v>
      </c>
      <c r="AF211" s="305">
        <v>0</v>
      </c>
      <c r="AG211" s="305">
        <v>0</v>
      </c>
      <c r="AH211" s="305">
        <v>0</v>
      </c>
      <c r="AI211" s="305">
        <v>0</v>
      </c>
      <c r="AJ211" s="305">
        <v>13.9069217450983</v>
      </c>
      <c r="AK211" s="305">
        <v>0</v>
      </c>
      <c r="AL211" s="305">
        <v>0</v>
      </c>
      <c r="AM211" s="305">
        <v>0</v>
      </c>
      <c r="AN211" s="305">
        <v>0</v>
      </c>
      <c r="AO211" s="305">
        <v>0</v>
      </c>
      <c r="AP211" s="305">
        <v>0</v>
      </c>
      <c r="AQ211" s="305">
        <v>0</v>
      </c>
      <c r="AR211" s="305">
        <v>0</v>
      </c>
      <c r="AS211" s="305">
        <v>0</v>
      </c>
      <c r="AT211" s="305">
        <v>0</v>
      </c>
      <c r="AU211" s="305">
        <v>0</v>
      </c>
      <c r="AV211" s="305">
        <v>0</v>
      </c>
      <c r="AW211" s="305">
        <v>0</v>
      </c>
      <c r="AX211" s="305">
        <v>0</v>
      </c>
      <c r="AY211" s="305">
        <v>4306.0802326205903</v>
      </c>
      <c r="AZ211" s="305">
        <v>0</v>
      </c>
      <c r="BA211" s="305">
        <v>0</v>
      </c>
      <c r="BB211" s="305">
        <v>0</v>
      </c>
      <c r="BC211" s="305">
        <v>0</v>
      </c>
      <c r="BD211" s="305">
        <v>0</v>
      </c>
      <c r="BE211" s="305">
        <v>0</v>
      </c>
      <c r="BF211" s="305">
        <v>0</v>
      </c>
    </row>
    <row r="212" spans="1:58">
      <c r="A212" s="304" t="s">
        <v>697</v>
      </c>
      <c r="B212" s="305">
        <v>0</v>
      </c>
      <c r="C212" s="305">
        <v>0</v>
      </c>
      <c r="D212" s="305">
        <v>0</v>
      </c>
      <c r="E212" s="305">
        <v>0</v>
      </c>
      <c r="F212" s="305">
        <v>0</v>
      </c>
      <c r="G212" s="305">
        <v>0</v>
      </c>
      <c r="H212" s="305">
        <v>0</v>
      </c>
      <c r="I212" s="305">
        <v>0</v>
      </c>
      <c r="J212" s="305">
        <v>0</v>
      </c>
      <c r="K212" s="305">
        <v>0</v>
      </c>
      <c r="L212" s="305">
        <v>0</v>
      </c>
      <c r="M212" s="305">
        <v>0</v>
      </c>
      <c r="N212" s="305">
        <v>0</v>
      </c>
      <c r="O212" s="305">
        <v>0</v>
      </c>
      <c r="P212" s="305">
        <v>0</v>
      </c>
      <c r="Q212" s="305">
        <v>0</v>
      </c>
      <c r="R212" s="305">
        <v>0</v>
      </c>
      <c r="S212" s="305">
        <v>0</v>
      </c>
      <c r="T212" s="305">
        <v>0</v>
      </c>
      <c r="U212" s="305">
        <v>0</v>
      </c>
      <c r="V212" s="305">
        <v>0</v>
      </c>
      <c r="W212" s="305">
        <v>0</v>
      </c>
      <c r="X212" s="305">
        <v>0</v>
      </c>
      <c r="Y212" s="305">
        <v>0</v>
      </c>
      <c r="Z212" s="305">
        <v>0</v>
      </c>
      <c r="AA212" s="305">
        <v>0</v>
      </c>
      <c r="AB212" s="305">
        <v>0</v>
      </c>
      <c r="AC212" s="305">
        <v>0</v>
      </c>
      <c r="AD212" s="305">
        <v>87222.135331413898</v>
      </c>
      <c r="AE212" s="305">
        <v>0</v>
      </c>
      <c r="AF212" s="305">
        <v>0</v>
      </c>
      <c r="AG212" s="305">
        <v>0</v>
      </c>
      <c r="AH212" s="305">
        <v>0</v>
      </c>
      <c r="AI212" s="305">
        <v>7739.25118007116</v>
      </c>
      <c r="AJ212" s="305">
        <v>0</v>
      </c>
      <c r="AK212" s="305">
        <v>0</v>
      </c>
      <c r="AL212" s="305">
        <v>0</v>
      </c>
      <c r="AM212" s="305">
        <v>0</v>
      </c>
      <c r="AN212" s="305">
        <v>0</v>
      </c>
      <c r="AO212" s="305">
        <v>0</v>
      </c>
      <c r="AP212" s="305">
        <v>0</v>
      </c>
      <c r="AQ212" s="305">
        <v>0</v>
      </c>
      <c r="AR212" s="305">
        <v>0</v>
      </c>
      <c r="AS212" s="305">
        <v>0</v>
      </c>
      <c r="AT212" s="305">
        <v>0</v>
      </c>
      <c r="AU212" s="305">
        <v>0</v>
      </c>
      <c r="AV212" s="305">
        <v>0</v>
      </c>
      <c r="AW212" s="305">
        <v>0</v>
      </c>
      <c r="AX212" s="305">
        <v>242016.07607977401</v>
      </c>
      <c r="AY212" s="305">
        <v>0</v>
      </c>
      <c r="AZ212" s="305">
        <v>0</v>
      </c>
      <c r="BA212" s="305">
        <v>0</v>
      </c>
      <c r="BB212" s="305">
        <v>0</v>
      </c>
      <c r="BC212" s="305">
        <v>0</v>
      </c>
      <c r="BD212" s="305">
        <v>0</v>
      </c>
      <c r="BE212" s="305">
        <v>0</v>
      </c>
      <c r="BF212" s="305">
        <v>0</v>
      </c>
    </row>
    <row r="213" spans="1:58">
      <c r="A213" s="304" t="s">
        <v>762</v>
      </c>
      <c r="B213" s="305">
        <v>0</v>
      </c>
      <c r="C213" s="305">
        <v>0</v>
      </c>
      <c r="D213" s="305">
        <v>0</v>
      </c>
      <c r="E213" s="305">
        <v>0</v>
      </c>
      <c r="F213" s="305">
        <v>0</v>
      </c>
      <c r="G213" s="305">
        <v>0</v>
      </c>
      <c r="H213" s="305">
        <v>0</v>
      </c>
      <c r="I213" s="305">
        <v>0</v>
      </c>
      <c r="J213" s="305">
        <v>0</v>
      </c>
      <c r="K213" s="305">
        <v>0</v>
      </c>
      <c r="L213" s="305">
        <v>0</v>
      </c>
      <c r="M213" s="305">
        <v>0</v>
      </c>
      <c r="N213" s="305">
        <v>0</v>
      </c>
      <c r="O213" s="305">
        <v>0</v>
      </c>
      <c r="P213" s="305">
        <v>0</v>
      </c>
      <c r="Q213" s="305">
        <v>0</v>
      </c>
      <c r="R213" s="305">
        <v>0</v>
      </c>
      <c r="S213" s="305">
        <v>0</v>
      </c>
      <c r="T213" s="305">
        <v>0</v>
      </c>
      <c r="U213" s="305">
        <v>0</v>
      </c>
      <c r="V213" s="305">
        <v>23202.895864865601</v>
      </c>
      <c r="W213" s="305">
        <v>0</v>
      </c>
      <c r="X213" s="305">
        <v>0</v>
      </c>
      <c r="Y213" s="305">
        <v>0</v>
      </c>
      <c r="Z213" s="305">
        <v>0</v>
      </c>
      <c r="AA213" s="305">
        <v>0</v>
      </c>
      <c r="AB213" s="305">
        <v>0</v>
      </c>
      <c r="AC213" s="305">
        <v>0</v>
      </c>
      <c r="AD213" s="305">
        <v>0</v>
      </c>
      <c r="AE213" s="305">
        <v>0</v>
      </c>
      <c r="AF213" s="305">
        <v>0</v>
      </c>
      <c r="AG213" s="305">
        <v>0</v>
      </c>
      <c r="AH213" s="305">
        <v>0</v>
      </c>
      <c r="AI213" s="305">
        <v>0</v>
      </c>
      <c r="AJ213" s="305">
        <v>5.54621255405754</v>
      </c>
      <c r="AK213" s="305">
        <v>0</v>
      </c>
      <c r="AL213" s="305">
        <v>0</v>
      </c>
      <c r="AM213" s="305">
        <v>0</v>
      </c>
      <c r="AN213" s="305">
        <v>0</v>
      </c>
      <c r="AO213" s="305">
        <v>0</v>
      </c>
      <c r="AP213" s="305">
        <v>0</v>
      </c>
      <c r="AQ213" s="305">
        <v>0</v>
      </c>
      <c r="AR213" s="305">
        <v>0</v>
      </c>
      <c r="AS213" s="305">
        <v>0</v>
      </c>
      <c r="AT213" s="305">
        <v>0</v>
      </c>
      <c r="AU213" s="305">
        <v>0</v>
      </c>
      <c r="AV213" s="305">
        <v>0</v>
      </c>
      <c r="AW213" s="305">
        <v>0</v>
      </c>
      <c r="AX213" s="305">
        <v>0</v>
      </c>
      <c r="AY213" s="305">
        <v>0</v>
      </c>
      <c r="AZ213" s="305">
        <v>0</v>
      </c>
      <c r="BA213" s="305">
        <v>0</v>
      </c>
      <c r="BB213" s="305">
        <v>0</v>
      </c>
      <c r="BC213" s="305">
        <v>0</v>
      </c>
      <c r="BD213" s="305">
        <v>0</v>
      </c>
      <c r="BE213" s="305">
        <v>0</v>
      </c>
      <c r="BF213" s="305">
        <v>0</v>
      </c>
    </row>
    <row r="214" spans="1:58">
      <c r="A214" s="304"/>
      <c r="B214" s="358" t="s">
        <v>699</v>
      </c>
      <c r="C214" s="371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1"/>
      <c r="T214" s="371"/>
      <c r="U214" s="371"/>
      <c r="V214" s="371"/>
      <c r="W214" s="371"/>
      <c r="X214" s="371"/>
      <c r="Y214" s="371"/>
      <c r="Z214" s="371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1"/>
      <c r="AK214" s="371"/>
      <c r="AL214" s="371"/>
      <c r="AM214" s="371"/>
      <c r="AN214" s="371"/>
      <c r="AO214" s="371"/>
      <c r="AP214" s="371"/>
      <c r="AQ214" s="371"/>
      <c r="AR214" s="371"/>
      <c r="AS214" s="371"/>
      <c r="AT214" s="371"/>
      <c r="AU214" s="371"/>
      <c r="AV214" s="371"/>
      <c r="AW214" s="371"/>
      <c r="AX214" s="371"/>
      <c r="AY214" s="371"/>
      <c r="AZ214" s="371"/>
      <c r="BA214" s="371"/>
      <c r="BB214" s="371"/>
      <c r="BC214" s="371"/>
      <c r="BD214" s="371"/>
      <c r="BE214" s="371"/>
      <c r="BF214" s="371"/>
    </row>
    <row r="217" spans="1:58" ht="227.4">
      <c r="A217" s="303" t="s">
        <v>641</v>
      </c>
      <c r="B217" s="234" t="s">
        <v>642</v>
      </c>
      <c r="C217" s="234" t="s">
        <v>708</v>
      </c>
      <c r="D217" s="234" t="s">
        <v>643</v>
      </c>
      <c r="E217" s="234" t="s">
        <v>644</v>
      </c>
      <c r="F217" s="234" t="s">
        <v>645</v>
      </c>
      <c r="G217" s="234" t="s">
        <v>646</v>
      </c>
      <c r="H217" s="234" t="s">
        <v>647</v>
      </c>
      <c r="I217" s="234" t="s">
        <v>648</v>
      </c>
      <c r="J217" s="234" t="s">
        <v>649</v>
      </c>
      <c r="K217" s="234" t="s">
        <v>650</v>
      </c>
      <c r="L217" s="234" t="s">
        <v>709</v>
      </c>
      <c r="M217" s="234" t="s">
        <v>651</v>
      </c>
      <c r="N217" s="234" t="s">
        <v>652</v>
      </c>
      <c r="O217" s="234" t="s">
        <v>653</v>
      </c>
      <c r="P217" s="234" t="s">
        <v>654</v>
      </c>
      <c r="Q217" s="234" t="s">
        <v>655</v>
      </c>
      <c r="R217" s="234" t="s">
        <v>710</v>
      </c>
      <c r="S217" s="234" t="s">
        <v>711</v>
      </c>
      <c r="T217" s="234" t="s">
        <v>656</v>
      </c>
      <c r="U217" s="234" t="s">
        <v>657</v>
      </c>
      <c r="V217" s="234" t="s">
        <v>658</v>
      </c>
      <c r="W217" s="234" t="s">
        <v>712</v>
      </c>
      <c r="X217" s="234" t="s">
        <v>713</v>
      </c>
      <c r="Y217" s="234" t="s">
        <v>659</v>
      </c>
      <c r="Z217" s="234" t="s">
        <v>660</v>
      </c>
      <c r="AA217" s="234" t="s">
        <v>661</v>
      </c>
      <c r="AB217" s="234" t="s">
        <v>662</v>
      </c>
      <c r="AC217" s="234" t="s">
        <v>663</v>
      </c>
      <c r="AD217" s="234" t="s">
        <v>664</v>
      </c>
      <c r="AE217" s="234" t="s">
        <v>665</v>
      </c>
      <c r="AF217" s="234" t="s">
        <v>666</v>
      </c>
      <c r="AG217" s="234" t="s">
        <v>667</v>
      </c>
      <c r="AH217" s="234" t="s">
        <v>668</v>
      </c>
      <c r="AI217" s="234" t="s">
        <v>669</v>
      </c>
      <c r="AJ217" s="234" t="s">
        <v>670</v>
      </c>
      <c r="AK217" s="234" t="s">
        <v>671</v>
      </c>
      <c r="AL217" s="234" t="s">
        <v>714</v>
      </c>
      <c r="AM217" s="234" t="s">
        <v>715</v>
      </c>
      <c r="AN217" s="234" t="s">
        <v>716</v>
      </c>
      <c r="AO217" s="234" t="s">
        <v>717</v>
      </c>
      <c r="AP217" s="234" t="s">
        <v>718</v>
      </c>
      <c r="AQ217" s="234" t="s">
        <v>719</v>
      </c>
      <c r="AR217" s="234" t="s">
        <v>720</v>
      </c>
      <c r="AS217" s="234" t="s">
        <v>721</v>
      </c>
      <c r="AT217" s="234" t="s">
        <v>672</v>
      </c>
      <c r="AU217" s="234" t="s">
        <v>673</v>
      </c>
      <c r="AV217" s="234" t="s">
        <v>722</v>
      </c>
      <c r="AW217" s="234" t="s">
        <v>723</v>
      </c>
      <c r="AX217" s="234" t="s">
        <v>674</v>
      </c>
      <c r="AY217" s="234" t="s">
        <v>724</v>
      </c>
      <c r="AZ217" s="234" t="s">
        <v>725</v>
      </c>
      <c r="BA217" s="234" t="s">
        <v>726</v>
      </c>
      <c r="BB217" s="234" t="s">
        <v>675</v>
      </c>
      <c r="BC217" s="234" t="s">
        <v>676</v>
      </c>
      <c r="BD217" s="234" t="s">
        <v>677</v>
      </c>
      <c r="BE217" s="234" t="s">
        <v>727</v>
      </c>
      <c r="BF217" s="234" t="s">
        <v>728</v>
      </c>
    </row>
    <row r="218" spans="1:58">
      <c r="A218" s="304" t="s">
        <v>729</v>
      </c>
      <c r="B218" s="302">
        <v>0</v>
      </c>
      <c r="C218" s="302">
        <v>0</v>
      </c>
      <c r="D218" s="302">
        <v>0</v>
      </c>
      <c r="E218" s="302">
        <v>0</v>
      </c>
      <c r="F218" s="302">
        <v>0</v>
      </c>
      <c r="G218" s="302">
        <v>0</v>
      </c>
      <c r="H218" s="302">
        <v>0</v>
      </c>
      <c r="I218" s="302">
        <v>0</v>
      </c>
      <c r="J218" s="302">
        <v>0</v>
      </c>
      <c r="K218" s="302">
        <v>0</v>
      </c>
      <c r="L218" s="302">
        <v>0</v>
      </c>
      <c r="M218" s="302">
        <v>0</v>
      </c>
      <c r="N218" s="302">
        <v>0</v>
      </c>
      <c r="O218" s="302">
        <v>0</v>
      </c>
      <c r="P218" s="302">
        <v>0</v>
      </c>
      <c r="Q218" s="302">
        <v>0</v>
      </c>
      <c r="R218" s="302">
        <v>82025.350859294602</v>
      </c>
      <c r="S218" s="302">
        <v>0</v>
      </c>
      <c r="T218" s="302">
        <v>0</v>
      </c>
      <c r="U218" s="302">
        <v>0</v>
      </c>
      <c r="V218" s="302">
        <v>0</v>
      </c>
      <c r="W218" s="302">
        <v>0</v>
      </c>
      <c r="X218" s="302">
        <v>0</v>
      </c>
      <c r="Y218" s="302">
        <v>0</v>
      </c>
      <c r="Z218" s="302">
        <v>0</v>
      </c>
      <c r="AA218" s="302">
        <v>0</v>
      </c>
      <c r="AB218" s="302">
        <v>0</v>
      </c>
      <c r="AC218" s="302">
        <v>0</v>
      </c>
      <c r="AD218" s="302">
        <v>0</v>
      </c>
      <c r="AE218" s="302">
        <v>0</v>
      </c>
      <c r="AF218" s="302">
        <v>0</v>
      </c>
      <c r="AG218" s="302">
        <v>0</v>
      </c>
      <c r="AH218" s="302">
        <v>0</v>
      </c>
      <c r="AI218" s="302">
        <v>0</v>
      </c>
      <c r="AJ218" s="302">
        <v>0</v>
      </c>
      <c r="AK218" s="302">
        <v>0</v>
      </c>
      <c r="AL218" s="302">
        <v>0</v>
      </c>
      <c r="AM218" s="302">
        <v>0</v>
      </c>
      <c r="AN218" s="302">
        <v>0</v>
      </c>
      <c r="AO218" s="302">
        <v>0</v>
      </c>
      <c r="AP218" s="302">
        <v>0</v>
      </c>
      <c r="AQ218" s="302">
        <v>0</v>
      </c>
      <c r="AR218" s="302">
        <v>0</v>
      </c>
      <c r="AS218" s="302">
        <v>0</v>
      </c>
      <c r="AT218" s="302">
        <v>0</v>
      </c>
      <c r="AU218" s="302">
        <v>0</v>
      </c>
      <c r="AV218" s="302">
        <v>0</v>
      </c>
      <c r="AW218" s="302">
        <v>0</v>
      </c>
      <c r="AX218" s="302">
        <v>0</v>
      </c>
      <c r="AY218" s="302">
        <v>0</v>
      </c>
      <c r="AZ218" s="302">
        <v>0</v>
      </c>
      <c r="BA218" s="302">
        <v>0</v>
      </c>
      <c r="BB218" s="302">
        <v>0</v>
      </c>
      <c r="BC218" s="302">
        <v>0</v>
      </c>
      <c r="BD218" s="302">
        <v>0</v>
      </c>
      <c r="BE218" s="302">
        <v>0</v>
      </c>
      <c r="BF218" s="302">
        <v>0</v>
      </c>
    </row>
    <row r="219" spans="1:58">
      <c r="A219" s="304" t="s">
        <v>730</v>
      </c>
      <c r="B219" s="302">
        <v>0</v>
      </c>
      <c r="C219" s="302">
        <v>0</v>
      </c>
      <c r="D219" s="302">
        <v>0</v>
      </c>
      <c r="E219" s="302">
        <v>0</v>
      </c>
      <c r="F219" s="302">
        <v>0</v>
      </c>
      <c r="G219" s="302">
        <v>0</v>
      </c>
      <c r="H219" s="302">
        <v>0</v>
      </c>
      <c r="I219" s="302">
        <v>0</v>
      </c>
      <c r="J219" s="302">
        <v>0</v>
      </c>
      <c r="K219" s="302">
        <v>0</v>
      </c>
      <c r="L219" s="302">
        <v>0</v>
      </c>
      <c r="M219" s="302">
        <v>0</v>
      </c>
      <c r="N219" s="302">
        <v>0</v>
      </c>
      <c r="O219" s="302">
        <v>0</v>
      </c>
      <c r="P219" s="302">
        <v>0</v>
      </c>
      <c r="Q219" s="302">
        <v>0</v>
      </c>
      <c r="R219" s="302">
        <v>0</v>
      </c>
      <c r="S219" s="302">
        <v>0</v>
      </c>
      <c r="T219" s="302">
        <v>40734.729934752402</v>
      </c>
      <c r="U219" s="302">
        <v>0</v>
      </c>
      <c r="V219" s="302">
        <v>0</v>
      </c>
      <c r="W219" s="302">
        <v>0</v>
      </c>
      <c r="X219" s="302">
        <v>0</v>
      </c>
      <c r="Y219" s="302">
        <v>0</v>
      </c>
      <c r="Z219" s="302">
        <v>0</v>
      </c>
      <c r="AA219" s="302">
        <v>0</v>
      </c>
      <c r="AB219" s="302">
        <v>0</v>
      </c>
      <c r="AC219" s="302">
        <v>0</v>
      </c>
      <c r="AD219" s="302">
        <v>0</v>
      </c>
      <c r="AE219" s="302">
        <v>0</v>
      </c>
      <c r="AF219" s="302">
        <v>0</v>
      </c>
      <c r="AG219" s="302">
        <v>0</v>
      </c>
      <c r="AH219" s="302">
        <v>0</v>
      </c>
      <c r="AI219" s="302">
        <v>0</v>
      </c>
      <c r="AJ219" s="302">
        <v>0</v>
      </c>
      <c r="AK219" s="302">
        <v>0</v>
      </c>
      <c r="AL219" s="302">
        <v>0</v>
      </c>
      <c r="AM219" s="302">
        <v>0</v>
      </c>
      <c r="AN219" s="302">
        <v>0</v>
      </c>
      <c r="AO219" s="302">
        <v>0</v>
      </c>
      <c r="AP219" s="302">
        <v>0</v>
      </c>
      <c r="AQ219" s="302">
        <v>0</v>
      </c>
      <c r="AR219" s="302">
        <v>0</v>
      </c>
      <c r="AS219" s="302">
        <v>0</v>
      </c>
      <c r="AT219" s="302">
        <v>0</v>
      </c>
      <c r="AU219" s="302">
        <v>0</v>
      </c>
      <c r="AV219" s="302">
        <v>0</v>
      </c>
      <c r="AW219" s="302">
        <v>0</v>
      </c>
      <c r="AX219" s="302">
        <v>0</v>
      </c>
      <c r="AY219" s="302">
        <v>0</v>
      </c>
      <c r="AZ219" s="302">
        <v>0</v>
      </c>
      <c r="BA219" s="302">
        <v>0</v>
      </c>
      <c r="BB219" s="302">
        <v>0</v>
      </c>
      <c r="BC219" s="302">
        <v>0</v>
      </c>
      <c r="BD219" s="302">
        <v>0</v>
      </c>
      <c r="BE219" s="302">
        <v>0</v>
      </c>
      <c r="BF219" s="302">
        <v>0</v>
      </c>
    </row>
    <row r="220" spans="1:58">
      <c r="A220" s="304" t="s">
        <v>731</v>
      </c>
      <c r="B220" s="302">
        <v>0</v>
      </c>
      <c r="C220" s="302">
        <v>0</v>
      </c>
      <c r="D220" s="302">
        <v>0</v>
      </c>
      <c r="E220" s="302">
        <v>0</v>
      </c>
      <c r="F220" s="302">
        <v>0</v>
      </c>
      <c r="G220" s="302">
        <v>0</v>
      </c>
      <c r="H220" s="302">
        <v>0</v>
      </c>
      <c r="I220" s="302">
        <v>0</v>
      </c>
      <c r="J220" s="302">
        <v>0</v>
      </c>
      <c r="K220" s="302">
        <v>0</v>
      </c>
      <c r="L220" s="302">
        <v>0</v>
      </c>
      <c r="M220" s="302">
        <v>0</v>
      </c>
      <c r="N220" s="302">
        <v>0</v>
      </c>
      <c r="O220" s="302">
        <v>0</v>
      </c>
      <c r="P220" s="302">
        <v>0</v>
      </c>
      <c r="Q220" s="302">
        <v>0</v>
      </c>
      <c r="R220" s="302">
        <v>0</v>
      </c>
      <c r="S220" s="302">
        <v>0</v>
      </c>
      <c r="T220" s="302">
        <v>0</v>
      </c>
      <c r="U220" s="302">
        <v>872.21663759437695</v>
      </c>
      <c r="V220" s="302">
        <v>0</v>
      </c>
      <c r="W220" s="302">
        <v>0</v>
      </c>
      <c r="X220" s="302">
        <v>0</v>
      </c>
      <c r="Y220" s="302">
        <v>0</v>
      </c>
      <c r="Z220" s="302">
        <v>0</v>
      </c>
      <c r="AA220" s="302">
        <v>0</v>
      </c>
      <c r="AB220" s="302">
        <v>0</v>
      </c>
      <c r="AC220" s="302">
        <v>0</v>
      </c>
      <c r="AD220" s="302">
        <v>0</v>
      </c>
      <c r="AE220" s="302">
        <v>0</v>
      </c>
      <c r="AF220" s="302">
        <v>0</v>
      </c>
      <c r="AG220" s="302">
        <v>0</v>
      </c>
      <c r="AH220" s="302">
        <v>0</v>
      </c>
      <c r="AI220" s="302">
        <v>0</v>
      </c>
      <c r="AJ220" s="302">
        <v>0</v>
      </c>
      <c r="AK220" s="302">
        <v>0</v>
      </c>
      <c r="AL220" s="302">
        <v>0</v>
      </c>
      <c r="AM220" s="302">
        <v>0</v>
      </c>
      <c r="AN220" s="302">
        <v>0</v>
      </c>
      <c r="AO220" s="302">
        <v>0</v>
      </c>
      <c r="AP220" s="302">
        <v>0</v>
      </c>
      <c r="AQ220" s="302">
        <v>0</v>
      </c>
      <c r="AR220" s="302">
        <v>0</v>
      </c>
      <c r="AS220" s="302">
        <v>0</v>
      </c>
      <c r="AT220" s="302">
        <v>0</v>
      </c>
      <c r="AU220" s="302">
        <v>0</v>
      </c>
      <c r="AV220" s="302">
        <v>0</v>
      </c>
      <c r="AW220" s="302">
        <v>0</v>
      </c>
      <c r="AX220" s="302">
        <v>0</v>
      </c>
      <c r="AY220" s="302">
        <v>0</v>
      </c>
      <c r="AZ220" s="302">
        <v>0</v>
      </c>
      <c r="BA220" s="302">
        <v>0</v>
      </c>
      <c r="BB220" s="302">
        <v>0</v>
      </c>
      <c r="BC220" s="302">
        <v>0</v>
      </c>
      <c r="BD220" s="302">
        <v>0</v>
      </c>
      <c r="BE220" s="302">
        <v>0</v>
      </c>
      <c r="BF220" s="302">
        <v>0</v>
      </c>
    </row>
    <row r="221" spans="1:58">
      <c r="A221" s="304" t="s">
        <v>732</v>
      </c>
      <c r="B221" s="302">
        <v>0</v>
      </c>
      <c r="C221" s="302">
        <v>0</v>
      </c>
      <c r="D221" s="302">
        <v>0</v>
      </c>
      <c r="E221" s="302">
        <v>0</v>
      </c>
      <c r="F221" s="302">
        <v>0</v>
      </c>
      <c r="G221" s="302">
        <v>0</v>
      </c>
      <c r="H221" s="302">
        <v>0</v>
      </c>
      <c r="I221" s="302">
        <v>0</v>
      </c>
      <c r="J221" s="302">
        <v>0</v>
      </c>
      <c r="K221" s="302">
        <v>0</v>
      </c>
      <c r="L221" s="302">
        <v>0</v>
      </c>
      <c r="M221" s="302">
        <v>0</v>
      </c>
      <c r="N221" s="302">
        <v>0</v>
      </c>
      <c r="O221" s="302">
        <v>0</v>
      </c>
      <c r="P221" s="302">
        <v>0</v>
      </c>
      <c r="Q221" s="302">
        <v>0</v>
      </c>
      <c r="R221" s="302">
        <v>0</v>
      </c>
      <c r="S221" s="302">
        <v>0</v>
      </c>
      <c r="T221" s="302">
        <v>0</v>
      </c>
      <c r="U221" s="302">
        <v>0</v>
      </c>
      <c r="V221" s="302">
        <v>36781.329005505002</v>
      </c>
      <c r="W221" s="302">
        <v>0</v>
      </c>
      <c r="X221" s="302">
        <v>0</v>
      </c>
      <c r="Y221" s="302">
        <v>0</v>
      </c>
      <c r="Z221" s="302">
        <v>0</v>
      </c>
      <c r="AA221" s="302">
        <v>0</v>
      </c>
      <c r="AB221" s="302">
        <v>0</v>
      </c>
      <c r="AC221" s="302">
        <v>0</v>
      </c>
      <c r="AD221" s="302">
        <v>0</v>
      </c>
      <c r="AE221" s="302">
        <v>0</v>
      </c>
      <c r="AF221" s="302">
        <v>0</v>
      </c>
      <c r="AG221" s="302">
        <v>0</v>
      </c>
      <c r="AH221" s="302">
        <v>0</v>
      </c>
      <c r="AI221" s="302">
        <v>0</v>
      </c>
      <c r="AJ221" s="302">
        <v>0</v>
      </c>
      <c r="AK221" s="302">
        <v>0</v>
      </c>
      <c r="AL221" s="302">
        <v>0</v>
      </c>
      <c r="AM221" s="302">
        <v>0</v>
      </c>
      <c r="AN221" s="302">
        <v>0</v>
      </c>
      <c r="AO221" s="302">
        <v>0</v>
      </c>
      <c r="AP221" s="302">
        <v>0</v>
      </c>
      <c r="AQ221" s="302">
        <v>0</v>
      </c>
      <c r="AR221" s="302">
        <v>0</v>
      </c>
      <c r="AS221" s="302">
        <v>0</v>
      </c>
      <c r="AT221" s="302">
        <v>0</v>
      </c>
      <c r="AU221" s="302">
        <v>0</v>
      </c>
      <c r="AV221" s="302">
        <v>0</v>
      </c>
      <c r="AW221" s="302">
        <v>0</v>
      </c>
      <c r="AX221" s="302">
        <v>0</v>
      </c>
      <c r="AY221" s="302">
        <v>0</v>
      </c>
      <c r="AZ221" s="302">
        <v>0</v>
      </c>
      <c r="BA221" s="302">
        <v>0</v>
      </c>
      <c r="BB221" s="302">
        <v>0</v>
      </c>
      <c r="BC221" s="302">
        <v>0</v>
      </c>
      <c r="BD221" s="302">
        <v>0</v>
      </c>
      <c r="BE221" s="302">
        <v>0</v>
      </c>
      <c r="BF221" s="302">
        <v>0</v>
      </c>
    </row>
    <row r="222" spans="1:58">
      <c r="A222" s="304" t="s">
        <v>733</v>
      </c>
      <c r="B222" s="302">
        <v>0</v>
      </c>
      <c r="C222" s="302">
        <v>0</v>
      </c>
      <c r="D222" s="302">
        <v>0</v>
      </c>
      <c r="E222" s="302">
        <v>0</v>
      </c>
      <c r="F222" s="302">
        <v>0</v>
      </c>
      <c r="G222" s="302">
        <v>0</v>
      </c>
      <c r="H222" s="302">
        <v>0</v>
      </c>
      <c r="I222" s="302">
        <v>0</v>
      </c>
      <c r="J222" s="302">
        <v>0</v>
      </c>
      <c r="K222" s="302">
        <v>0</v>
      </c>
      <c r="L222" s="302">
        <v>0</v>
      </c>
      <c r="M222" s="302">
        <v>0</v>
      </c>
      <c r="N222" s="302">
        <v>0</v>
      </c>
      <c r="O222" s="302">
        <v>0</v>
      </c>
      <c r="P222" s="302">
        <v>0</v>
      </c>
      <c r="Q222" s="302">
        <v>0</v>
      </c>
      <c r="R222" s="302">
        <v>0</v>
      </c>
      <c r="S222" s="302">
        <v>0</v>
      </c>
      <c r="T222" s="302">
        <v>0</v>
      </c>
      <c r="U222" s="302">
        <v>0</v>
      </c>
      <c r="V222" s="302">
        <v>0</v>
      </c>
      <c r="W222" s="302">
        <v>0</v>
      </c>
      <c r="X222" s="302">
        <v>0</v>
      </c>
      <c r="Y222" s="302">
        <v>0</v>
      </c>
      <c r="Z222" s="302">
        <v>0</v>
      </c>
      <c r="AA222" s="302">
        <v>0</v>
      </c>
      <c r="AB222" s="302">
        <v>0</v>
      </c>
      <c r="AC222" s="302">
        <v>0</v>
      </c>
      <c r="AD222" s="302">
        <v>0</v>
      </c>
      <c r="AE222" s="302">
        <v>0</v>
      </c>
      <c r="AF222" s="302">
        <v>0</v>
      </c>
      <c r="AG222" s="302">
        <v>0</v>
      </c>
      <c r="AH222" s="302">
        <v>0</v>
      </c>
      <c r="AI222" s="302">
        <v>0</v>
      </c>
      <c r="AJ222" s="302">
        <v>2.7994452863509598</v>
      </c>
      <c r="AK222" s="302">
        <v>0</v>
      </c>
      <c r="AL222" s="302">
        <v>0</v>
      </c>
      <c r="AM222" s="302">
        <v>0</v>
      </c>
      <c r="AN222" s="302">
        <v>0</v>
      </c>
      <c r="AO222" s="302">
        <v>0</v>
      </c>
      <c r="AP222" s="302">
        <v>0</v>
      </c>
      <c r="AQ222" s="302">
        <v>0</v>
      </c>
      <c r="AR222" s="302">
        <v>0</v>
      </c>
      <c r="AS222" s="302">
        <v>0</v>
      </c>
      <c r="AT222" s="302">
        <v>0</v>
      </c>
      <c r="AU222" s="302">
        <v>0</v>
      </c>
      <c r="AV222" s="302">
        <v>0</v>
      </c>
      <c r="AW222" s="302">
        <v>0</v>
      </c>
      <c r="AX222" s="302">
        <v>0</v>
      </c>
      <c r="AY222" s="302">
        <v>0</v>
      </c>
      <c r="AZ222" s="302">
        <v>0</v>
      </c>
      <c r="BA222" s="302">
        <v>0</v>
      </c>
      <c r="BB222" s="302">
        <v>0</v>
      </c>
      <c r="BC222" s="302">
        <v>0</v>
      </c>
      <c r="BD222" s="302">
        <v>0</v>
      </c>
      <c r="BE222" s="302">
        <v>0</v>
      </c>
      <c r="BF222" s="302">
        <v>0</v>
      </c>
    </row>
    <row r="223" spans="1:58">
      <c r="A223" s="304" t="s">
        <v>734</v>
      </c>
      <c r="B223" s="302">
        <v>0</v>
      </c>
      <c r="C223" s="302">
        <v>0</v>
      </c>
      <c r="D223" s="302">
        <v>0</v>
      </c>
      <c r="E223" s="302">
        <v>0</v>
      </c>
      <c r="F223" s="302">
        <v>0</v>
      </c>
      <c r="G223" s="302">
        <v>0</v>
      </c>
      <c r="H223" s="302">
        <v>0</v>
      </c>
      <c r="I223" s="302">
        <v>0</v>
      </c>
      <c r="J223" s="302">
        <v>0</v>
      </c>
      <c r="K223" s="302">
        <v>0</v>
      </c>
      <c r="L223" s="302">
        <v>0</v>
      </c>
      <c r="M223" s="302">
        <v>0</v>
      </c>
      <c r="N223" s="302">
        <v>0</v>
      </c>
      <c r="O223" s="302">
        <v>0</v>
      </c>
      <c r="P223" s="302">
        <v>0</v>
      </c>
      <c r="Q223" s="302">
        <v>0</v>
      </c>
      <c r="R223" s="302">
        <v>0</v>
      </c>
      <c r="S223" s="302">
        <v>0</v>
      </c>
      <c r="T223" s="302">
        <v>0</v>
      </c>
      <c r="U223" s="302">
        <v>0</v>
      </c>
      <c r="V223" s="302">
        <v>0</v>
      </c>
      <c r="W223" s="302">
        <v>0</v>
      </c>
      <c r="X223" s="302">
        <v>0</v>
      </c>
      <c r="Y223" s="302">
        <v>0</v>
      </c>
      <c r="Z223" s="302">
        <v>0</v>
      </c>
      <c r="AA223" s="302">
        <v>0</v>
      </c>
      <c r="AB223" s="302">
        <v>0</v>
      </c>
      <c r="AC223" s="302">
        <v>0</v>
      </c>
      <c r="AD223" s="302">
        <v>0</v>
      </c>
      <c r="AE223" s="302">
        <v>0</v>
      </c>
      <c r="AF223" s="302">
        <v>0</v>
      </c>
      <c r="AG223" s="302">
        <v>0</v>
      </c>
      <c r="AH223" s="302">
        <v>0</v>
      </c>
      <c r="AI223" s="302">
        <v>0</v>
      </c>
      <c r="AJ223" s="302">
        <v>0</v>
      </c>
      <c r="AK223" s="302">
        <v>11125349.8339001</v>
      </c>
      <c r="AL223" s="302">
        <v>0</v>
      </c>
      <c r="AM223" s="302">
        <v>0</v>
      </c>
      <c r="AN223" s="302">
        <v>0</v>
      </c>
      <c r="AO223" s="302">
        <v>0</v>
      </c>
      <c r="AP223" s="302">
        <v>0</v>
      </c>
      <c r="AQ223" s="302">
        <v>0</v>
      </c>
      <c r="AR223" s="302">
        <v>0</v>
      </c>
      <c r="AS223" s="302">
        <v>0</v>
      </c>
      <c r="AT223" s="302">
        <v>0</v>
      </c>
      <c r="AU223" s="302">
        <v>0</v>
      </c>
      <c r="AV223" s="302">
        <v>0</v>
      </c>
      <c r="AW223" s="302">
        <v>0</v>
      </c>
      <c r="AX223" s="302">
        <v>0</v>
      </c>
      <c r="AY223" s="302">
        <v>0</v>
      </c>
      <c r="AZ223" s="302">
        <v>0</v>
      </c>
      <c r="BA223" s="302">
        <v>0</v>
      </c>
      <c r="BB223" s="302">
        <v>0</v>
      </c>
      <c r="BC223" s="302">
        <v>0</v>
      </c>
      <c r="BD223" s="302">
        <v>0</v>
      </c>
      <c r="BE223" s="302">
        <v>0</v>
      </c>
      <c r="BF223" s="302">
        <v>0</v>
      </c>
    </row>
    <row r="224" spans="1:58">
      <c r="A224" s="304" t="s">
        <v>735</v>
      </c>
      <c r="B224" s="302">
        <v>0</v>
      </c>
      <c r="C224" s="302">
        <v>0</v>
      </c>
      <c r="D224" s="302">
        <v>0</v>
      </c>
      <c r="E224" s="302">
        <v>0</v>
      </c>
      <c r="F224" s="302">
        <v>0</v>
      </c>
      <c r="G224" s="302">
        <v>0</v>
      </c>
      <c r="H224" s="302">
        <v>0</v>
      </c>
      <c r="I224" s="302">
        <v>0</v>
      </c>
      <c r="J224" s="302">
        <v>0</v>
      </c>
      <c r="K224" s="302">
        <v>0</v>
      </c>
      <c r="L224" s="302">
        <v>0</v>
      </c>
      <c r="M224" s="302">
        <v>0</v>
      </c>
      <c r="N224" s="302">
        <v>0</v>
      </c>
      <c r="O224" s="302">
        <v>0</v>
      </c>
      <c r="P224" s="302">
        <v>0</v>
      </c>
      <c r="Q224" s="302">
        <v>0</v>
      </c>
      <c r="R224" s="302">
        <v>0</v>
      </c>
      <c r="S224" s="302">
        <v>0</v>
      </c>
      <c r="T224" s="302">
        <v>0</v>
      </c>
      <c r="U224" s="302">
        <v>0</v>
      </c>
      <c r="V224" s="302">
        <v>0</v>
      </c>
      <c r="W224" s="302">
        <v>0</v>
      </c>
      <c r="X224" s="302">
        <v>0</v>
      </c>
      <c r="Y224" s="302">
        <v>0</v>
      </c>
      <c r="Z224" s="302">
        <v>0</v>
      </c>
      <c r="AA224" s="302">
        <v>0</v>
      </c>
      <c r="AB224" s="302">
        <v>0</v>
      </c>
      <c r="AC224" s="302">
        <v>0</v>
      </c>
      <c r="AD224" s="302">
        <v>0</v>
      </c>
      <c r="AE224" s="302">
        <v>0</v>
      </c>
      <c r="AF224" s="302">
        <v>0</v>
      </c>
      <c r="AG224" s="302">
        <v>0</v>
      </c>
      <c r="AH224" s="302">
        <v>0</v>
      </c>
      <c r="AI224" s="302">
        <v>0</v>
      </c>
      <c r="AJ224" s="302">
        <v>0</v>
      </c>
      <c r="AK224" s="302">
        <v>0</v>
      </c>
      <c r="AL224" s="302">
        <v>0</v>
      </c>
      <c r="AM224" s="302">
        <v>0</v>
      </c>
      <c r="AN224" s="302">
        <v>0</v>
      </c>
      <c r="AO224" s="302">
        <v>0</v>
      </c>
      <c r="AP224" s="302">
        <v>0</v>
      </c>
      <c r="AQ224" s="302">
        <v>0</v>
      </c>
      <c r="AR224" s="302">
        <v>0</v>
      </c>
      <c r="AS224" s="302">
        <v>0</v>
      </c>
      <c r="AT224" s="302">
        <v>0</v>
      </c>
      <c r="AU224" s="302">
        <v>0</v>
      </c>
      <c r="AV224" s="302">
        <v>24.966118436670801</v>
      </c>
      <c r="AW224" s="302">
        <v>0</v>
      </c>
      <c r="AX224" s="302">
        <v>0</v>
      </c>
      <c r="AY224" s="302">
        <v>0</v>
      </c>
      <c r="AZ224" s="302">
        <v>0</v>
      </c>
      <c r="BA224" s="302">
        <v>0</v>
      </c>
      <c r="BB224" s="302">
        <v>0</v>
      </c>
      <c r="BC224" s="302">
        <v>0</v>
      </c>
      <c r="BD224" s="302">
        <v>0</v>
      </c>
      <c r="BE224" s="302">
        <v>0</v>
      </c>
      <c r="BF224" s="302">
        <v>0</v>
      </c>
    </row>
    <row r="225" spans="1:58">
      <c r="A225" s="304" t="s">
        <v>736</v>
      </c>
      <c r="B225" s="302">
        <v>0</v>
      </c>
      <c r="C225" s="302">
        <v>45017.590801780199</v>
      </c>
      <c r="D225" s="302">
        <v>0</v>
      </c>
      <c r="E225" s="302">
        <v>0</v>
      </c>
      <c r="F225" s="302">
        <v>0</v>
      </c>
      <c r="G225" s="302">
        <v>0</v>
      </c>
      <c r="H225" s="302">
        <v>0</v>
      </c>
      <c r="I225" s="302">
        <v>0</v>
      </c>
      <c r="J225" s="302">
        <v>0</v>
      </c>
      <c r="K225" s="302">
        <v>0</v>
      </c>
      <c r="L225" s="302">
        <v>0</v>
      </c>
      <c r="M225" s="302">
        <v>0</v>
      </c>
      <c r="N225" s="302">
        <v>0</v>
      </c>
      <c r="O225" s="302">
        <v>0</v>
      </c>
      <c r="P225" s="302">
        <v>0</v>
      </c>
      <c r="Q225" s="302">
        <v>0</v>
      </c>
      <c r="R225" s="302">
        <v>0</v>
      </c>
      <c r="S225" s="302">
        <v>0</v>
      </c>
      <c r="T225" s="302">
        <v>0</v>
      </c>
      <c r="U225" s="302">
        <v>0</v>
      </c>
      <c r="V225" s="302">
        <v>0</v>
      </c>
      <c r="W225" s="302">
        <v>0</v>
      </c>
      <c r="X225" s="302">
        <v>0</v>
      </c>
      <c r="Y225" s="302">
        <v>0</v>
      </c>
      <c r="Z225" s="302">
        <v>0</v>
      </c>
      <c r="AA225" s="302">
        <v>0</v>
      </c>
      <c r="AB225" s="302">
        <v>0</v>
      </c>
      <c r="AC225" s="302">
        <v>0</v>
      </c>
      <c r="AD225" s="302">
        <v>0</v>
      </c>
      <c r="AE225" s="302">
        <v>0</v>
      </c>
      <c r="AF225" s="302">
        <v>0</v>
      </c>
      <c r="AG225" s="302">
        <v>0</v>
      </c>
      <c r="AH225" s="302">
        <v>0</v>
      </c>
      <c r="AI225" s="302">
        <v>0</v>
      </c>
      <c r="AJ225" s="302">
        <v>0</v>
      </c>
      <c r="AK225" s="302">
        <v>0</v>
      </c>
      <c r="AL225" s="302">
        <v>0</v>
      </c>
      <c r="AM225" s="302">
        <v>0</v>
      </c>
      <c r="AN225" s="302">
        <v>0</v>
      </c>
      <c r="AO225" s="302">
        <v>0</v>
      </c>
      <c r="AP225" s="302">
        <v>0</v>
      </c>
      <c r="AQ225" s="302">
        <v>0</v>
      </c>
      <c r="AR225" s="302">
        <v>0</v>
      </c>
      <c r="AS225" s="302">
        <v>0</v>
      </c>
      <c r="AT225" s="302">
        <v>0</v>
      </c>
      <c r="AU225" s="302">
        <v>0</v>
      </c>
      <c r="AV225" s="302">
        <v>0</v>
      </c>
      <c r="AW225" s="302">
        <v>0</v>
      </c>
      <c r="AX225" s="302">
        <v>0</v>
      </c>
      <c r="AY225" s="302">
        <v>0</v>
      </c>
      <c r="AZ225" s="302">
        <v>0</v>
      </c>
      <c r="BA225" s="302">
        <v>0</v>
      </c>
      <c r="BB225" s="302">
        <v>0</v>
      </c>
      <c r="BC225" s="302">
        <v>0</v>
      </c>
      <c r="BD225" s="302">
        <v>0</v>
      </c>
      <c r="BE225" s="302">
        <v>0</v>
      </c>
      <c r="BF225" s="302">
        <v>0</v>
      </c>
    </row>
    <row r="226" spans="1:58">
      <c r="A226" s="304" t="s">
        <v>680</v>
      </c>
      <c r="B226" s="302">
        <v>0</v>
      </c>
      <c r="C226" s="302">
        <v>0</v>
      </c>
      <c r="D226" s="302">
        <v>0</v>
      </c>
      <c r="E226" s="302">
        <v>0</v>
      </c>
      <c r="F226" s="302">
        <v>0</v>
      </c>
      <c r="G226" s="302">
        <v>0</v>
      </c>
      <c r="H226" s="302">
        <v>0</v>
      </c>
      <c r="I226" s="302">
        <v>0</v>
      </c>
      <c r="J226" s="302">
        <v>8850991.3601140399</v>
      </c>
      <c r="K226" s="302">
        <v>0</v>
      </c>
      <c r="L226" s="302">
        <v>0</v>
      </c>
      <c r="M226" s="302">
        <v>0</v>
      </c>
      <c r="N226" s="302">
        <v>0</v>
      </c>
      <c r="O226" s="302">
        <v>0</v>
      </c>
      <c r="P226" s="302">
        <v>0</v>
      </c>
      <c r="Q226" s="302">
        <v>0</v>
      </c>
      <c r="R226" s="302">
        <v>0</v>
      </c>
      <c r="S226" s="302">
        <v>0</v>
      </c>
      <c r="T226" s="302">
        <v>0</v>
      </c>
      <c r="U226" s="302">
        <v>0</v>
      </c>
      <c r="V226" s="302">
        <v>0</v>
      </c>
      <c r="W226" s="302">
        <v>0</v>
      </c>
      <c r="X226" s="302">
        <v>0</v>
      </c>
      <c r="Y226" s="302">
        <v>0</v>
      </c>
      <c r="Z226" s="302">
        <v>0</v>
      </c>
      <c r="AA226" s="302">
        <v>0</v>
      </c>
      <c r="AB226" s="302">
        <v>0</v>
      </c>
      <c r="AC226" s="302">
        <v>0</v>
      </c>
      <c r="AD226" s="302">
        <v>0</v>
      </c>
      <c r="AE226" s="302">
        <v>0</v>
      </c>
      <c r="AF226" s="302">
        <v>0</v>
      </c>
      <c r="AG226" s="302">
        <v>0</v>
      </c>
      <c r="AH226" s="302">
        <v>0</v>
      </c>
      <c r="AI226" s="302">
        <v>0</v>
      </c>
      <c r="AJ226" s="302">
        <v>0</v>
      </c>
      <c r="AK226" s="302">
        <v>0</v>
      </c>
      <c r="AL226" s="302">
        <v>0</v>
      </c>
      <c r="AM226" s="302">
        <v>0</v>
      </c>
      <c r="AN226" s="302">
        <v>0</v>
      </c>
      <c r="AO226" s="302">
        <v>0</v>
      </c>
      <c r="AP226" s="302">
        <v>0</v>
      </c>
      <c r="AQ226" s="302">
        <v>0</v>
      </c>
      <c r="AR226" s="302">
        <v>0</v>
      </c>
      <c r="AS226" s="302">
        <v>0</v>
      </c>
      <c r="AT226" s="302">
        <v>0</v>
      </c>
      <c r="AU226" s="302">
        <v>0</v>
      </c>
      <c r="AV226" s="302">
        <v>0</v>
      </c>
      <c r="AW226" s="302">
        <v>0</v>
      </c>
      <c r="AX226" s="302">
        <v>0</v>
      </c>
      <c r="AY226" s="302">
        <v>0</v>
      </c>
      <c r="AZ226" s="302">
        <v>0</v>
      </c>
      <c r="BA226" s="302">
        <v>0</v>
      </c>
      <c r="BB226" s="302">
        <v>0</v>
      </c>
      <c r="BC226" s="302">
        <v>0</v>
      </c>
      <c r="BD226" s="302">
        <v>0</v>
      </c>
      <c r="BE226" s="302">
        <v>0</v>
      </c>
      <c r="BF226" s="302">
        <v>0</v>
      </c>
    </row>
    <row r="227" spans="1:58">
      <c r="A227" s="304" t="s">
        <v>737</v>
      </c>
      <c r="B227" s="302">
        <v>0</v>
      </c>
      <c r="C227" s="302">
        <v>0</v>
      </c>
      <c r="D227" s="302">
        <v>0</v>
      </c>
      <c r="E227" s="302">
        <v>0</v>
      </c>
      <c r="F227" s="302">
        <v>0</v>
      </c>
      <c r="G227" s="302">
        <v>0</v>
      </c>
      <c r="H227" s="302">
        <v>0</v>
      </c>
      <c r="I227" s="302">
        <v>0</v>
      </c>
      <c r="J227" s="302">
        <v>0</v>
      </c>
      <c r="K227" s="302">
        <v>0</v>
      </c>
      <c r="L227" s="302">
        <v>66251.174567632304</v>
      </c>
      <c r="M227" s="302">
        <v>0</v>
      </c>
      <c r="N227" s="302">
        <v>0</v>
      </c>
      <c r="O227" s="302">
        <v>0</v>
      </c>
      <c r="P227" s="302">
        <v>0</v>
      </c>
      <c r="Q227" s="302">
        <v>0</v>
      </c>
      <c r="R227" s="302">
        <v>0</v>
      </c>
      <c r="S227" s="302">
        <v>0</v>
      </c>
      <c r="T227" s="302">
        <v>0</v>
      </c>
      <c r="U227" s="302">
        <v>0</v>
      </c>
      <c r="V227" s="302">
        <v>0</v>
      </c>
      <c r="W227" s="302">
        <v>0</v>
      </c>
      <c r="X227" s="302">
        <v>0</v>
      </c>
      <c r="Y227" s="302">
        <v>0</v>
      </c>
      <c r="Z227" s="302">
        <v>0</v>
      </c>
      <c r="AA227" s="302">
        <v>0</v>
      </c>
      <c r="AB227" s="302">
        <v>0</v>
      </c>
      <c r="AC227" s="302">
        <v>0</v>
      </c>
      <c r="AD227" s="302">
        <v>0</v>
      </c>
      <c r="AE227" s="302">
        <v>0</v>
      </c>
      <c r="AF227" s="302">
        <v>0</v>
      </c>
      <c r="AG227" s="302">
        <v>0</v>
      </c>
      <c r="AH227" s="302">
        <v>0</v>
      </c>
      <c r="AI227" s="302">
        <v>0</v>
      </c>
      <c r="AJ227" s="302">
        <v>0</v>
      </c>
      <c r="AK227" s="302">
        <v>0</v>
      </c>
      <c r="AL227" s="302">
        <v>0</v>
      </c>
      <c r="AM227" s="302">
        <v>0</v>
      </c>
      <c r="AN227" s="302">
        <v>0</v>
      </c>
      <c r="AO227" s="302">
        <v>0</v>
      </c>
      <c r="AP227" s="302">
        <v>0</v>
      </c>
      <c r="AQ227" s="302">
        <v>0</v>
      </c>
      <c r="AR227" s="302">
        <v>0</v>
      </c>
      <c r="AS227" s="302">
        <v>0</v>
      </c>
      <c r="AT227" s="302">
        <v>0</v>
      </c>
      <c r="AU227" s="302">
        <v>0</v>
      </c>
      <c r="AV227" s="302">
        <v>0</v>
      </c>
      <c r="AW227" s="302">
        <v>0</v>
      </c>
      <c r="AX227" s="302">
        <v>0</v>
      </c>
      <c r="AY227" s="302">
        <v>0</v>
      </c>
      <c r="AZ227" s="302">
        <v>0</v>
      </c>
      <c r="BA227" s="302">
        <v>0</v>
      </c>
      <c r="BB227" s="302">
        <v>0</v>
      </c>
      <c r="BC227" s="302">
        <v>0</v>
      </c>
      <c r="BD227" s="302">
        <v>0</v>
      </c>
      <c r="BE227" s="302">
        <v>0</v>
      </c>
      <c r="BF227" s="302">
        <v>0</v>
      </c>
    </row>
    <row r="228" spans="1:58">
      <c r="A228" s="304" t="s">
        <v>681</v>
      </c>
      <c r="B228" s="302">
        <v>0</v>
      </c>
      <c r="C228" s="302">
        <v>0</v>
      </c>
      <c r="D228" s="302">
        <v>0</v>
      </c>
      <c r="E228" s="302">
        <v>0</v>
      </c>
      <c r="F228" s="302">
        <v>0</v>
      </c>
      <c r="G228" s="302">
        <v>0</v>
      </c>
      <c r="H228" s="302">
        <v>0</v>
      </c>
      <c r="I228" s="302">
        <v>0</v>
      </c>
      <c r="J228" s="302">
        <v>0</v>
      </c>
      <c r="K228" s="302">
        <v>0</v>
      </c>
      <c r="L228" s="302">
        <v>0</v>
      </c>
      <c r="M228" s="302">
        <v>29146.460466184501</v>
      </c>
      <c r="N228" s="302">
        <v>0</v>
      </c>
      <c r="O228" s="302">
        <v>0</v>
      </c>
      <c r="P228" s="302">
        <v>0</v>
      </c>
      <c r="Q228" s="302">
        <v>0</v>
      </c>
      <c r="R228" s="302">
        <v>0</v>
      </c>
      <c r="S228" s="302">
        <v>0</v>
      </c>
      <c r="T228" s="302">
        <v>0</v>
      </c>
      <c r="U228" s="302">
        <v>0</v>
      </c>
      <c r="V228" s="302">
        <v>0</v>
      </c>
      <c r="W228" s="302">
        <v>0</v>
      </c>
      <c r="X228" s="302">
        <v>0</v>
      </c>
      <c r="Y228" s="302">
        <v>0</v>
      </c>
      <c r="Z228" s="302">
        <v>0</v>
      </c>
      <c r="AA228" s="302">
        <v>0</v>
      </c>
      <c r="AB228" s="302">
        <v>0</v>
      </c>
      <c r="AC228" s="302">
        <v>0</v>
      </c>
      <c r="AD228" s="302">
        <v>0</v>
      </c>
      <c r="AE228" s="302">
        <v>0</v>
      </c>
      <c r="AF228" s="302">
        <v>0</v>
      </c>
      <c r="AG228" s="302">
        <v>0</v>
      </c>
      <c r="AH228" s="302">
        <v>0</v>
      </c>
      <c r="AI228" s="302">
        <v>0</v>
      </c>
      <c r="AJ228" s="302">
        <v>0</v>
      </c>
      <c r="AK228" s="302">
        <v>0</v>
      </c>
      <c r="AL228" s="302">
        <v>0</v>
      </c>
      <c r="AM228" s="302">
        <v>0</v>
      </c>
      <c r="AN228" s="302">
        <v>0</v>
      </c>
      <c r="AO228" s="302">
        <v>0</v>
      </c>
      <c r="AP228" s="302">
        <v>0</v>
      </c>
      <c r="AQ228" s="302">
        <v>0</v>
      </c>
      <c r="AR228" s="302">
        <v>0</v>
      </c>
      <c r="AS228" s="302">
        <v>0</v>
      </c>
      <c r="AT228" s="302">
        <v>0</v>
      </c>
      <c r="AU228" s="302">
        <v>0</v>
      </c>
      <c r="AV228" s="302">
        <v>0</v>
      </c>
      <c r="AW228" s="302">
        <v>0</v>
      </c>
      <c r="AX228" s="302">
        <v>0</v>
      </c>
      <c r="AY228" s="302">
        <v>0</v>
      </c>
      <c r="AZ228" s="302">
        <v>0</v>
      </c>
      <c r="BA228" s="302">
        <v>0</v>
      </c>
      <c r="BB228" s="302">
        <v>0</v>
      </c>
      <c r="BC228" s="302">
        <v>0</v>
      </c>
      <c r="BD228" s="302">
        <v>0</v>
      </c>
      <c r="BE228" s="302">
        <v>0</v>
      </c>
      <c r="BF228" s="302">
        <v>0</v>
      </c>
    </row>
    <row r="229" spans="1:58">
      <c r="A229" s="304" t="s">
        <v>738</v>
      </c>
      <c r="B229" s="302">
        <v>0</v>
      </c>
      <c r="C229" s="302">
        <v>0</v>
      </c>
      <c r="D229" s="302">
        <v>0</v>
      </c>
      <c r="E229" s="302">
        <v>0</v>
      </c>
      <c r="F229" s="302">
        <v>0</v>
      </c>
      <c r="G229" s="302">
        <v>0</v>
      </c>
      <c r="H229" s="302">
        <v>0</v>
      </c>
      <c r="I229" s="302">
        <v>0</v>
      </c>
      <c r="J229" s="302">
        <v>0</v>
      </c>
      <c r="K229" s="302">
        <v>0</v>
      </c>
      <c r="L229" s="302">
        <v>0</v>
      </c>
      <c r="M229" s="302">
        <v>0</v>
      </c>
      <c r="N229" s="302">
        <v>0</v>
      </c>
      <c r="O229" s="302">
        <v>0</v>
      </c>
      <c r="P229" s="302">
        <v>0</v>
      </c>
      <c r="Q229" s="302">
        <v>0</v>
      </c>
      <c r="R229" s="302">
        <v>0</v>
      </c>
      <c r="S229" s="302">
        <v>290.15291867903898</v>
      </c>
      <c r="T229" s="302">
        <v>0</v>
      </c>
      <c r="U229" s="302">
        <v>0</v>
      </c>
      <c r="V229" s="302">
        <v>0</v>
      </c>
      <c r="W229" s="302">
        <v>0</v>
      </c>
      <c r="X229" s="302">
        <v>0</v>
      </c>
      <c r="Y229" s="302">
        <v>0</v>
      </c>
      <c r="Z229" s="302">
        <v>0</v>
      </c>
      <c r="AA229" s="302">
        <v>0</v>
      </c>
      <c r="AB229" s="302">
        <v>0</v>
      </c>
      <c r="AC229" s="302">
        <v>0</v>
      </c>
      <c r="AD229" s="302">
        <v>0</v>
      </c>
      <c r="AE229" s="302">
        <v>0</v>
      </c>
      <c r="AF229" s="302">
        <v>0</v>
      </c>
      <c r="AG229" s="302">
        <v>0</v>
      </c>
      <c r="AH229" s="302">
        <v>0</v>
      </c>
      <c r="AI229" s="302">
        <v>0</v>
      </c>
      <c r="AJ229" s="302">
        <v>0</v>
      </c>
      <c r="AK229" s="302">
        <v>0</v>
      </c>
      <c r="AL229" s="302">
        <v>0</v>
      </c>
      <c r="AM229" s="302">
        <v>0</v>
      </c>
      <c r="AN229" s="302">
        <v>0</v>
      </c>
      <c r="AO229" s="302">
        <v>0</v>
      </c>
      <c r="AP229" s="302">
        <v>0</v>
      </c>
      <c r="AQ229" s="302">
        <v>0</v>
      </c>
      <c r="AR229" s="302">
        <v>0</v>
      </c>
      <c r="AS229" s="302">
        <v>0</v>
      </c>
      <c r="AT229" s="302">
        <v>0</v>
      </c>
      <c r="AU229" s="302">
        <v>0</v>
      </c>
      <c r="AV229" s="302">
        <v>0</v>
      </c>
      <c r="AW229" s="302">
        <v>0</v>
      </c>
      <c r="AX229" s="302">
        <v>0</v>
      </c>
      <c r="AY229" s="302">
        <v>0</v>
      </c>
      <c r="AZ229" s="302">
        <v>0</v>
      </c>
      <c r="BA229" s="302">
        <v>0</v>
      </c>
      <c r="BB229" s="302">
        <v>0</v>
      </c>
      <c r="BC229" s="302">
        <v>0</v>
      </c>
      <c r="BD229" s="302">
        <v>0</v>
      </c>
      <c r="BE229" s="302">
        <v>0</v>
      </c>
      <c r="BF229" s="302">
        <v>0</v>
      </c>
    </row>
    <row r="230" spans="1:58">
      <c r="A230" s="304" t="s">
        <v>739</v>
      </c>
      <c r="B230" s="302">
        <v>0</v>
      </c>
      <c r="C230" s="302">
        <v>0</v>
      </c>
      <c r="D230" s="302">
        <v>0</v>
      </c>
      <c r="E230" s="302">
        <v>0</v>
      </c>
      <c r="F230" s="302">
        <v>0</v>
      </c>
      <c r="G230" s="302">
        <v>0</v>
      </c>
      <c r="H230" s="302">
        <v>0</v>
      </c>
      <c r="I230" s="302">
        <v>0</v>
      </c>
      <c r="J230" s="302">
        <v>0</v>
      </c>
      <c r="K230" s="302">
        <v>0</v>
      </c>
      <c r="L230" s="302">
        <v>0</v>
      </c>
      <c r="M230" s="302">
        <v>0</v>
      </c>
      <c r="N230" s="302">
        <v>0</v>
      </c>
      <c r="O230" s="302">
        <v>0</v>
      </c>
      <c r="P230" s="302">
        <v>0</v>
      </c>
      <c r="Q230" s="302">
        <v>0</v>
      </c>
      <c r="R230" s="302">
        <v>0</v>
      </c>
      <c r="S230" s="302">
        <v>0</v>
      </c>
      <c r="T230" s="302">
        <v>0</v>
      </c>
      <c r="U230" s="302">
        <v>0</v>
      </c>
      <c r="V230" s="302">
        <v>0</v>
      </c>
      <c r="W230" s="302">
        <v>0</v>
      </c>
      <c r="X230" s="302">
        <v>4830.4442158522497</v>
      </c>
      <c r="Y230" s="302">
        <v>0</v>
      </c>
      <c r="Z230" s="302">
        <v>0</v>
      </c>
      <c r="AA230" s="302">
        <v>0</v>
      </c>
      <c r="AB230" s="302">
        <v>0</v>
      </c>
      <c r="AC230" s="302">
        <v>0</v>
      </c>
      <c r="AD230" s="302">
        <v>0</v>
      </c>
      <c r="AE230" s="302">
        <v>0</v>
      </c>
      <c r="AF230" s="302">
        <v>0</v>
      </c>
      <c r="AG230" s="302">
        <v>0</v>
      </c>
      <c r="AH230" s="302">
        <v>0</v>
      </c>
      <c r="AI230" s="302">
        <v>0</v>
      </c>
      <c r="AJ230" s="302">
        <v>0</v>
      </c>
      <c r="AK230" s="302">
        <v>0</v>
      </c>
      <c r="AL230" s="302">
        <v>0</v>
      </c>
      <c r="AM230" s="302">
        <v>0</v>
      </c>
      <c r="AN230" s="302">
        <v>0</v>
      </c>
      <c r="AO230" s="302">
        <v>0</v>
      </c>
      <c r="AP230" s="302">
        <v>0</v>
      </c>
      <c r="AQ230" s="302">
        <v>0</v>
      </c>
      <c r="AR230" s="302">
        <v>0</v>
      </c>
      <c r="AS230" s="302">
        <v>0</v>
      </c>
      <c r="AT230" s="302">
        <v>0</v>
      </c>
      <c r="AU230" s="302">
        <v>0</v>
      </c>
      <c r="AV230" s="302">
        <v>0</v>
      </c>
      <c r="AW230" s="302">
        <v>0</v>
      </c>
      <c r="AX230" s="302">
        <v>0</v>
      </c>
      <c r="AY230" s="302">
        <v>0</v>
      </c>
      <c r="AZ230" s="302">
        <v>0</v>
      </c>
      <c r="BA230" s="302">
        <v>0</v>
      </c>
      <c r="BB230" s="302">
        <v>0</v>
      </c>
      <c r="BC230" s="302">
        <v>0</v>
      </c>
      <c r="BD230" s="302">
        <v>0</v>
      </c>
      <c r="BE230" s="302">
        <v>0</v>
      </c>
      <c r="BF230" s="302">
        <v>0</v>
      </c>
    </row>
    <row r="231" spans="1:58">
      <c r="A231" s="304" t="s">
        <v>678</v>
      </c>
      <c r="B231" s="302">
        <v>0</v>
      </c>
      <c r="C231" s="302">
        <v>0</v>
      </c>
      <c r="D231" s="302">
        <v>0</v>
      </c>
      <c r="E231" s="302">
        <v>0</v>
      </c>
      <c r="F231" s="302">
        <v>0</v>
      </c>
      <c r="G231" s="302">
        <v>0</v>
      </c>
      <c r="H231" s="302">
        <v>0</v>
      </c>
      <c r="I231" s="302">
        <v>0</v>
      </c>
      <c r="J231" s="302">
        <v>0</v>
      </c>
      <c r="K231" s="302">
        <v>0</v>
      </c>
      <c r="L231" s="302">
        <v>0</v>
      </c>
      <c r="M231" s="302">
        <v>0</v>
      </c>
      <c r="N231" s="302">
        <v>0</v>
      </c>
      <c r="O231" s="302">
        <v>0</v>
      </c>
      <c r="P231" s="302">
        <v>0</v>
      </c>
      <c r="Q231" s="302">
        <v>0</v>
      </c>
      <c r="R231" s="302">
        <v>0</v>
      </c>
      <c r="S231" s="302">
        <v>0</v>
      </c>
      <c r="T231" s="302">
        <v>0</v>
      </c>
      <c r="U231" s="302">
        <v>0</v>
      </c>
      <c r="V231" s="302">
        <v>0</v>
      </c>
      <c r="W231" s="302">
        <v>0</v>
      </c>
      <c r="X231" s="302">
        <v>0</v>
      </c>
      <c r="Y231" s="302">
        <v>0</v>
      </c>
      <c r="Z231" s="302">
        <v>0</v>
      </c>
      <c r="AA231" s="302">
        <v>0</v>
      </c>
      <c r="AB231" s="302">
        <v>108184.85967288</v>
      </c>
      <c r="AC231" s="302">
        <v>0</v>
      </c>
      <c r="AD231" s="302">
        <v>0</v>
      </c>
      <c r="AE231" s="302">
        <v>0</v>
      </c>
      <c r="AF231" s="302">
        <v>0</v>
      </c>
      <c r="AG231" s="302">
        <v>0</v>
      </c>
      <c r="AH231" s="302">
        <v>0</v>
      </c>
      <c r="AI231" s="302">
        <v>0</v>
      </c>
      <c r="AJ231" s="302">
        <v>0</v>
      </c>
      <c r="AK231" s="302">
        <v>0</v>
      </c>
      <c r="AL231" s="302">
        <v>0</v>
      </c>
      <c r="AM231" s="302">
        <v>0</v>
      </c>
      <c r="AN231" s="302">
        <v>0</v>
      </c>
      <c r="AO231" s="302">
        <v>0</v>
      </c>
      <c r="AP231" s="302">
        <v>0</v>
      </c>
      <c r="AQ231" s="302">
        <v>0</v>
      </c>
      <c r="AR231" s="302">
        <v>0</v>
      </c>
      <c r="AS231" s="302">
        <v>0</v>
      </c>
      <c r="AT231" s="302">
        <v>0</v>
      </c>
      <c r="AU231" s="302">
        <v>0</v>
      </c>
      <c r="AV231" s="302">
        <v>0</v>
      </c>
      <c r="AW231" s="302">
        <v>0</v>
      </c>
      <c r="AX231" s="302">
        <v>0</v>
      </c>
      <c r="AY231" s="302">
        <v>0</v>
      </c>
      <c r="AZ231" s="302">
        <v>0</v>
      </c>
      <c r="BA231" s="302">
        <v>0</v>
      </c>
      <c r="BB231" s="302">
        <v>0</v>
      </c>
      <c r="BC231" s="302">
        <v>0</v>
      </c>
      <c r="BD231" s="302">
        <v>0</v>
      </c>
      <c r="BE231" s="302">
        <v>0</v>
      </c>
      <c r="BF231" s="302">
        <v>0</v>
      </c>
    </row>
    <row r="232" spans="1:58">
      <c r="A232" s="304" t="s">
        <v>679</v>
      </c>
      <c r="B232" s="302">
        <v>0</v>
      </c>
      <c r="C232" s="302">
        <v>0</v>
      </c>
      <c r="D232" s="302">
        <v>0</v>
      </c>
      <c r="E232" s="302">
        <v>0</v>
      </c>
      <c r="F232" s="302">
        <v>0</v>
      </c>
      <c r="G232" s="302">
        <v>0</v>
      </c>
      <c r="H232" s="302">
        <v>0</v>
      </c>
      <c r="I232" s="302">
        <v>0</v>
      </c>
      <c r="J232" s="302">
        <v>0</v>
      </c>
      <c r="K232" s="302">
        <v>0</v>
      </c>
      <c r="L232" s="302">
        <v>0</v>
      </c>
      <c r="M232" s="302">
        <v>0</v>
      </c>
      <c r="N232" s="302">
        <v>0</v>
      </c>
      <c r="O232" s="302">
        <v>0</v>
      </c>
      <c r="P232" s="302">
        <v>0</v>
      </c>
      <c r="Q232" s="302">
        <v>0</v>
      </c>
      <c r="R232" s="302">
        <v>0</v>
      </c>
      <c r="S232" s="302">
        <v>0</v>
      </c>
      <c r="T232" s="302">
        <v>0</v>
      </c>
      <c r="U232" s="302">
        <v>0</v>
      </c>
      <c r="V232" s="302">
        <v>0</v>
      </c>
      <c r="W232" s="302">
        <v>0</v>
      </c>
      <c r="X232" s="302">
        <v>0</v>
      </c>
      <c r="Y232" s="302">
        <v>0</v>
      </c>
      <c r="Z232" s="302">
        <v>0</v>
      </c>
      <c r="AA232" s="302">
        <v>0</v>
      </c>
      <c r="AB232" s="302">
        <v>0</v>
      </c>
      <c r="AC232" s="302">
        <v>0</v>
      </c>
      <c r="AD232" s="302">
        <v>0</v>
      </c>
      <c r="AE232" s="302">
        <v>0</v>
      </c>
      <c r="AF232" s="302">
        <v>0</v>
      </c>
      <c r="AG232" s="302">
        <v>0</v>
      </c>
      <c r="AH232" s="302">
        <v>25297.051877142199</v>
      </c>
      <c r="AI232" s="302">
        <v>0</v>
      </c>
      <c r="AJ232" s="302">
        <v>0</v>
      </c>
      <c r="AK232" s="302">
        <v>0</v>
      </c>
      <c r="AL232" s="302">
        <v>0</v>
      </c>
      <c r="AM232" s="302">
        <v>0</v>
      </c>
      <c r="AN232" s="302">
        <v>0</v>
      </c>
      <c r="AO232" s="302">
        <v>0</v>
      </c>
      <c r="AP232" s="302">
        <v>0</v>
      </c>
      <c r="AQ232" s="302">
        <v>0</v>
      </c>
      <c r="AR232" s="302">
        <v>0</v>
      </c>
      <c r="AS232" s="302">
        <v>0</v>
      </c>
      <c r="AT232" s="302">
        <v>0</v>
      </c>
      <c r="AU232" s="302">
        <v>0</v>
      </c>
      <c r="AV232" s="302">
        <v>0</v>
      </c>
      <c r="AW232" s="302">
        <v>0</v>
      </c>
      <c r="AX232" s="302">
        <v>0</v>
      </c>
      <c r="AY232" s="302">
        <v>0</v>
      </c>
      <c r="AZ232" s="302">
        <v>0</v>
      </c>
      <c r="BA232" s="302">
        <v>0</v>
      </c>
      <c r="BB232" s="302">
        <v>0</v>
      </c>
      <c r="BC232" s="302">
        <v>0</v>
      </c>
      <c r="BD232" s="302">
        <v>0</v>
      </c>
      <c r="BE232" s="302">
        <v>0</v>
      </c>
      <c r="BF232" s="302">
        <v>0</v>
      </c>
    </row>
    <row r="233" spans="1:58">
      <c r="A233" s="304" t="s">
        <v>740</v>
      </c>
      <c r="B233" s="302">
        <v>0</v>
      </c>
      <c r="C233" s="302">
        <v>0</v>
      </c>
      <c r="D233" s="302">
        <v>0</v>
      </c>
      <c r="E233" s="302">
        <v>0</v>
      </c>
      <c r="F233" s="302">
        <v>0</v>
      </c>
      <c r="G233" s="302">
        <v>0</v>
      </c>
      <c r="H233" s="302">
        <v>0</v>
      </c>
      <c r="I233" s="302">
        <v>0</v>
      </c>
      <c r="J233" s="302">
        <v>0</v>
      </c>
      <c r="K233" s="302">
        <v>0</v>
      </c>
      <c r="L233" s="302">
        <v>0</v>
      </c>
      <c r="M233" s="302">
        <v>0</v>
      </c>
      <c r="N233" s="302">
        <v>0</v>
      </c>
      <c r="O233" s="302">
        <v>0</v>
      </c>
      <c r="P233" s="302">
        <v>0</v>
      </c>
      <c r="Q233" s="302">
        <v>0</v>
      </c>
      <c r="R233" s="302">
        <v>0</v>
      </c>
      <c r="S233" s="302">
        <v>0</v>
      </c>
      <c r="T233" s="302">
        <v>0</v>
      </c>
      <c r="U233" s="302">
        <v>0</v>
      </c>
      <c r="V233" s="302">
        <v>0</v>
      </c>
      <c r="W233" s="302">
        <v>0</v>
      </c>
      <c r="X233" s="302">
        <v>0</v>
      </c>
      <c r="Y233" s="302">
        <v>0</v>
      </c>
      <c r="Z233" s="302">
        <v>0</v>
      </c>
      <c r="AA233" s="302">
        <v>0</v>
      </c>
      <c r="AB233" s="302">
        <v>0</v>
      </c>
      <c r="AC233" s="302">
        <v>0</v>
      </c>
      <c r="AD233" s="302">
        <v>0</v>
      </c>
      <c r="AE233" s="302">
        <v>0</v>
      </c>
      <c r="AF233" s="302">
        <v>0</v>
      </c>
      <c r="AG233" s="302">
        <v>0</v>
      </c>
      <c r="AH233" s="302">
        <v>0</v>
      </c>
      <c r="AI233" s="302">
        <v>0</v>
      </c>
      <c r="AJ233" s="302">
        <v>0</v>
      </c>
      <c r="AK233" s="302">
        <v>0</v>
      </c>
      <c r="AL233" s="302">
        <v>0</v>
      </c>
      <c r="AM233" s="302">
        <v>0</v>
      </c>
      <c r="AN233" s="302">
        <v>668.84165319492104</v>
      </c>
      <c r="AO233" s="302">
        <v>0</v>
      </c>
      <c r="AP233" s="302">
        <v>0</v>
      </c>
      <c r="AQ233" s="302">
        <v>0</v>
      </c>
      <c r="AR233" s="302">
        <v>0</v>
      </c>
      <c r="AS233" s="302">
        <v>0</v>
      </c>
      <c r="AT233" s="302">
        <v>0</v>
      </c>
      <c r="AU233" s="302">
        <v>0</v>
      </c>
      <c r="AV233" s="302">
        <v>0</v>
      </c>
      <c r="AW233" s="302">
        <v>0</v>
      </c>
      <c r="AX233" s="302">
        <v>0</v>
      </c>
      <c r="AY233" s="302">
        <v>0</v>
      </c>
      <c r="AZ233" s="302">
        <v>0</v>
      </c>
      <c r="BA233" s="302">
        <v>0</v>
      </c>
      <c r="BB233" s="302">
        <v>0</v>
      </c>
      <c r="BC233" s="302">
        <v>0</v>
      </c>
      <c r="BD233" s="302">
        <v>0</v>
      </c>
      <c r="BE233" s="302">
        <v>0</v>
      </c>
      <c r="BF233" s="302">
        <v>0</v>
      </c>
    </row>
    <row r="234" spans="1:58">
      <c r="A234" s="304" t="s">
        <v>741</v>
      </c>
      <c r="B234" s="302">
        <v>0</v>
      </c>
      <c r="C234" s="302">
        <v>0</v>
      </c>
      <c r="D234" s="302">
        <v>0</v>
      </c>
      <c r="E234" s="302">
        <v>0</v>
      </c>
      <c r="F234" s="302">
        <v>0</v>
      </c>
      <c r="G234" s="302">
        <v>0</v>
      </c>
      <c r="H234" s="302">
        <v>0</v>
      </c>
      <c r="I234" s="302">
        <v>0</v>
      </c>
      <c r="J234" s="302">
        <v>0</v>
      </c>
      <c r="K234" s="302">
        <v>0</v>
      </c>
      <c r="L234" s="302">
        <v>0</v>
      </c>
      <c r="M234" s="302">
        <v>0</v>
      </c>
      <c r="N234" s="302">
        <v>0</v>
      </c>
      <c r="O234" s="302">
        <v>0</v>
      </c>
      <c r="P234" s="302">
        <v>0</v>
      </c>
      <c r="Q234" s="302">
        <v>0</v>
      </c>
      <c r="R234" s="302">
        <v>0</v>
      </c>
      <c r="S234" s="302">
        <v>0</v>
      </c>
      <c r="T234" s="302">
        <v>0</v>
      </c>
      <c r="U234" s="302">
        <v>0</v>
      </c>
      <c r="V234" s="302">
        <v>0</v>
      </c>
      <c r="W234" s="302">
        <v>0</v>
      </c>
      <c r="X234" s="302">
        <v>0</v>
      </c>
      <c r="Y234" s="302">
        <v>0</v>
      </c>
      <c r="Z234" s="302">
        <v>0</v>
      </c>
      <c r="AA234" s="302">
        <v>0</v>
      </c>
      <c r="AB234" s="302">
        <v>0</v>
      </c>
      <c r="AC234" s="302">
        <v>0</v>
      </c>
      <c r="AD234" s="302">
        <v>0</v>
      </c>
      <c r="AE234" s="302">
        <v>0</v>
      </c>
      <c r="AF234" s="302">
        <v>0</v>
      </c>
      <c r="AG234" s="302">
        <v>0</v>
      </c>
      <c r="AH234" s="302">
        <v>0</v>
      </c>
      <c r="AI234" s="302">
        <v>0</v>
      </c>
      <c r="AJ234" s="302">
        <v>0</v>
      </c>
      <c r="AK234" s="302">
        <v>0</v>
      </c>
      <c r="AL234" s="302">
        <v>3749358.3680556798</v>
      </c>
      <c r="AM234" s="302">
        <v>0</v>
      </c>
      <c r="AN234" s="302">
        <v>0</v>
      </c>
      <c r="AO234" s="302">
        <v>0</v>
      </c>
      <c r="AP234" s="302">
        <v>0</v>
      </c>
      <c r="AQ234" s="302">
        <v>0</v>
      </c>
      <c r="AR234" s="302">
        <v>0</v>
      </c>
      <c r="AS234" s="302">
        <v>0</v>
      </c>
      <c r="AT234" s="302">
        <v>0</v>
      </c>
      <c r="AU234" s="302">
        <v>0</v>
      </c>
      <c r="AV234" s="302">
        <v>0</v>
      </c>
      <c r="AW234" s="302">
        <v>0</v>
      </c>
      <c r="AX234" s="302">
        <v>0</v>
      </c>
      <c r="AY234" s="302">
        <v>0</v>
      </c>
      <c r="AZ234" s="302">
        <v>0</v>
      </c>
      <c r="BA234" s="302">
        <v>0</v>
      </c>
      <c r="BB234" s="302">
        <v>0</v>
      </c>
      <c r="BC234" s="302">
        <v>0</v>
      </c>
      <c r="BD234" s="302">
        <v>0</v>
      </c>
      <c r="BE234" s="302">
        <v>0</v>
      </c>
      <c r="BF234" s="302">
        <v>0</v>
      </c>
    </row>
    <row r="235" spans="1:58">
      <c r="A235" s="304" t="s">
        <v>742</v>
      </c>
      <c r="B235" s="302">
        <v>0</v>
      </c>
      <c r="C235" s="302">
        <v>0</v>
      </c>
      <c r="D235" s="302">
        <v>0</v>
      </c>
      <c r="E235" s="302">
        <v>0</v>
      </c>
      <c r="F235" s="302">
        <v>0</v>
      </c>
      <c r="G235" s="302">
        <v>0</v>
      </c>
      <c r="H235" s="302">
        <v>0</v>
      </c>
      <c r="I235" s="302">
        <v>0</v>
      </c>
      <c r="J235" s="302">
        <v>0</v>
      </c>
      <c r="K235" s="302">
        <v>0</v>
      </c>
      <c r="L235" s="302">
        <v>0</v>
      </c>
      <c r="M235" s="302">
        <v>0</v>
      </c>
      <c r="N235" s="302">
        <v>0</v>
      </c>
      <c r="O235" s="302">
        <v>0</v>
      </c>
      <c r="P235" s="302">
        <v>0</v>
      </c>
      <c r="Q235" s="302">
        <v>0</v>
      </c>
      <c r="R235" s="302">
        <v>0</v>
      </c>
      <c r="S235" s="302">
        <v>0</v>
      </c>
      <c r="T235" s="302">
        <v>0</v>
      </c>
      <c r="U235" s="302">
        <v>0</v>
      </c>
      <c r="V235" s="302">
        <v>0</v>
      </c>
      <c r="W235" s="302">
        <v>0</v>
      </c>
      <c r="X235" s="302">
        <v>0</v>
      </c>
      <c r="Y235" s="302">
        <v>0</v>
      </c>
      <c r="Z235" s="302">
        <v>0</v>
      </c>
      <c r="AA235" s="302">
        <v>0</v>
      </c>
      <c r="AB235" s="302">
        <v>0</v>
      </c>
      <c r="AC235" s="302">
        <v>0</v>
      </c>
      <c r="AD235" s="302">
        <v>0</v>
      </c>
      <c r="AE235" s="302">
        <v>0</v>
      </c>
      <c r="AF235" s="302">
        <v>0</v>
      </c>
      <c r="AG235" s="302">
        <v>0</v>
      </c>
      <c r="AH235" s="302">
        <v>0</v>
      </c>
      <c r="AI235" s="302">
        <v>0</v>
      </c>
      <c r="AJ235" s="302">
        <v>0</v>
      </c>
      <c r="AK235" s="302">
        <v>0</v>
      </c>
      <c r="AL235" s="302">
        <v>0</v>
      </c>
      <c r="AM235" s="302">
        <v>0</v>
      </c>
      <c r="AN235" s="302">
        <v>0</v>
      </c>
      <c r="AO235" s="302">
        <v>0</v>
      </c>
      <c r="AP235" s="302">
        <v>184686.52821315001</v>
      </c>
      <c r="AQ235" s="302">
        <v>0</v>
      </c>
      <c r="AR235" s="302">
        <v>0</v>
      </c>
      <c r="AS235" s="302">
        <v>0</v>
      </c>
      <c r="AT235" s="302">
        <v>0</v>
      </c>
      <c r="AU235" s="302">
        <v>0</v>
      </c>
      <c r="AV235" s="302">
        <v>0</v>
      </c>
      <c r="AW235" s="302">
        <v>0</v>
      </c>
      <c r="AX235" s="302">
        <v>0</v>
      </c>
      <c r="AY235" s="302">
        <v>0</v>
      </c>
      <c r="AZ235" s="302">
        <v>0</v>
      </c>
      <c r="BA235" s="302">
        <v>0</v>
      </c>
      <c r="BB235" s="302">
        <v>0</v>
      </c>
      <c r="BC235" s="302">
        <v>0</v>
      </c>
      <c r="BD235" s="302">
        <v>0</v>
      </c>
      <c r="BE235" s="302">
        <v>0</v>
      </c>
      <c r="BF235" s="302">
        <v>0</v>
      </c>
    </row>
    <row r="236" spans="1:58">
      <c r="A236" s="304" t="s">
        <v>743</v>
      </c>
      <c r="B236" s="302">
        <v>0</v>
      </c>
      <c r="C236" s="302">
        <v>0</v>
      </c>
      <c r="D236" s="302">
        <v>0</v>
      </c>
      <c r="E236" s="302">
        <v>0</v>
      </c>
      <c r="F236" s="302">
        <v>0</v>
      </c>
      <c r="G236" s="302">
        <v>0</v>
      </c>
      <c r="H236" s="302">
        <v>0</v>
      </c>
      <c r="I236" s="302">
        <v>0</v>
      </c>
      <c r="J236" s="302">
        <v>0</v>
      </c>
      <c r="K236" s="302">
        <v>0</v>
      </c>
      <c r="L236" s="302">
        <v>0</v>
      </c>
      <c r="M236" s="302">
        <v>0</v>
      </c>
      <c r="N236" s="302">
        <v>0</v>
      </c>
      <c r="O236" s="302">
        <v>0</v>
      </c>
      <c r="P236" s="302">
        <v>0</v>
      </c>
      <c r="Q236" s="302">
        <v>0</v>
      </c>
      <c r="R236" s="302">
        <v>0</v>
      </c>
      <c r="S236" s="302">
        <v>0</v>
      </c>
      <c r="T236" s="302">
        <v>0</v>
      </c>
      <c r="U236" s="302">
        <v>0</v>
      </c>
      <c r="V236" s="302">
        <v>0</v>
      </c>
      <c r="W236" s="302">
        <v>0</v>
      </c>
      <c r="X236" s="302">
        <v>0</v>
      </c>
      <c r="Y236" s="302">
        <v>0</v>
      </c>
      <c r="Z236" s="302">
        <v>0</v>
      </c>
      <c r="AA236" s="302">
        <v>0</v>
      </c>
      <c r="AB236" s="302">
        <v>0</v>
      </c>
      <c r="AC236" s="302">
        <v>0</v>
      </c>
      <c r="AD236" s="302">
        <v>0</v>
      </c>
      <c r="AE236" s="302">
        <v>0</v>
      </c>
      <c r="AF236" s="302">
        <v>0</v>
      </c>
      <c r="AG236" s="302">
        <v>0</v>
      </c>
      <c r="AH236" s="302">
        <v>0</v>
      </c>
      <c r="AI236" s="302">
        <v>0</v>
      </c>
      <c r="AJ236" s="302">
        <v>0</v>
      </c>
      <c r="AK236" s="302">
        <v>0</v>
      </c>
      <c r="AL236" s="302">
        <v>0</v>
      </c>
      <c r="AM236" s="302">
        <v>0</v>
      </c>
      <c r="AN236" s="302">
        <v>0</v>
      </c>
      <c r="AO236" s="302">
        <v>0</v>
      </c>
      <c r="AP236" s="302">
        <v>0</v>
      </c>
      <c r="AQ236" s="302">
        <v>0</v>
      </c>
      <c r="AR236" s="302">
        <v>3090735.3644190198</v>
      </c>
      <c r="AS236" s="302">
        <v>0</v>
      </c>
      <c r="AT236" s="302">
        <v>0</v>
      </c>
      <c r="AU236" s="302">
        <v>0</v>
      </c>
      <c r="AV236" s="302">
        <v>0</v>
      </c>
      <c r="AW236" s="302">
        <v>0</v>
      </c>
      <c r="AX236" s="302">
        <v>0</v>
      </c>
      <c r="AY236" s="302">
        <v>0</v>
      </c>
      <c r="AZ236" s="302">
        <v>0</v>
      </c>
      <c r="BA236" s="302">
        <v>0</v>
      </c>
      <c r="BB236" s="302">
        <v>0</v>
      </c>
      <c r="BC236" s="302">
        <v>0</v>
      </c>
      <c r="BD236" s="302">
        <v>0</v>
      </c>
      <c r="BE236" s="302">
        <v>0</v>
      </c>
      <c r="BF236" s="302">
        <v>0</v>
      </c>
    </row>
    <row r="237" spans="1:58">
      <c r="A237" s="304" t="s">
        <v>744</v>
      </c>
      <c r="B237" s="302">
        <v>0</v>
      </c>
      <c r="C237" s="302">
        <v>0</v>
      </c>
      <c r="D237" s="302">
        <v>0</v>
      </c>
      <c r="E237" s="302">
        <v>0</v>
      </c>
      <c r="F237" s="302">
        <v>0</v>
      </c>
      <c r="G237" s="302">
        <v>0</v>
      </c>
      <c r="H237" s="302">
        <v>0</v>
      </c>
      <c r="I237" s="302">
        <v>0</v>
      </c>
      <c r="J237" s="302">
        <v>0</v>
      </c>
      <c r="K237" s="302">
        <v>0</v>
      </c>
      <c r="L237" s="302">
        <v>0</v>
      </c>
      <c r="M237" s="302">
        <v>0</v>
      </c>
      <c r="N237" s="302">
        <v>0</v>
      </c>
      <c r="O237" s="302">
        <v>0</v>
      </c>
      <c r="P237" s="302">
        <v>0</v>
      </c>
      <c r="Q237" s="302">
        <v>0</v>
      </c>
      <c r="R237" s="302">
        <v>0</v>
      </c>
      <c r="S237" s="302">
        <v>0</v>
      </c>
      <c r="T237" s="302">
        <v>0</v>
      </c>
      <c r="U237" s="302">
        <v>0</v>
      </c>
      <c r="V237" s="302">
        <v>0</v>
      </c>
      <c r="W237" s="302">
        <v>0</v>
      </c>
      <c r="X237" s="302">
        <v>0</v>
      </c>
      <c r="Y237" s="302">
        <v>0</v>
      </c>
      <c r="Z237" s="302">
        <v>0</v>
      </c>
      <c r="AA237" s="302">
        <v>0</v>
      </c>
      <c r="AB237" s="302">
        <v>0</v>
      </c>
      <c r="AC237" s="302">
        <v>0</v>
      </c>
      <c r="AD237" s="302">
        <v>0</v>
      </c>
      <c r="AE237" s="302">
        <v>0</v>
      </c>
      <c r="AF237" s="302">
        <v>0</v>
      </c>
      <c r="AG237" s="302">
        <v>0</v>
      </c>
      <c r="AH237" s="302">
        <v>0</v>
      </c>
      <c r="AI237" s="302">
        <v>0</v>
      </c>
      <c r="AJ237" s="302">
        <v>0</v>
      </c>
      <c r="AK237" s="302">
        <v>0</v>
      </c>
      <c r="AL237" s="302">
        <v>0</v>
      </c>
      <c r="AM237" s="302">
        <v>0</v>
      </c>
      <c r="AN237" s="302">
        <v>0</v>
      </c>
      <c r="AO237" s="302">
        <v>0</v>
      </c>
      <c r="AP237" s="302">
        <v>0</v>
      </c>
      <c r="AQ237" s="302">
        <v>0</v>
      </c>
      <c r="AR237" s="302">
        <v>0</v>
      </c>
      <c r="AS237" s="302">
        <v>0</v>
      </c>
      <c r="AT237" s="302">
        <v>0</v>
      </c>
      <c r="AU237" s="302">
        <v>0</v>
      </c>
      <c r="AV237" s="302">
        <v>0</v>
      </c>
      <c r="AW237" s="302">
        <v>5023.7890204089899</v>
      </c>
      <c r="AX237" s="302">
        <v>0</v>
      </c>
      <c r="AY237" s="302">
        <v>0</v>
      </c>
      <c r="AZ237" s="302">
        <v>0</v>
      </c>
      <c r="BA237" s="302">
        <v>0</v>
      </c>
      <c r="BB237" s="302">
        <v>0</v>
      </c>
      <c r="BC237" s="302">
        <v>0</v>
      </c>
      <c r="BD237" s="302">
        <v>0</v>
      </c>
      <c r="BE237" s="302">
        <v>0</v>
      </c>
      <c r="BF237" s="302">
        <v>0</v>
      </c>
    </row>
    <row r="238" spans="1:58">
      <c r="A238" s="304" t="s">
        <v>745</v>
      </c>
      <c r="B238" s="302">
        <v>0</v>
      </c>
      <c r="C238" s="302">
        <v>0</v>
      </c>
      <c r="D238" s="302">
        <v>0</v>
      </c>
      <c r="E238" s="302">
        <v>0</v>
      </c>
      <c r="F238" s="302">
        <v>0</v>
      </c>
      <c r="G238" s="302">
        <v>0</v>
      </c>
      <c r="H238" s="302">
        <v>0</v>
      </c>
      <c r="I238" s="302">
        <v>0</v>
      </c>
      <c r="J238" s="302">
        <v>0</v>
      </c>
      <c r="K238" s="302">
        <v>0</v>
      </c>
      <c r="L238" s="302">
        <v>0</v>
      </c>
      <c r="M238" s="302">
        <v>0</v>
      </c>
      <c r="N238" s="302">
        <v>0</v>
      </c>
      <c r="O238" s="302">
        <v>0</v>
      </c>
      <c r="P238" s="302">
        <v>0</v>
      </c>
      <c r="Q238" s="302">
        <v>0</v>
      </c>
      <c r="R238" s="302">
        <v>0</v>
      </c>
      <c r="S238" s="302">
        <v>0</v>
      </c>
      <c r="T238" s="302">
        <v>0</v>
      </c>
      <c r="U238" s="302">
        <v>0</v>
      </c>
      <c r="V238" s="302">
        <v>0</v>
      </c>
      <c r="W238" s="302">
        <v>0</v>
      </c>
      <c r="X238" s="302">
        <v>0</v>
      </c>
      <c r="Y238" s="302">
        <v>0</v>
      </c>
      <c r="Z238" s="302">
        <v>0</v>
      </c>
      <c r="AA238" s="302">
        <v>0</v>
      </c>
      <c r="AB238" s="302">
        <v>0</v>
      </c>
      <c r="AC238" s="302">
        <v>0</v>
      </c>
      <c r="AD238" s="302">
        <v>0</v>
      </c>
      <c r="AE238" s="302">
        <v>0</v>
      </c>
      <c r="AF238" s="302">
        <v>0</v>
      </c>
      <c r="AG238" s="302">
        <v>0</v>
      </c>
      <c r="AH238" s="302">
        <v>0</v>
      </c>
      <c r="AI238" s="302">
        <v>0</v>
      </c>
      <c r="AJ238" s="302">
        <v>0</v>
      </c>
      <c r="AK238" s="302">
        <v>0</v>
      </c>
      <c r="AL238" s="302">
        <v>0</v>
      </c>
      <c r="AM238" s="302">
        <v>0</v>
      </c>
      <c r="AN238" s="302">
        <v>0</v>
      </c>
      <c r="AO238" s="302">
        <v>0</v>
      </c>
      <c r="AP238" s="302">
        <v>0</v>
      </c>
      <c r="AQ238" s="302">
        <v>0</v>
      </c>
      <c r="AR238" s="302">
        <v>0</v>
      </c>
      <c r="AS238" s="302">
        <v>0</v>
      </c>
      <c r="AT238" s="302">
        <v>0</v>
      </c>
      <c r="AU238" s="302">
        <v>0</v>
      </c>
      <c r="AV238" s="302">
        <v>0</v>
      </c>
      <c r="AW238" s="302">
        <v>0</v>
      </c>
      <c r="AX238" s="302">
        <v>0</v>
      </c>
      <c r="AY238" s="302">
        <v>0</v>
      </c>
      <c r="AZ238" s="302">
        <v>0</v>
      </c>
      <c r="BA238" s="302">
        <v>82.091627997489695</v>
      </c>
      <c r="BB238" s="302">
        <v>0</v>
      </c>
      <c r="BC238" s="302">
        <v>0</v>
      </c>
      <c r="BD238" s="302">
        <v>0</v>
      </c>
      <c r="BE238" s="302">
        <v>0</v>
      </c>
      <c r="BF238" s="302">
        <v>0</v>
      </c>
    </row>
    <row r="239" spans="1:58">
      <c r="A239" s="304" t="s">
        <v>746</v>
      </c>
      <c r="B239" s="302">
        <v>0</v>
      </c>
      <c r="C239" s="302">
        <v>0</v>
      </c>
      <c r="D239" s="302">
        <v>0</v>
      </c>
      <c r="E239" s="302">
        <v>0</v>
      </c>
      <c r="F239" s="302">
        <v>0</v>
      </c>
      <c r="G239" s="302">
        <v>0</v>
      </c>
      <c r="H239" s="302">
        <v>0</v>
      </c>
      <c r="I239" s="302">
        <v>0</v>
      </c>
      <c r="J239" s="302">
        <v>0</v>
      </c>
      <c r="K239" s="302">
        <v>0</v>
      </c>
      <c r="L239" s="302">
        <v>0</v>
      </c>
      <c r="M239" s="302">
        <v>0</v>
      </c>
      <c r="N239" s="302">
        <v>0</v>
      </c>
      <c r="O239" s="302">
        <v>0</v>
      </c>
      <c r="P239" s="302">
        <v>0</v>
      </c>
      <c r="Q239" s="302">
        <v>0</v>
      </c>
      <c r="R239" s="302">
        <v>0</v>
      </c>
      <c r="S239" s="302">
        <v>0</v>
      </c>
      <c r="T239" s="302">
        <v>0</v>
      </c>
      <c r="U239" s="302">
        <v>0</v>
      </c>
      <c r="V239" s="302">
        <v>0</v>
      </c>
      <c r="W239" s="302">
        <v>0</v>
      </c>
      <c r="X239" s="302">
        <v>0</v>
      </c>
      <c r="Y239" s="302">
        <v>0</v>
      </c>
      <c r="Z239" s="302">
        <v>0</v>
      </c>
      <c r="AA239" s="302">
        <v>0</v>
      </c>
      <c r="AB239" s="302">
        <v>0</v>
      </c>
      <c r="AC239" s="302">
        <v>0</v>
      </c>
      <c r="AD239" s="302">
        <v>0</v>
      </c>
      <c r="AE239" s="302">
        <v>0</v>
      </c>
      <c r="AF239" s="302">
        <v>0</v>
      </c>
      <c r="AG239" s="302">
        <v>0</v>
      </c>
      <c r="AH239" s="302">
        <v>0</v>
      </c>
      <c r="AI239" s="302">
        <v>0</v>
      </c>
      <c r="AJ239" s="302">
        <v>0</v>
      </c>
      <c r="AK239" s="302">
        <v>0</v>
      </c>
      <c r="AL239" s="302">
        <v>0</v>
      </c>
      <c r="AM239" s="302">
        <v>0</v>
      </c>
      <c r="AN239" s="302">
        <v>0</v>
      </c>
      <c r="AO239" s="302">
        <v>0</v>
      </c>
      <c r="AP239" s="302">
        <v>0</v>
      </c>
      <c r="AQ239" s="302">
        <v>0</v>
      </c>
      <c r="AR239" s="302">
        <v>0</v>
      </c>
      <c r="AS239" s="302">
        <v>0</v>
      </c>
      <c r="AT239" s="302">
        <v>0</v>
      </c>
      <c r="AU239" s="302">
        <v>0</v>
      </c>
      <c r="AV239" s="302">
        <v>0</v>
      </c>
      <c r="AW239" s="302">
        <v>0</v>
      </c>
      <c r="AX239" s="302">
        <v>0</v>
      </c>
      <c r="AY239" s="302">
        <v>0</v>
      </c>
      <c r="AZ239" s="302">
        <v>0</v>
      </c>
      <c r="BA239" s="302">
        <v>0</v>
      </c>
      <c r="BB239" s="302">
        <v>0</v>
      </c>
      <c r="BC239" s="302">
        <v>0</v>
      </c>
      <c r="BD239" s="302">
        <v>0</v>
      </c>
      <c r="BE239" s="302">
        <v>0</v>
      </c>
      <c r="BF239" s="302">
        <v>43.206119998678503</v>
      </c>
    </row>
    <row r="240" spans="1:58">
      <c r="A240" s="304" t="s">
        <v>747</v>
      </c>
      <c r="B240" s="302">
        <v>0</v>
      </c>
      <c r="C240" s="302">
        <v>0</v>
      </c>
      <c r="D240" s="302">
        <v>0</v>
      </c>
      <c r="E240" s="302">
        <v>0</v>
      </c>
      <c r="F240" s="302">
        <v>0</v>
      </c>
      <c r="G240" s="302">
        <v>0</v>
      </c>
      <c r="H240" s="302">
        <v>0</v>
      </c>
      <c r="I240" s="302">
        <v>0</v>
      </c>
      <c r="J240" s="302">
        <v>0</v>
      </c>
      <c r="K240" s="302">
        <v>0</v>
      </c>
      <c r="L240" s="302">
        <v>0</v>
      </c>
      <c r="M240" s="302">
        <v>0</v>
      </c>
      <c r="N240" s="302">
        <v>0</v>
      </c>
      <c r="O240" s="302">
        <v>0</v>
      </c>
      <c r="P240" s="302">
        <v>0</v>
      </c>
      <c r="Q240" s="302">
        <v>0</v>
      </c>
      <c r="R240" s="302">
        <v>8889.2303268031592</v>
      </c>
      <c r="S240" s="302">
        <v>0</v>
      </c>
      <c r="T240" s="302">
        <v>0</v>
      </c>
      <c r="U240" s="302">
        <v>633.59233329487495</v>
      </c>
      <c r="V240" s="302">
        <v>0</v>
      </c>
      <c r="W240" s="302">
        <v>0</v>
      </c>
      <c r="X240" s="302">
        <v>0</v>
      </c>
      <c r="Y240" s="302">
        <v>0</v>
      </c>
      <c r="Z240" s="302">
        <v>0</v>
      </c>
      <c r="AA240" s="302">
        <v>0</v>
      </c>
      <c r="AB240" s="302">
        <v>0</v>
      </c>
      <c r="AC240" s="302">
        <v>0</v>
      </c>
      <c r="AD240" s="302">
        <v>0</v>
      </c>
      <c r="AE240" s="302">
        <v>0</v>
      </c>
      <c r="AF240" s="302">
        <v>0</v>
      </c>
      <c r="AG240" s="302">
        <v>0</v>
      </c>
      <c r="AH240" s="302">
        <v>0</v>
      </c>
      <c r="AI240" s="302">
        <v>0</v>
      </c>
      <c r="AJ240" s="302">
        <v>1.82365383204162</v>
      </c>
      <c r="AK240" s="302">
        <v>0</v>
      </c>
      <c r="AL240" s="302">
        <v>0</v>
      </c>
      <c r="AM240" s="302">
        <v>0</v>
      </c>
      <c r="AN240" s="302">
        <v>0</v>
      </c>
      <c r="AO240" s="302">
        <v>0</v>
      </c>
      <c r="AP240" s="302">
        <v>0</v>
      </c>
      <c r="AQ240" s="302">
        <v>82605.805246579795</v>
      </c>
      <c r="AR240" s="302">
        <v>0</v>
      </c>
      <c r="AS240" s="302">
        <v>0</v>
      </c>
      <c r="AT240" s="302">
        <v>0</v>
      </c>
      <c r="AU240" s="302">
        <v>0</v>
      </c>
      <c r="AV240" s="302">
        <v>0</v>
      </c>
      <c r="AW240" s="302">
        <v>0</v>
      </c>
      <c r="AX240" s="302">
        <v>0</v>
      </c>
      <c r="AY240" s="302">
        <v>0</v>
      </c>
      <c r="AZ240" s="302">
        <v>0</v>
      </c>
      <c r="BA240" s="302">
        <v>0</v>
      </c>
      <c r="BB240" s="302">
        <v>0</v>
      </c>
      <c r="BC240" s="302">
        <v>0</v>
      </c>
      <c r="BD240" s="302">
        <v>0</v>
      </c>
      <c r="BE240" s="302">
        <v>0</v>
      </c>
      <c r="BF240" s="302">
        <v>0</v>
      </c>
    </row>
    <row r="241" spans="1:58">
      <c r="A241" s="304" t="s">
        <v>748</v>
      </c>
      <c r="B241" s="302">
        <v>0</v>
      </c>
      <c r="C241" s="302">
        <v>0</v>
      </c>
      <c r="D241" s="302">
        <v>0</v>
      </c>
      <c r="E241" s="302">
        <v>0</v>
      </c>
      <c r="F241" s="302">
        <v>0</v>
      </c>
      <c r="G241" s="302">
        <v>0</v>
      </c>
      <c r="H241" s="302">
        <v>0</v>
      </c>
      <c r="I241" s="302">
        <v>0</v>
      </c>
      <c r="J241" s="302">
        <v>0</v>
      </c>
      <c r="K241" s="302">
        <v>0</v>
      </c>
      <c r="L241" s="302">
        <v>0</v>
      </c>
      <c r="M241" s="302">
        <v>0</v>
      </c>
      <c r="N241" s="302">
        <v>0</v>
      </c>
      <c r="O241" s="302">
        <v>0</v>
      </c>
      <c r="P241" s="302">
        <v>0</v>
      </c>
      <c r="Q241" s="302">
        <v>0</v>
      </c>
      <c r="R241" s="302">
        <v>633.060913481537</v>
      </c>
      <c r="S241" s="302">
        <v>0</v>
      </c>
      <c r="T241" s="302">
        <v>0</v>
      </c>
      <c r="U241" s="302">
        <v>0</v>
      </c>
      <c r="V241" s="302">
        <v>0</v>
      </c>
      <c r="W241" s="302">
        <v>0</v>
      </c>
      <c r="X241" s="302">
        <v>0</v>
      </c>
      <c r="Y241" s="302">
        <v>0</v>
      </c>
      <c r="Z241" s="302">
        <v>0</v>
      </c>
      <c r="AA241" s="302">
        <v>0</v>
      </c>
      <c r="AB241" s="302">
        <v>0</v>
      </c>
      <c r="AC241" s="302">
        <v>0</v>
      </c>
      <c r="AD241" s="302">
        <v>0</v>
      </c>
      <c r="AE241" s="302">
        <v>0</v>
      </c>
      <c r="AF241" s="302">
        <v>0</v>
      </c>
      <c r="AG241" s="302">
        <v>0</v>
      </c>
      <c r="AH241" s="302">
        <v>0</v>
      </c>
      <c r="AI241" s="302">
        <v>0</v>
      </c>
      <c r="AJ241" s="302">
        <v>0</v>
      </c>
      <c r="AK241" s="302">
        <v>0</v>
      </c>
      <c r="AL241" s="302">
        <v>0</v>
      </c>
      <c r="AM241" s="302">
        <v>0</v>
      </c>
      <c r="AN241" s="302">
        <v>0</v>
      </c>
      <c r="AO241" s="302">
        <v>0</v>
      </c>
      <c r="AP241" s="302">
        <v>0</v>
      </c>
      <c r="AQ241" s="302">
        <v>0</v>
      </c>
      <c r="AR241" s="302">
        <v>0</v>
      </c>
      <c r="AS241" s="302">
        <v>0</v>
      </c>
      <c r="AT241" s="302">
        <v>0</v>
      </c>
      <c r="AU241" s="302">
        <v>0</v>
      </c>
      <c r="AV241" s="302">
        <v>0</v>
      </c>
      <c r="AW241" s="302">
        <v>0</v>
      </c>
      <c r="AX241" s="302">
        <v>0</v>
      </c>
      <c r="AY241" s="302">
        <v>0</v>
      </c>
      <c r="AZ241" s="302">
        <v>0</v>
      </c>
      <c r="BA241" s="302">
        <v>0</v>
      </c>
      <c r="BB241" s="302">
        <v>0</v>
      </c>
      <c r="BC241" s="302">
        <v>0</v>
      </c>
      <c r="BD241" s="302">
        <v>0</v>
      </c>
      <c r="BE241" s="302">
        <v>0</v>
      </c>
      <c r="BF241" s="302">
        <v>0</v>
      </c>
    </row>
    <row r="242" spans="1:58">
      <c r="A242" s="304"/>
      <c r="B242" s="358" t="s">
        <v>682</v>
      </c>
      <c r="C242" s="371"/>
      <c r="D242" s="371"/>
      <c r="E242" s="371"/>
      <c r="F242" s="371"/>
      <c r="G242" s="371"/>
      <c r="H242" s="371"/>
      <c r="I242" s="371"/>
      <c r="J242" s="371"/>
      <c r="K242" s="371"/>
      <c r="L242" s="371"/>
      <c r="M242" s="371"/>
      <c r="N242" s="371"/>
      <c r="O242" s="371"/>
      <c r="P242" s="371"/>
      <c r="Q242" s="371"/>
      <c r="R242" s="371"/>
      <c r="S242" s="371"/>
      <c r="T242" s="371"/>
      <c r="U242" s="371"/>
      <c r="V242" s="371"/>
      <c r="W242" s="371"/>
      <c r="X242" s="371"/>
      <c r="Y242" s="371"/>
      <c r="Z242" s="371"/>
      <c r="AA242" s="371"/>
      <c r="AB242" s="371"/>
      <c r="AC242" s="371"/>
      <c r="AD242" s="371"/>
      <c r="AE242" s="371"/>
      <c r="AF242" s="371"/>
      <c r="AG242" s="371"/>
      <c r="AH242" s="371"/>
      <c r="AI242" s="371"/>
      <c r="AJ242" s="371"/>
      <c r="AK242" s="371"/>
      <c r="AL242" s="371"/>
      <c r="AM242" s="371"/>
      <c r="AN242" s="371"/>
      <c r="AO242" s="371"/>
      <c r="AP242" s="371"/>
      <c r="AQ242" s="371"/>
      <c r="AR242" s="371"/>
      <c r="AS242" s="371"/>
      <c r="AT242" s="371"/>
      <c r="AU242" s="371"/>
      <c r="AV242" s="371"/>
      <c r="AW242" s="371"/>
      <c r="AX242" s="371"/>
      <c r="AY242" s="371"/>
      <c r="AZ242" s="371"/>
      <c r="BA242" s="371"/>
      <c r="BB242" s="371"/>
      <c r="BC242" s="371"/>
      <c r="BD242" s="371"/>
      <c r="BE242" s="371"/>
      <c r="BF242" s="371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T294"/>
  <sheetViews>
    <sheetView topLeftCell="AO8" zoomScale="28" zoomScaleNormal="25" workbookViewId="0">
      <selection activeCell="BT64" sqref="BT64"/>
    </sheetView>
  </sheetViews>
  <sheetFormatPr defaultColWidth="11.5546875" defaultRowHeight="14.4"/>
  <cols>
    <col min="6" max="6" width="11.109375" customWidth="1"/>
    <col min="8" max="8" width="11.109375" customWidth="1"/>
    <col min="9" max="9" width="9.109375" customWidth="1"/>
    <col min="10" max="10" width="13.33203125" customWidth="1"/>
    <col min="11" max="11" width="22.6640625" customWidth="1"/>
    <col min="12" max="13" width="9.33203125" customWidth="1"/>
    <col min="14" max="15" width="14.44140625" customWidth="1"/>
    <col min="16" max="16" width="9.33203125" customWidth="1"/>
    <col min="17" max="17" width="13.44140625" customWidth="1"/>
    <col min="18" max="18" width="13.109375" customWidth="1"/>
    <col min="19" max="19" width="18.109375" customWidth="1"/>
    <col min="20" max="20" width="9.44140625" customWidth="1"/>
    <col min="21" max="21" width="18.109375" customWidth="1"/>
    <col min="22" max="22" width="14.77734375" customWidth="1"/>
    <col min="23" max="23" width="9.109375" customWidth="1"/>
    <col min="24" max="24" width="13.44140625" customWidth="1"/>
    <col min="25" max="25" width="12.6640625" customWidth="1"/>
    <col min="26" max="27" width="12" customWidth="1"/>
    <col min="28" max="28" width="9.44140625" customWidth="1"/>
    <col min="29" max="29" width="12" customWidth="1"/>
    <col min="30" max="30" width="9.33203125" customWidth="1"/>
    <col min="31" max="31" width="18.109375" customWidth="1"/>
    <col min="32" max="32" width="9.6640625" customWidth="1"/>
    <col min="33" max="34" width="12" customWidth="1"/>
    <col min="35" max="35" width="17.4414062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09375" customWidth="1"/>
    <col min="44" max="44" width="13.6640625" customWidth="1"/>
    <col min="45" max="45" width="9" customWidth="1"/>
    <col min="46" max="46" width="10" customWidth="1"/>
    <col min="47" max="47" width="14.44140625" customWidth="1"/>
    <col min="48" max="48" width="12.6640625" customWidth="1"/>
    <col min="49" max="49" width="29.6640625" customWidth="1"/>
    <col min="50" max="52" width="10.44140625" customWidth="1"/>
    <col min="53" max="53" width="10.33203125" customWidth="1"/>
    <col min="54" max="54" width="14.77734375" customWidth="1"/>
    <col min="55" max="55" width="10.44140625" customWidth="1"/>
    <col min="56" max="56" width="15.6640625" customWidth="1"/>
    <col min="57" max="57" width="13.6640625" customWidth="1"/>
    <col min="58" max="58" width="14.77734375" customWidth="1"/>
    <col min="59" max="59" width="11.33203125" customWidth="1"/>
    <col min="60" max="60" width="13.44140625" customWidth="1"/>
    <col min="61" max="61" width="15.109375" customWidth="1"/>
    <col min="62" max="62" width="10.44140625" customWidth="1"/>
    <col min="63" max="63" width="9" customWidth="1"/>
    <col min="64" max="64" width="11.33203125" customWidth="1"/>
    <col min="65" max="65" width="11.6640625" customWidth="1"/>
    <col min="66" max="66" width="10.77734375" customWidth="1"/>
    <col min="67" max="67" width="10" customWidth="1"/>
    <col min="68" max="69" width="11.33203125" customWidth="1"/>
    <col min="70" max="71" width="10.44140625" customWidth="1"/>
    <col min="72" max="72" width="10.33203125" customWidth="1"/>
    <col min="73" max="73" width="12" customWidth="1"/>
    <col min="74" max="74" width="14.33203125" customWidth="1"/>
    <col min="75" max="75" width="14.44140625" customWidth="1"/>
    <col min="76" max="76" width="12" customWidth="1"/>
    <col min="77" max="77" width="13.33203125" customWidth="1"/>
    <col min="78" max="78" width="13.109375" customWidth="1"/>
    <col min="79" max="79" width="14.44140625" customWidth="1"/>
    <col min="80" max="80" width="10.77734375" customWidth="1"/>
    <col min="81" max="81" width="13.109375" customWidth="1"/>
    <col min="82" max="82" width="11.44140625" customWidth="1"/>
    <col min="83" max="83" width="12.4414062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09375" customWidth="1"/>
    <col min="89" max="89" width="11.33203125" customWidth="1"/>
    <col min="90" max="90" width="15" customWidth="1"/>
    <col min="91" max="91" width="10" customWidth="1"/>
    <col min="92" max="92" width="9.77734375" customWidth="1"/>
    <col min="93" max="94" width="11.77734375" customWidth="1"/>
    <col min="95" max="95" width="12.6640625" customWidth="1"/>
    <col min="96" max="96" width="9.77734375" customWidth="1"/>
    <col min="97" max="97" width="13.6640625" customWidth="1"/>
    <col min="98" max="98" width="12.109375" customWidth="1"/>
    <col min="99" max="99" width="13.33203125" customWidth="1"/>
    <col min="100" max="100" width="9.44140625" customWidth="1"/>
    <col min="101" max="101" width="11.7773437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0937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77734375" customWidth="1"/>
    <col min="130" max="130" width="9.33203125" customWidth="1"/>
    <col min="131" max="131" width="11.77734375" customWidth="1"/>
    <col min="132" max="132" width="10.33203125" customWidth="1"/>
    <col min="133" max="133" width="13" customWidth="1"/>
    <col min="134" max="134" width="10.77734375" customWidth="1"/>
    <col min="135" max="137" width="14.44140625" customWidth="1"/>
    <col min="138" max="138" width="11.33203125" customWidth="1"/>
    <col min="139" max="139" width="15.109375" customWidth="1"/>
    <col min="140" max="140" width="9.44140625" customWidth="1"/>
    <col min="141" max="141" width="11.109375" customWidth="1"/>
    <col min="142" max="142" width="12.77734375" customWidth="1"/>
    <col min="143" max="143" width="13.33203125" customWidth="1"/>
    <col min="144" max="144" width="11.6640625" customWidth="1"/>
    <col min="145" max="145" width="12.77734375" customWidth="1"/>
    <col min="146" max="146" width="10.6640625" customWidth="1"/>
    <col min="147" max="147" width="11.44140625" customWidth="1"/>
    <col min="148" max="150" width="9" customWidth="1"/>
    <col min="152" max="152" width="12.109375" customWidth="1"/>
    <col min="154" max="155" width="9" customWidth="1"/>
    <col min="156" max="156" width="10.6640625" customWidth="1"/>
    <col min="157" max="163" width="9.109375" customWidth="1"/>
    <col min="164" max="164" width="13.44140625" customWidth="1"/>
    <col min="165" max="167" width="9" customWidth="1"/>
  </cols>
  <sheetData>
    <row r="1" spans="20:20">
      <c r="T1" s="3"/>
    </row>
    <row r="2" spans="20:20">
      <c r="T2" s="3"/>
    </row>
    <row r="3" spans="20:20">
      <c r="T3" s="3"/>
    </row>
    <row r="6" spans="20:20">
      <c r="T6" s="3"/>
    </row>
    <row r="7" spans="20:20">
      <c r="T7" s="3"/>
    </row>
    <row r="8" spans="20:20">
      <c r="T8" s="3"/>
    </row>
    <row r="9" spans="20:20">
      <c r="T9" s="3"/>
    </row>
    <row r="11" spans="20:20">
      <c r="T11" s="3"/>
    </row>
    <row r="12" spans="20:20">
      <c r="T12" s="3"/>
    </row>
    <row r="13" spans="20:20">
      <c r="T13" s="3"/>
    </row>
    <row r="23" spans="14:66" ht="15" customHeight="1">
      <c r="P23" s="396" t="s">
        <v>285</v>
      </c>
      <c r="Q23" s="396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.05" customHeight="1">
      <c r="P24" s="397"/>
      <c r="Q24" s="397"/>
    </row>
    <row r="25" spans="14:66" ht="16.05" customHeight="1">
      <c r="P25" s="374" t="s">
        <v>269</v>
      </c>
      <c r="Q25" s="98" t="s">
        <v>245</v>
      </c>
      <c r="AO25" s="384" t="s">
        <v>346</v>
      </c>
      <c r="AP25" s="384"/>
      <c r="AQ25" s="384"/>
      <c r="AR25" s="384"/>
      <c r="AS25" s="384"/>
      <c r="AT25" s="384"/>
      <c r="AU25" s="384"/>
      <c r="BH25" s="384" t="s">
        <v>350</v>
      </c>
      <c r="BI25" s="384"/>
      <c r="BJ25" s="384"/>
      <c r="BK25" s="384"/>
      <c r="BL25" s="384"/>
      <c r="BM25" s="384"/>
      <c r="BN25" s="384"/>
    </row>
    <row r="26" spans="14:66">
      <c r="P26" s="375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6.95" customHeight="1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.05" customHeight="1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.05" customHeight="1"/>
    <row r="40" spans="5:80">
      <c r="U40" s="179" t="s">
        <v>1</v>
      </c>
      <c r="V40" s="178" t="s">
        <v>0</v>
      </c>
      <c r="AN40" s="179" t="s">
        <v>1</v>
      </c>
      <c r="AO40" s="178" t="s">
        <v>0</v>
      </c>
      <c r="BG40" s="179" t="s">
        <v>1</v>
      </c>
      <c r="BH40" s="178" t="s">
        <v>0</v>
      </c>
      <c r="BZ40" s="179" t="s">
        <v>1</v>
      </c>
      <c r="CA40" s="178" t="s">
        <v>0</v>
      </c>
    </row>
    <row r="41" spans="5:80" ht="18" customHeight="1">
      <c r="J41" s="21"/>
      <c r="K41" s="21"/>
      <c r="N41" s="21"/>
      <c r="O41" s="21"/>
      <c r="Q41" s="154"/>
      <c r="R41" s="154"/>
      <c r="S41" s="21"/>
      <c r="T41" s="21"/>
      <c r="U41" s="181" t="s">
        <v>83</v>
      </c>
      <c r="V41" s="180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181" t="s">
        <v>83</v>
      </c>
      <c r="AO41" s="180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181" t="s">
        <v>83</v>
      </c>
      <c r="BH41" s="180" t="s">
        <v>87</v>
      </c>
      <c r="BI41" s="21"/>
      <c r="BZ41" s="181" t="s">
        <v>83</v>
      </c>
      <c r="CA41" s="180" t="s">
        <v>87</v>
      </c>
    </row>
    <row r="42" spans="5:80" ht="16.05" customHeight="1">
      <c r="E42" s="391" t="s">
        <v>332</v>
      </c>
      <c r="F42" s="391"/>
      <c r="G42" s="391"/>
      <c r="H42" s="391"/>
      <c r="J42" s="21"/>
      <c r="K42" s="21"/>
      <c r="L42" s="21"/>
      <c r="M42" s="21"/>
      <c r="N42" s="21"/>
      <c r="O42" s="21"/>
      <c r="P42" s="154"/>
      <c r="Q42" s="154" t="s">
        <v>333</v>
      </c>
      <c r="R42" s="154"/>
      <c r="S42" s="21"/>
      <c r="T42" s="21"/>
      <c r="U42" s="177">
        <f>K52</f>
        <v>1011.7674660019052</v>
      </c>
      <c r="V42" s="175">
        <f>V52</f>
        <v>108184.8596728804</v>
      </c>
      <c r="W42" s="400" t="s">
        <v>325</v>
      </c>
      <c r="X42" s="400"/>
      <c r="Y42" s="400"/>
      <c r="Z42" s="400"/>
      <c r="AA42" s="400"/>
      <c r="AB42" s="21"/>
      <c r="AC42" s="21"/>
      <c r="AD42" s="21"/>
      <c r="AE42" s="21"/>
      <c r="AF42" s="21"/>
      <c r="AG42" s="21"/>
      <c r="AH42" s="21"/>
      <c r="AI42" s="189"/>
      <c r="AJ42" s="21" t="s">
        <v>442</v>
      </c>
      <c r="AK42" s="21"/>
      <c r="AL42" s="21"/>
      <c r="AM42" s="21"/>
      <c r="AN42" s="177">
        <f>AD52</f>
        <v>1011.7674660019052</v>
      </c>
      <c r="AO42" s="175">
        <f>AO52</f>
        <v>108184.8596728804</v>
      </c>
      <c r="AP42" s="400" t="s">
        <v>455</v>
      </c>
      <c r="AQ42" s="400"/>
      <c r="AR42" s="400"/>
      <c r="AS42" s="400"/>
      <c r="AT42" s="400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77">
        <f>AW52</f>
        <v>1011.7674660019052</v>
      </c>
      <c r="BH42" s="175">
        <f>BH52</f>
        <v>108184.8596728804</v>
      </c>
      <c r="BI42" s="400" t="s">
        <v>351</v>
      </c>
      <c r="BJ42" s="400"/>
      <c r="BK42" s="400"/>
      <c r="BL42" s="400"/>
      <c r="BM42" s="400"/>
      <c r="BV42" s="14" t="s">
        <v>439</v>
      </c>
      <c r="BZ42" s="177">
        <f>BP48</f>
        <v>1000.0000000000001</v>
      </c>
      <c r="CA42" s="175">
        <f>CA48</f>
        <v>88071.706245154463</v>
      </c>
    </row>
    <row r="43" spans="5:80" ht="16.05" customHeight="1">
      <c r="E43" s="391"/>
      <c r="F43" s="391"/>
      <c r="G43" s="391"/>
      <c r="H43" s="391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406"/>
      <c r="X43" s="406"/>
      <c r="Y43" s="406"/>
      <c r="Z43" s="406"/>
      <c r="AA43" s="406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400"/>
      <c r="AQ43" s="400"/>
      <c r="AR43" s="400"/>
      <c r="AS43" s="400"/>
      <c r="AT43" s="400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400"/>
      <c r="BJ43" s="400"/>
      <c r="BK43" s="400"/>
      <c r="BL43" s="400"/>
      <c r="BM43" s="400"/>
    </row>
    <row r="44" spans="5:80" ht="19.2" customHeight="1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3" t="s">
        <v>339</v>
      </c>
      <c r="X44" s="191" t="s">
        <v>379</v>
      </c>
      <c r="Y44" s="127" t="s">
        <v>264</v>
      </c>
      <c r="Z44" s="404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3" t="s">
        <v>339</v>
      </c>
      <c r="AQ44" s="133" t="s">
        <v>379</v>
      </c>
      <c r="AR44" s="17" t="s">
        <v>264</v>
      </c>
      <c r="AS44" s="374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3" t="s">
        <v>339</v>
      </c>
      <c r="BJ44" s="133" t="s">
        <v>379</v>
      </c>
      <c r="BK44" s="127" t="s">
        <v>264</v>
      </c>
      <c r="BL44" s="374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7" t="s">
        <v>47</v>
      </c>
      <c r="X45" s="184" t="s">
        <v>47</v>
      </c>
      <c r="Y45" s="128" t="s">
        <v>83</v>
      </c>
      <c r="Z45" s="405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7" t="s">
        <v>47</v>
      </c>
      <c r="AQ45" s="194" t="s">
        <v>47</v>
      </c>
      <c r="AR45" s="1" t="s">
        <v>83</v>
      </c>
      <c r="AS45" s="375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7" t="s">
        <v>47</v>
      </c>
      <c r="BJ45" s="194" t="s">
        <v>47</v>
      </c>
      <c r="BK45" s="194" t="s">
        <v>83</v>
      </c>
      <c r="BL45" s="375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9" t="s">
        <v>84</v>
      </c>
      <c r="BS45" s="139" t="s">
        <v>80</v>
      </c>
      <c r="BT45" s="1" t="s">
        <v>89</v>
      </c>
      <c r="BU45" s="139" t="s">
        <v>89</v>
      </c>
      <c r="BV45" s="139" t="s">
        <v>24</v>
      </c>
      <c r="BW45" s="139" t="s">
        <v>91</v>
      </c>
      <c r="BX45" s="139" t="s">
        <v>89</v>
      </c>
      <c r="BY45" s="139" t="s">
        <v>89</v>
      </c>
      <c r="BZ45" s="139" t="s">
        <v>88</v>
      </c>
      <c r="CA45" s="139" t="s">
        <v>86</v>
      </c>
      <c r="CB45" s="1"/>
    </row>
    <row r="46" spans="5:80" ht="19.05" customHeight="1">
      <c r="I46" s="372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6">
        <f>AO63</f>
        <v>2244.7960862667505</v>
      </c>
      <c r="X46" s="192">
        <f>SUM(V42,V59,V72) -AO63-AO42</f>
        <v>92026.437429115918</v>
      </c>
      <c r="Y46" s="129">
        <f>ROUND(U42+U59+U72-AN42-AN63, 10)</f>
        <v>0</v>
      </c>
      <c r="Z46" s="99" t="s">
        <v>489</v>
      </c>
      <c r="AA46" s="96">
        <f>($AO$42+AO63)/(V59+V72+$V$42)</f>
        <v>0.54544989987759507</v>
      </c>
      <c r="AB46" s="372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6">
        <f>0</f>
        <v>0</v>
      </c>
      <c r="AQ46" s="190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72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6">
        <f>CA55</f>
        <v>21722.892325740406</v>
      </c>
      <c r="BJ46" s="196">
        <f>BH42+BN35-CA42-CA55</f>
        <v>11016.359928324211</v>
      </c>
      <c r="BK46" s="129">
        <f>BZ42+BZ55-BG42</f>
        <v>0</v>
      </c>
      <c r="BL46" s="99" t="s">
        <v>489</v>
      </c>
      <c r="BM46" s="96">
        <f>(CA42+CA55)/(BN35+BH42)</f>
        <v>0.90881323958376325</v>
      </c>
      <c r="BN46" s="372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.05" customHeight="1">
      <c r="I47" s="372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72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72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72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>
      <c r="I48" s="372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72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72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>
        <f>SUM(BR46:BR47)</f>
        <v>0.21977250000000001</v>
      </c>
      <c r="BS48" s="14">
        <f>SUM(BS46:BS47)</f>
        <v>7496.9290510914179</v>
      </c>
      <c r="BT48" s="18" cm="1">
        <f t="array" ref="BT48">SUM(BS46:BS47*BT46:BT47) / BS48</f>
        <v>-847.04018592884336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>
      <c r="I49" s="372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72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72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21"/>
      <c r="BV49" s="21"/>
      <c r="BZ49" s="14" t="s">
        <v>90</v>
      </c>
      <c r="CA49" s="1" t="s">
        <v>87</v>
      </c>
    </row>
    <row r="50" spans="2:86">
      <c r="I50" s="372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72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72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</row>
    <row r="51" spans="2:86">
      <c r="I51" s="372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72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72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</row>
    <row r="52" spans="2:86" ht="16.05" customHeight="1">
      <c r="J52" s="23" t="s">
        <v>18</v>
      </c>
      <c r="K52" s="23">
        <f>SUM(K46:K51)</f>
        <v>1011.7674660019052</v>
      </c>
      <c r="L52" s="23">
        <f>SUM(L46:L51)</f>
        <v>1</v>
      </c>
      <c r="M52" s="23">
        <f>SUM(M46:M51)</f>
        <v>0.47896953999999997</v>
      </c>
      <c r="N52" s="23">
        <f>SUM(N46:N51)</f>
        <v>7624.8433874224093</v>
      </c>
      <c r="O52" s="18" cm="1">
        <f t="array" ref="O52">SUM(N46:N51*O46:O51) / N52</f>
        <v>-854.87945690887818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>
        <f>SUM(AF46:AF51)</f>
        <v>0.47896953999999997</v>
      </c>
      <c r="AG52" s="23">
        <f>SUM(AG46:AG51)</f>
        <v>7624.8433874224093</v>
      </c>
      <c r="AH52" s="18" cm="1">
        <f t="array" ref="AH52">SUM(AG46:AG51*AH46:AH51) / AG52</f>
        <v>-854.87945690887818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>
        <f>SUM(AY46:AY51)</f>
        <v>0.47896953999999997</v>
      </c>
      <c r="AZ52" s="23">
        <f>SUM(AZ46:AZ51)</f>
        <v>7624.8433874224093</v>
      </c>
      <c r="BA52" s="18" cm="1">
        <f t="array" ref="BA52">SUM(AZ46:AZ51*BA46:BA51) / AZ52</f>
        <v>-854.87945690887818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spans="2:86" ht="18" customHeight="1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179" t="s">
        <v>1</v>
      </c>
      <c r="CA53" s="178" t="s">
        <v>0</v>
      </c>
    </row>
    <row r="54" spans="2:86" ht="18" customHeight="1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181" t="s">
        <v>83</v>
      </c>
      <c r="CA54" s="180" t="s">
        <v>87</v>
      </c>
    </row>
    <row r="55" spans="2:86" ht="16.95" customHeight="1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Z55" s="177">
        <f>BP63</f>
        <v>11.767466001905108</v>
      </c>
      <c r="CA55" s="175">
        <f>CA63</f>
        <v>21722.892325740406</v>
      </c>
    </row>
    <row r="56" spans="2:86" ht="16.95" customHeight="1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179" t="s">
        <v>1</v>
      </c>
      <c r="V57" s="178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181" t="s">
        <v>83</v>
      </c>
      <c r="V58" s="180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40"/>
      <c r="BO58" s="21" t="s">
        <v>40</v>
      </c>
      <c r="BP58" s="1" t="s">
        <v>82</v>
      </c>
      <c r="BQ58" s="21" t="s">
        <v>213</v>
      </c>
      <c r="BR58" s="139" t="s">
        <v>84</v>
      </c>
      <c r="BS58" s="139" t="s">
        <v>80</v>
      </c>
      <c r="BT58" s="1" t="s">
        <v>89</v>
      </c>
      <c r="BU58" s="139" t="s">
        <v>89</v>
      </c>
      <c r="BV58" s="139" t="s">
        <v>24</v>
      </c>
      <c r="BW58" s="139" t="s">
        <v>91</v>
      </c>
      <c r="BX58" s="139" t="s">
        <v>89</v>
      </c>
      <c r="BY58" s="139" t="s">
        <v>89</v>
      </c>
      <c r="BZ58" s="139" t="s">
        <v>88</v>
      </c>
      <c r="CA58" s="139" t="s">
        <v>86</v>
      </c>
    </row>
    <row r="59" spans="2:86" ht="24" customHeight="1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4" t="s">
        <v>466</v>
      </c>
      <c r="R59" s="21"/>
      <c r="S59" s="21"/>
      <c r="T59" s="21"/>
      <c r="U59" s="177">
        <f>L64</f>
        <v>2.0694989883749622</v>
      </c>
      <c r="V59" s="175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72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W60" t="s">
        <v>797</v>
      </c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72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>
      <c r="B61" s="377" t="s">
        <v>386</v>
      </c>
      <c r="C61" s="377"/>
      <c r="D61" s="377"/>
      <c r="E61" s="377"/>
      <c r="F61" s="377"/>
      <c r="G61" s="377"/>
      <c r="H61" s="377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N61" s="179" t="s">
        <v>1</v>
      </c>
      <c r="AO61" s="178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72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>
      <c r="B62" s="390"/>
      <c r="C62" s="390"/>
      <c r="D62" s="390"/>
      <c r="E62" s="390"/>
      <c r="F62" s="390"/>
      <c r="G62" s="390"/>
      <c r="H62" s="390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N62" s="181" t="s">
        <v>83</v>
      </c>
      <c r="AO62" s="180" t="s">
        <v>87</v>
      </c>
      <c r="AP62" s="21"/>
      <c r="AQ62" s="21"/>
      <c r="AR62" s="21"/>
      <c r="AS62" s="21"/>
      <c r="AT62" s="21"/>
      <c r="AU62" s="21"/>
      <c r="AV62" s="307" t="s">
        <v>782</v>
      </c>
      <c r="AW62" s="307" t="s">
        <v>265</v>
      </c>
      <c r="AX62" s="308" t="s">
        <v>250</v>
      </c>
      <c r="AY62" s="308" t="s">
        <v>783</v>
      </c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72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21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8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77">
        <f>AD70</f>
        <v>32.219926549044033</v>
      </c>
      <c r="AO63" s="175">
        <f>AO70</f>
        <v>2244.7960862667505</v>
      </c>
      <c r="AP63" s="21"/>
      <c r="AQ63" s="21"/>
      <c r="AR63" s="21"/>
      <c r="AS63" s="21"/>
      <c r="AT63" s="21"/>
      <c r="AU63" s="21"/>
      <c r="AV63" s="307" t="s">
        <v>47</v>
      </c>
      <c r="AW63" s="307" t="s">
        <v>62</v>
      </c>
      <c r="AX63" s="307" t="s">
        <v>91</v>
      </c>
      <c r="AY63" s="307" t="s">
        <v>47</v>
      </c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40"/>
      <c r="BO63" s="23" t="s">
        <v>18</v>
      </c>
      <c r="BP63" s="23">
        <f>SUM(BP57:BP62)</f>
        <v>11.767466001905108</v>
      </c>
      <c r="BQ63" s="23">
        <f>SUM(BQ57:BQ62)</f>
        <v>1</v>
      </c>
      <c r="BR63" s="23">
        <f>SUM(BR57:BR62)</f>
        <v>0.25919703999999999</v>
      </c>
      <c r="BS63" s="23">
        <f>SUM(BS57:BS62)</f>
        <v>127.91433633099219</v>
      </c>
      <c r="BT63" s="18" cm="1">
        <f t="array" ref="BT63">SUM(BS59:BS62*BT59:BT62) / BS63</f>
        <v>-1314.3311496223889</v>
      </c>
      <c r="BU63" s="23"/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309">
        <f>AS28</f>
        <v>609792.2517593482</v>
      </c>
      <c r="AW64" s="309">
        <f>T_0</f>
        <v>298</v>
      </c>
      <c r="AX64" s="309">
        <f>1-(T_0/AW64)</f>
        <v>0</v>
      </c>
      <c r="AY64" s="309">
        <f>AV64</f>
        <v>609792.2517593482</v>
      </c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7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9" t="s">
        <v>40</v>
      </c>
      <c r="AD66" s="139" t="s">
        <v>10</v>
      </c>
      <c r="AE66" s="21" t="s">
        <v>213</v>
      </c>
      <c r="AF66" s="139" t="s">
        <v>11</v>
      </c>
      <c r="AG66" s="139" t="s">
        <v>12</v>
      </c>
      <c r="AH66" s="1" t="s">
        <v>89</v>
      </c>
      <c r="AI66" s="139" t="s">
        <v>13</v>
      </c>
      <c r="AJ66" s="139" t="s">
        <v>24</v>
      </c>
      <c r="AK66" s="139" t="s">
        <v>24</v>
      </c>
      <c r="AL66" s="139" t="s">
        <v>13</v>
      </c>
      <c r="AM66" s="139" t="s">
        <v>13</v>
      </c>
      <c r="AN66" s="139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6.95" customHeight="1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7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72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6.95" customHeight="1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7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72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.05" customHeight="1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7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72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.05" customHeight="1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7">
        <v>1.06</v>
      </c>
      <c r="H70" s="20">
        <f t="shared" si="38"/>
        <v>1357.8286867689221</v>
      </c>
      <c r="U70" s="179" t="s">
        <v>1</v>
      </c>
      <c r="V70" s="178" t="s">
        <v>0</v>
      </c>
      <c r="X70" s="21"/>
      <c r="Y70" s="21"/>
      <c r="Z70" s="21"/>
      <c r="AA70" s="21"/>
      <c r="AB70" s="372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>
        <f>SUM(AF67:AF69)</f>
        <v>9.0038560000000004E-2</v>
      </c>
      <c r="AG70" s="40">
        <f>SUM(AG67:AG69)</f>
        <v>1116.170175152396</v>
      </c>
      <c r="AH70" s="18" cm="1">
        <f t="array" ref="AH70">SUM(AG67:AG69*AH67:AH69) / AG70</f>
        <v>-83.141622340425528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787</v>
      </c>
      <c r="BU70" s="21"/>
      <c r="BV70" s="21"/>
      <c r="BW70" s="21"/>
      <c r="BX70" s="21"/>
      <c r="BY70" s="21"/>
      <c r="BZ70" s="21"/>
    </row>
    <row r="71" spans="2:78" ht="18" customHeight="1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7">
        <v>1.06</v>
      </c>
      <c r="H71" s="20">
        <f t="shared" si="38"/>
        <v>949.34855683260469</v>
      </c>
      <c r="U71" s="181" t="s">
        <v>83</v>
      </c>
      <c r="V71" s="180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.05" customHeight="1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U72" s="177">
        <f>K78</f>
        <v>30.150427560669065</v>
      </c>
      <c r="V72" s="175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307" t="s">
        <v>782</v>
      </c>
      <c r="BQ72" s="307" t="s">
        <v>265</v>
      </c>
      <c r="BR72" s="308" t="s">
        <v>250</v>
      </c>
      <c r="BS72" s="308" t="s">
        <v>783</v>
      </c>
      <c r="BU72" s="21"/>
      <c r="BV72" s="21"/>
      <c r="BW72" s="21"/>
      <c r="BX72" s="21"/>
      <c r="BY72" s="21"/>
      <c r="BZ72" s="21"/>
    </row>
    <row r="73" spans="2:78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307" t="s">
        <v>47</v>
      </c>
      <c r="BQ73" s="307" t="s">
        <v>62</v>
      </c>
      <c r="BR73" s="307" t="s">
        <v>91</v>
      </c>
      <c r="BS73" s="307" t="s">
        <v>47</v>
      </c>
      <c r="BU73" s="21"/>
      <c r="BV73" s="21"/>
      <c r="BW73" s="21"/>
      <c r="BX73" s="21"/>
      <c r="BY73" s="21"/>
      <c r="BZ73" s="21"/>
    </row>
    <row r="74" spans="2:78" ht="18" customHeight="1">
      <c r="E74" s="377" t="s">
        <v>414</v>
      </c>
      <c r="F74" s="377"/>
      <c r="G74" s="377"/>
      <c r="H74" s="377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D74" t="s">
        <v>795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9">
        <f>'MCC_hM_RUVY_matrices_mat_level '!L151</f>
        <v>2120631.0925291404</v>
      </c>
      <c r="BQ74" s="309">
        <v>1448.15</v>
      </c>
      <c r="BR74" s="309">
        <f>1-(T_0/BQ74)</f>
        <v>0.79422021199461379</v>
      </c>
      <c r="BS74" s="309">
        <f>BP74*BR74</f>
        <v>1684248.0758708634</v>
      </c>
      <c r="BU74" s="21"/>
      <c r="BV74" s="21"/>
      <c r="BW74" s="21"/>
      <c r="BX74" s="21"/>
      <c r="BY74" s="21"/>
      <c r="BZ74" s="21"/>
    </row>
    <row r="75" spans="2:78" ht="18" customHeight="1">
      <c r="E75" s="377"/>
      <c r="F75" s="377"/>
      <c r="G75" s="377"/>
      <c r="H75" s="377"/>
      <c r="J75" s="187" t="s">
        <v>40</v>
      </c>
      <c r="K75" s="14" t="s">
        <v>10</v>
      </c>
      <c r="L75" s="14" t="s">
        <v>171</v>
      </c>
      <c r="M75" s="139" t="s">
        <v>84</v>
      </c>
      <c r="N75" s="139" t="s">
        <v>80</v>
      </c>
      <c r="O75" s="1" t="s">
        <v>89</v>
      </c>
      <c r="P75" s="139" t="s">
        <v>89</v>
      </c>
      <c r="Q75" s="139" t="s">
        <v>24</v>
      </c>
      <c r="R75" s="139" t="s">
        <v>91</v>
      </c>
      <c r="S75" s="139" t="s">
        <v>89</v>
      </c>
      <c r="T75" s="139" t="s">
        <v>89</v>
      </c>
      <c r="U75" s="139" t="s">
        <v>88</v>
      </c>
      <c r="V75" s="139" t="s">
        <v>86</v>
      </c>
      <c r="X75" s="21"/>
      <c r="Y75" s="21"/>
      <c r="Z75" s="21"/>
      <c r="AA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788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>
      <c r="I76" s="372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C76" s="307" t="s">
        <v>782</v>
      </c>
      <c r="AD76" s="307" t="s">
        <v>265</v>
      </c>
      <c r="AE76" s="308" t="s">
        <v>250</v>
      </c>
      <c r="AF76" s="308" t="s">
        <v>783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>
      <c r="I77" s="372"/>
      <c r="J77" s="159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9">
        <f>LN(Q77)</f>
        <v>-0.23582871084152554</v>
      </c>
      <c r="S77" s="139">
        <f>RT0*R77</f>
        <v>-0.58428261077706012</v>
      </c>
      <c r="T77" s="139">
        <f>P77+S77</f>
        <v>0.11571738922293984</v>
      </c>
      <c r="U77" s="139">
        <f>T77*Q77</f>
        <v>9.1407013335767603E-2</v>
      </c>
      <c r="V77" s="139">
        <f>N78*U77</f>
        <v>95.524804170806448</v>
      </c>
      <c r="X77" s="21"/>
      <c r="Y77" s="21"/>
      <c r="Z77" s="21"/>
      <c r="AA77" s="21"/>
      <c r="AC77" s="307" t="s">
        <v>47</v>
      </c>
      <c r="AD77" s="307" t="s">
        <v>62</v>
      </c>
      <c r="AE77" s="307" t="s">
        <v>91</v>
      </c>
      <c r="AF77" s="307" t="s">
        <v>47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.05" customHeight="1">
      <c r="K78" s="18">
        <f>SUM(K76:K77)</f>
        <v>30.150427560669065</v>
      </c>
      <c r="L78" s="18"/>
      <c r="M78" s="14">
        <f>SUM(M76:M77)</f>
        <v>6.0012280000000001E-2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C78" s="309">
        <f>'MCC_hM_RUVY_matrices_mat_level '!L145</f>
        <v>117912.54281872907</v>
      </c>
      <c r="AD78" s="309">
        <f>T_0</f>
        <v>298</v>
      </c>
      <c r="AE78" s="309">
        <f>1-(T_0/AD78)</f>
        <v>0</v>
      </c>
      <c r="AF78" s="309">
        <f>AC78</f>
        <v>117912.54281872907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.05" customHeight="1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  <c r="AL81" s="186"/>
      <c r="AM81" s="186"/>
      <c r="AN81" s="186"/>
      <c r="AO81" s="186"/>
      <c r="AP81" s="186"/>
      <c r="AQ81" s="186"/>
      <c r="AR81" s="186"/>
      <c r="AS81" s="186"/>
      <c r="AT81" s="186"/>
      <c r="AU81" s="186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/>
      <c r="BM81" s="186"/>
      <c r="BN81" s="186"/>
      <c r="BO81" s="186"/>
      <c r="BP81" s="186"/>
      <c r="BQ81" s="186"/>
      <c r="BR81" s="186"/>
      <c r="BS81" s="186"/>
      <c r="BT81" s="186"/>
      <c r="BU81" s="42"/>
      <c r="BV81" s="42"/>
      <c r="BW81" s="186"/>
      <c r="BX81" s="186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8" customHeight="1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" customHeight="1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" customHeight="1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179" t="s">
        <v>1</v>
      </c>
      <c r="EM99" s="178" t="s">
        <v>0</v>
      </c>
    </row>
    <row r="100" spans="16:169" ht="18" customHeight="1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181" t="s">
        <v>83</v>
      </c>
      <c r="EM100" s="180" t="s">
        <v>87</v>
      </c>
    </row>
    <row r="101" spans="16:169" ht="19.2" customHeight="1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77">
        <f>EC106</f>
        <v>4.914718171980665</v>
      </c>
      <c r="EM101" s="175">
        <f>EM106</f>
        <v>29112.263489807588</v>
      </c>
    </row>
    <row r="102" spans="16:169" ht="39" customHeight="1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6"/>
      <c r="AI102" s="126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179" t="s">
        <v>1</v>
      </c>
      <c r="FM102" s="178" t="s">
        <v>0</v>
      </c>
    </row>
    <row r="103" spans="16:169" ht="18" customHeight="1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77" t="s">
        <v>410</v>
      </c>
      <c r="DU103" s="377"/>
      <c r="DV103" s="377"/>
      <c r="DW103" s="377"/>
      <c r="DX103" s="377"/>
      <c r="DY103" s="377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1" t="s">
        <v>83</v>
      </c>
      <c r="FM103" s="180" t="s">
        <v>87</v>
      </c>
    </row>
    <row r="104" spans="16:169" ht="19.05" customHeight="1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390"/>
      <c r="DU104" s="390"/>
      <c r="DV104" s="390"/>
      <c r="DW104" s="390"/>
      <c r="DX104" s="390"/>
      <c r="DY104" s="390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77">
        <f>FB109</f>
        <v>229.94813284002646</v>
      </c>
      <c r="FM104" s="175">
        <f>FM109</f>
        <v>67875.356217847453</v>
      </c>
    </row>
    <row r="105" spans="16:169" ht="18.45" customHeight="1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4" t="s">
        <v>166</v>
      </c>
      <c r="DV105" s="204" t="s">
        <v>166</v>
      </c>
      <c r="DW105" s="204" t="s">
        <v>166</v>
      </c>
      <c r="DX105" s="205" t="s">
        <v>250</v>
      </c>
      <c r="DY105" s="204" t="s">
        <v>244</v>
      </c>
      <c r="DZ105" s="138" t="s">
        <v>411</v>
      </c>
      <c r="EA105" s="188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4" t="s">
        <v>161</v>
      </c>
      <c r="DV106" s="204" t="s">
        <v>256</v>
      </c>
      <c r="DW106" s="204" t="s">
        <v>47</v>
      </c>
      <c r="DX106" s="205" t="s">
        <v>91</v>
      </c>
      <c r="DY106" s="204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" customHeight="1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4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2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9" t="s">
        <v>40</v>
      </c>
      <c r="FB107" s="139" t="s">
        <v>10</v>
      </c>
      <c r="FC107" s="1" t="s">
        <v>452</v>
      </c>
      <c r="FD107" s="139" t="s">
        <v>11</v>
      </c>
      <c r="FE107" s="139" t="s">
        <v>12</v>
      </c>
      <c r="FF107" s="1" t="s">
        <v>89</v>
      </c>
      <c r="FG107" s="139" t="s">
        <v>13</v>
      </c>
      <c r="FH107" s="139" t="s">
        <v>24</v>
      </c>
      <c r="FI107" s="139" t="s">
        <v>24</v>
      </c>
      <c r="FJ107" s="139" t="s">
        <v>13</v>
      </c>
      <c r="FK107" s="139" t="s">
        <v>13</v>
      </c>
      <c r="FL107" s="139" t="s">
        <v>25</v>
      </c>
      <c r="FM107" s="1" t="s">
        <v>47</v>
      </c>
    </row>
    <row r="108" spans="16:169" ht="18" customHeight="1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8" t="s">
        <v>457</v>
      </c>
      <c r="FA108" s="1" t="s">
        <v>21</v>
      </c>
      <c r="FB108" s="1">
        <f>Slag_BF_out</f>
        <v>229.94813284002646</v>
      </c>
      <c r="FC108" s="172">
        <f>FB108/FB109</f>
        <v>1</v>
      </c>
      <c r="FD108" s="27">
        <f>MW_CaSiO3</f>
        <v>0.11616169999999999</v>
      </c>
      <c r="FE108" s="27">
        <f>FB108/FD108</f>
        <v>1979.552062685261</v>
      </c>
      <c r="FF108" s="161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.05" customHeight="1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4">
        <f>SUM(FB108)</f>
        <v>229.94813284002646</v>
      </c>
      <c r="FC109" s="144">
        <f>FC108</f>
        <v>1</v>
      </c>
      <c r="FD109" s="144">
        <f>SUM(FD108)</f>
        <v>0.11616169999999999</v>
      </c>
      <c r="FE109" s="144">
        <f>SUM(FE108)</f>
        <v>1979.552062685261</v>
      </c>
      <c r="FF109" s="40">
        <f t="shared" ref="FF109" si="43">SUM(FF108:FF108)</f>
        <v>-89.61</v>
      </c>
      <c r="FG109" s="144">
        <f>FG108</f>
        <v>34.288240000000087</v>
      </c>
      <c r="FH109" s="144">
        <f>FH108</f>
        <v>1</v>
      </c>
      <c r="FI109" s="144"/>
      <c r="FJ109" s="144">
        <f>FJ108</f>
        <v>0</v>
      </c>
      <c r="FK109" s="144">
        <f>FK108</f>
        <v>34.288240000000087</v>
      </c>
      <c r="FL109" s="144">
        <f>SUM(FL108)</f>
        <v>34.288240000000087</v>
      </c>
      <c r="FM109" s="144">
        <f>SUM(FM108)</f>
        <v>67875.356217847453</v>
      </c>
    </row>
    <row r="110" spans="16:169" ht="19.2" customHeight="1">
      <c r="T110" s="21"/>
      <c r="AD110" s="27"/>
      <c r="AE110" s="27"/>
      <c r="AF110" s="203"/>
      <c r="AG110" s="203"/>
      <c r="AH110" s="203"/>
      <c r="AI110" s="203"/>
      <c r="AJ110" s="203"/>
      <c r="AK110" s="27"/>
      <c r="AL110" s="27"/>
      <c r="AM110" s="27"/>
      <c r="AN110" s="27"/>
      <c r="AO110" s="401" t="s">
        <v>346</v>
      </c>
      <c r="AP110" s="398"/>
      <c r="AQ110" s="398"/>
      <c r="AR110" s="398"/>
      <c r="AS110" s="398"/>
      <c r="AT110" s="398"/>
      <c r="AU110" s="398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98" t="s">
        <v>350</v>
      </c>
      <c r="BH110" s="398"/>
      <c r="BI110" s="398"/>
      <c r="BJ110" s="398"/>
      <c r="BK110" s="398"/>
      <c r="BL110" s="398"/>
      <c r="BM110" s="398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16" t="s">
        <v>83</v>
      </c>
      <c r="FC110" s="116"/>
      <c r="FD110" s="107" t="s">
        <v>85</v>
      </c>
      <c r="FE110" s="107" t="s">
        <v>81</v>
      </c>
      <c r="FF110" s="1" t="s">
        <v>640</v>
      </c>
      <c r="FG110" s="117" t="s">
        <v>636</v>
      </c>
      <c r="FH110" s="117"/>
      <c r="FI110" s="107"/>
      <c r="FJ110" s="107" t="s">
        <v>637</v>
      </c>
      <c r="FK110" s="107" t="s">
        <v>638</v>
      </c>
      <c r="FL110" s="107" t="s">
        <v>90</v>
      </c>
      <c r="FM110" s="115" t="s">
        <v>87</v>
      </c>
    </row>
    <row r="111" spans="16:169" ht="19.95" customHeight="1">
      <c r="P111" s="402" t="s">
        <v>285</v>
      </c>
      <c r="Q111" s="402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3"/>
      <c r="AL111" s="203"/>
      <c r="AM111" s="203"/>
      <c r="AN111" s="203"/>
      <c r="AO111" s="2" t="s">
        <v>195</v>
      </c>
      <c r="AP111" s="204" t="s">
        <v>194</v>
      </c>
      <c r="AQ111" s="204" t="s">
        <v>166</v>
      </c>
      <c r="AR111" s="204" t="s">
        <v>35</v>
      </c>
      <c r="AS111" s="204" t="s">
        <v>166</v>
      </c>
      <c r="AT111" s="205" t="s">
        <v>250</v>
      </c>
      <c r="AU111" s="204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4" t="s">
        <v>194</v>
      </c>
      <c r="BI111" s="204" t="s">
        <v>166</v>
      </c>
      <c r="BJ111" s="204" t="s">
        <v>166</v>
      </c>
      <c r="BK111" s="204" t="s">
        <v>166</v>
      </c>
      <c r="BL111" s="205" t="s">
        <v>250</v>
      </c>
      <c r="BM111" s="204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.05" customHeight="1">
      <c r="P112" s="403"/>
      <c r="Q112" s="403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3"/>
      <c r="AL112" s="203"/>
      <c r="AM112" s="203"/>
      <c r="AN112" s="203"/>
      <c r="AO112" s="2" t="s">
        <v>91</v>
      </c>
      <c r="AP112" s="2" t="s">
        <v>91</v>
      </c>
      <c r="AQ112" s="204" t="s">
        <v>168</v>
      </c>
      <c r="AR112" s="204" t="s">
        <v>167</v>
      </c>
      <c r="AS112" s="204" t="s">
        <v>47</v>
      </c>
      <c r="AT112" s="205" t="s">
        <v>91</v>
      </c>
      <c r="AU112" s="204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4" t="s">
        <v>161</v>
      </c>
      <c r="BJ112" s="204" t="s">
        <v>256</v>
      </c>
      <c r="BK112" s="204" t="s">
        <v>47</v>
      </c>
      <c r="BL112" s="205" t="s">
        <v>91</v>
      </c>
      <c r="BM112" s="204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3"/>
      <c r="CP112" s="203"/>
      <c r="CQ112" s="203"/>
      <c r="CR112" s="203"/>
      <c r="CS112" s="203"/>
      <c r="CT112" s="203"/>
      <c r="CU112" s="27"/>
      <c r="CV112" s="207" t="s">
        <v>1</v>
      </c>
      <c r="CW112" s="208" t="s">
        <v>0</v>
      </c>
      <c r="CX112" s="130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179" t="s">
        <v>1</v>
      </c>
      <c r="EM112" s="178" t="s">
        <v>0</v>
      </c>
    </row>
    <row r="113" spans="5:176" ht="18" customHeight="1">
      <c r="P113" s="374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3"/>
      <c r="AL113" s="203"/>
      <c r="AM113" s="203"/>
      <c r="AN113" s="203"/>
      <c r="AO113" s="204" t="s">
        <v>196</v>
      </c>
      <c r="AP113" s="204" t="s">
        <v>232</v>
      </c>
      <c r="AQ113" s="204">
        <v>700</v>
      </c>
      <c r="AR113" s="204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4" t="s">
        <v>130</v>
      </c>
      <c r="BI113" s="204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3"/>
      <c r="CS113" s="203"/>
      <c r="CT113" s="203"/>
      <c r="CU113" s="27"/>
      <c r="CV113" s="198" t="s">
        <v>252</v>
      </c>
      <c r="CW113" s="199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181" t="s">
        <v>83</v>
      </c>
      <c r="EM113" s="180" t="s">
        <v>87</v>
      </c>
    </row>
    <row r="114" spans="5:176" ht="16.95" customHeight="1">
      <c r="P114" s="375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4" t="s">
        <v>180</v>
      </c>
      <c r="BI114" s="204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3" t="s">
        <v>427</v>
      </c>
      <c r="CS114" s="203"/>
      <c r="CT114" s="203"/>
      <c r="CU114" s="27"/>
      <c r="CV114" s="211">
        <f>CL119</f>
        <v>4.9847525450981189</v>
      </c>
      <c r="CW114" s="212">
        <f>CW119</f>
        <v>7739.2511800711582</v>
      </c>
      <c r="CX114" s="203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77">
        <f>EC119</f>
        <v>44.927545117863247</v>
      </c>
      <c r="EM114" s="175">
        <f>EM119</f>
        <v>2329445.3092260091</v>
      </c>
      <c r="EP114" s="398" t="s">
        <v>352</v>
      </c>
      <c r="EQ114" s="398"/>
      <c r="ER114" s="398"/>
      <c r="ES114" s="398"/>
      <c r="ET114" s="398"/>
      <c r="EU114" s="398"/>
    </row>
    <row r="115" spans="5:176" ht="16.05" customHeight="1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4" t="s">
        <v>190</v>
      </c>
      <c r="BI115" s="204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3"/>
      <c r="CS115" s="203"/>
      <c r="CT115" s="27"/>
      <c r="CU115" s="27"/>
      <c r="CV115" s="203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4" t="s">
        <v>166</v>
      </c>
      <c r="ER115" s="204" t="s">
        <v>166</v>
      </c>
      <c r="ES115" s="204" t="s">
        <v>166</v>
      </c>
      <c r="ET115" s="205" t="s">
        <v>250</v>
      </c>
      <c r="EU115" s="204" t="s">
        <v>244</v>
      </c>
    </row>
    <row r="116" spans="5:176" ht="19.2" customHeight="1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4" t="s">
        <v>18</v>
      </c>
      <c r="BI116" s="204">
        <f>SUM(BI113:BI115)</f>
        <v>3152</v>
      </c>
      <c r="BJ116" s="204">
        <f>SUM(BJ113:BJ115)</f>
        <v>3325.5491200000001</v>
      </c>
      <c r="BK116" s="204">
        <f>SUM(BK113:BK115)</f>
        <v>34.678095164114971</v>
      </c>
      <c r="BL116" s="204"/>
      <c r="BM116" s="204">
        <f>SUM(BM113:BM115)</f>
        <v>34.678095164114971</v>
      </c>
      <c r="BN116" s="27"/>
      <c r="BO116" s="27"/>
      <c r="BP116" s="27"/>
      <c r="BR116" s="307" t="s">
        <v>782</v>
      </c>
      <c r="BS116" s="307" t="s">
        <v>265</v>
      </c>
      <c r="BT116" s="308" t="s">
        <v>250</v>
      </c>
      <c r="BU116" s="308" t="s">
        <v>783</v>
      </c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377" t="s">
        <v>376</v>
      </c>
      <c r="DU116" s="377"/>
      <c r="DV116" s="377"/>
      <c r="DW116" s="377"/>
      <c r="DX116" s="377"/>
      <c r="DY116" s="377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4" t="s">
        <v>161</v>
      </c>
      <c r="ER116" s="204" t="s">
        <v>256</v>
      </c>
      <c r="ES116" s="204" t="s">
        <v>47</v>
      </c>
      <c r="ET116" s="205" t="s">
        <v>91</v>
      </c>
      <c r="EU116" s="204" t="s">
        <v>47</v>
      </c>
    </row>
    <row r="117" spans="5:176" ht="19.05" customHeight="1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R117" s="307" t="s">
        <v>47</v>
      </c>
      <c r="BS117" s="307" t="s">
        <v>62</v>
      </c>
      <c r="BT117" s="307" t="s">
        <v>91</v>
      </c>
      <c r="BU117" s="307" t="s">
        <v>47</v>
      </c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9" t="s">
        <v>84</v>
      </c>
      <c r="CO117" s="139" t="s">
        <v>80</v>
      </c>
      <c r="CP117" s="1" t="s">
        <v>89</v>
      </c>
      <c r="CQ117" s="139" t="s">
        <v>89</v>
      </c>
      <c r="CR117" s="139" t="s">
        <v>24</v>
      </c>
      <c r="CS117" s="139" t="s">
        <v>91</v>
      </c>
      <c r="CT117" s="139" t="s">
        <v>89</v>
      </c>
      <c r="CU117" s="139" t="s">
        <v>89</v>
      </c>
      <c r="CV117" s="139" t="s">
        <v>88</v>
      </c>
      <c r="CW117" s="139" t="s">
        <v>86</v>
      </c>
      <c r="CX117" s="27"/>
      <c r="CY117" s="21"/>
      <c r="CZ117" s="21"/>
      <c r="DA117" s="21"/>
      <c r="DD117" s="21"/>
      <c r="DE117" s="21"/>
      <c r="DT117" s="390"/>
      <c r="DU117" s="390"/>
      <c r="DV117" s="390"/>
      <c r="DW117" s="390"/>
      <c r="DX117" s="390"/>
      <c r="DY117" s="390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4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51">
        <v>1</v>
      </c>
      <c r="EU117" s="153">
        <f t="shared" ref="EU117" si="45">ES117*ET117</f>
        <v>318930.1042317453</v>
      </c>
    </row>
    <row r="118" spans="5:176" ht="16.95" customHeight="1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R118" s="309">
        <f>BK116</f>
        <v>34.678095164114971</v>
      </c>
      <c r="BS118" s="309">
        <v>298.14999999999998</v>
      </c>
      <c r="BT118" s="309"/>
      <c r="BU118" s="309">
        <f>BR118</f>
        <v>34.678095164114971</v>
      </c>
      <c r="BV118" s="1"/>
      <c r="BW118" s="1"/>
      <c r="BX118" s="1"/>
      <c r="CI118" s="27"/>
      <c r="CJ118" s="141" t="s">
        <v>427</v>
      </c>
      <c r="CK118" s="202" t="s">
        <v>132</v>
      </c>
      <c r="CL118" s="161">
        <f>MgO_out</f>
        <v>4.9847525450981189</v>
      </c>
      <c r="CM118" s="161">
        <v>1</v>
      </c>
      <c r="CN118" s="161">
        <f>MW_MgO</f>
        <v>4.0304400000000004E-2</v>
      </c>
      <c r="CO118" s="161">
        <f>CL118/CN118</f>
        <v>123.67762688684408</v>
      </c>
      <c r="CP118" s="161">
        <f>h_MgO</f>
        <v>-601.6</v>
      </c>
      <c r="CQ118" s="161">
        <f>b_ch_MgO</f>
        <v>62.576000000000022</v>
      </c>
      <c r="CR118" s="214">
        <f>CO118/CO119</f>
        <v>1</v>
      </c>
      <c r="CS118" s="214">
        <f>LN(CR118)</f>
        <v>0</v>
      </c>
      <c r="CT118" s="214">
        <f>RT0*CS118</f>
        <v>0</v>
      </c>
      <c r="CU118" s="161">
        <f>CT118+CQ118</f>
        <v>62.576000000000022</v>
      </c>
      <c r="CV118" s="161">
        <f>CU118*CR118</f>
        <v>62.576000000000022</v>
      </c>
      <c r="CW118" s="214">
        <f>CV118*CO119</f>
        <v>7739.2511800711582</v>
      </c>
      <c r="CX118" s="203"/>
      <c r="CY118" s="21"/>
      <c r="CZ118" s="21"/>
      <c r="DA118" s="21"/>
      <c r="DB118" s="21"/>
      <c r="DE118" s="21"/>
      <c r="DF118" s="21"/>
      <c r="DT118" s="2" t="s">
        <v>195</v>
      </c>
      <c r="DU118" s="204" t="s">
        <v>166</v>
      </c>
      <c r="DV118" s="204" t="s">
        <v>166</v>
      </c>
      <c r="DW118" s="204" t="s">
        <v>166</v>
      </c>
      <c r="DX118" s="205" t="s">
        <v>250</v>
      </c>
      <c r="DY118" s="204" t="s">
        <v>244</v>
      </c>
      <c r="DZ118" s="138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61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3"/>
      <c r="BF119" s="203"/>
      <c r="BG119" s="203"/>
      <c r="BH119" s="203"/>
      <c r="BI119" s="203"/>
      <c r="BJ119" s="203"/>
      <c r="BK119" s="203"/>
      <c r="BL119" s="203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3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3"/>
      <c r="CT119" s="203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4" t="s">
        <v>161</v>
      </c>
      <c r="DV119" s="204" t="s">
        <v>256</v>
      </c>
      <c r="DW119" s="204" t="s">
        <v>47</v>
      </c>
      <c r="DX119" s="205" t="s">
        <v>91</v>
      </c>
      <c r="DY119" s="204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3" t="s">
        <v>258</v>
      </c>
      <c r="CO120" s="203" t="s">
        <v>259</v>
      </c>
      <c r="CP120" s="1" t="s">
        <v>510</v>
      </c>
      <c r="CQ120" s="27"/>
      <c r="CR120" s="27"/>
      <c r="CS120" s="203"/>
      <c r="CT120" s="203"/>
      <c r="CU120" s="203"/>
      <c r="CV120" s="203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4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" customHeight="1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6.95" customHeight="1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6.95" customHeight="1">
      <c r="U123" s="21"/>
      <c r="V123" s="21"/>
      <c r="W123" s="203"/>
      <c r="X123" s="27"/>
      <c r="Y123" s="203"/>
      <c r="Z123" s="203"/>
      <c r="AA123" s="203"/>
      <c r="AB123" s="203"/>
      <c r="AC123" s="203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0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.05" customHeight="1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07" t="s">
        <v>1</v>
      </c>
      <c r="V124" s="208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07" t="s">
        <v>1</v>
      </c>
      <c r="AP124" s="208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07" t="s">
        <v>1</v>
      </c>
      <c r="BI124" s="208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07" t="s">
        <v>1</v>
      </c>
      <c r="CB124" s="208" t="s">
        <v>0</v>
      </c>
      <c r="CC124" s="203"/>
      <c r="CD124" s="203"/>
      <c r="CE124" s="216" t="s">
        <v>62</v>
      </c>
      <c r="CF124" s="203"/>
      <c r="CG124" s="203"/>
      <c r="CH124" s="203"/>
      <c r="CI124" s="203"/>
      <c r="CJ124" s="203"/>
      <c r="CK124" s="27"/>
      <c r="CL124" s="27"/>
      <c r="CM124" s="27"/>
      <c r="CN124" s="27"/>
      <c r="CO124" s="27"/>
      <c r="CP124" s="27"/>
      <c r="CQ124" s="27"/>
      <c r="CR124" s="27"/>
      <c r="CS124" s="203"/>
      <c r="CT124" s="203"/>
      <c r="CU124" s="27"/>
      <c r="CV124" s="207" t="s">
        <v>1</v>
      </c>
      <c r="CW124" s="208" t="s">
        <v>0</v>
      </c>
      <c r="EL124" s="179" t="s">
        <v>1</v>
      </c>
      <c r="EM124" s="178" t="s">
        <v>0</v>
      </c>
      <c r="EY124" s="1"/>
      <c r="EZ124" s="1"/>
      <c r="FA124" s="1"/>
      <c r="FB124" s="1"/>
      <c r="FC124" s="1"/>
      <c r="FL124" s="179" t="s">
        <v>1</v>
      </c>
      <c r="FM124" s="178" t="s">
        <v>0</v>
      </c>
    </row>
    <row r="125" spans="5:176" ht="19.05" customHeight="1">
      <c r="J125" s="27"/>
      <c r="K125" s="209"/>
      <c r="L125" s="27"/>
      <c r="M125" s="27"/>
      <c r="N125" s="27"/>
      <c r="O125" s="27"/>
      <c r="P125" s="27"/>
      <c r="Q125" s="27"/>
      <c r="R125" s="27"/>
      <c r="S125" s="27"/>
      <c r="T125" s="27"/>
      <c r="U125" s="198" t="s">
        <v>252</v>
      </c>
      <c r="V125" s="199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9"/>
      <c r="AF125" s="27"/>
      <c r="AG125" s="27"/>
      <c r="AH125" s="27"/>
      <c r="AI125" s="27"/>
      <c r="AJ125" s="27"/>
      <c r="AK125" s="27"/>
      <c r="AL125" s="27"/>
      <c r="AM125" s="27"/>
      <c r="AN125" s="27"/>
      <c r="AO125" s="198" t="s">
        <v>252</v>
      </c>
      <c r="AP125" s="199" t="s">
        <v>253</v>
      </c>
      <c r="AQ125" s="27"/>
      <c r="AR125" s="27"/>
      <c r="AS125" s="27"/>
      <c r="AT125" s="27"/>
      <c r="AU125" s="27"/>
      <c r="AV125" s="27"/>
      <c r="AW125" s="27"/>
      <c r="AX125" s="209"/>
      <c r="AY125" s="27"/>
      <c r="AZ125" s="27"/>
      <c r="BA125" s="27"/>
      <c r="BB125" s="27"/>
      <c r="BC125" s="27"/>
      <c r="BD125" s="27"/>
      <c r="BE125" s="27"/>
      <c r="BF125" s="27"/>
      <c r="BG125" s="27"/>
      <c r="BH125" s="198" t="s">
        <v>252</v>
      </c>
      <c r="BI125" s="199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198" t="s">
        <v>252</v>
      </c>
      <c r="CB125" s="199" t="s">
        <v>253</v>
      </c>
      <c r="CC125" s="203"/>
      <c r="CD125" s="203"/>
      <c r="CE125" s="217">
        <v>1173.1500000000001</v>
      </c>
      <c r="CF125" s="203"/>
      <c r="CG125" s="203"/>
      <c r="CH125" s="203"/>
      <c r="CI125" s="203"/>
      <c r="CJ125" s="203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3"/>
      <c r="CT125" s="203"/>
      <c r="CU125" s="27"/>
      <c r="CV125" s="198" t="s">
        <v>252</v>
      </c>
      <c r="CW125" s="199" t="s">
        <v>253</v>
      </c>
      <c r="EL125" s="181" t="s">
        <v>83</v>
      </c>
      <c r="EM125" s="180" t="s">
        <v>87</v>
      </c>
      <c r="EY125" s="1"/>
      <c r="EZ125" s="1"/>
      <c r="FA125" s="1"/>
      <c r="FB125" s="1"/>
      <c r="FC125" s="1"/>
      <c r="FL125" s="181" t="s">
        <v>83</v>
      </c>
      <c r="FM125" s="180" t="s">
        <v>87</v>
      </c>
    </row>
    <row r="126" spans="5:176" ht="16.2" customHeight="1">
      <c r="E126" s="391" t="s">
        <v>413</v>
      </c>
      <c r="F126" s="391"/>
      <c r="G126" s="391"/>
      <c r="H126" s="391"/>
      <c r="J126" s="27"/>
      <c r="K126" s="210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1">
        <f>K132</f>
        <v>208.55560337725498</v>
      </c>
      <c r="V126" s="212">
        <f>V132</f>
        <v>25297.051877142174</v>
      </c>
      <c r="W126" s="370" t="s">
        <v>326</v>
      </c>
      <c r="X126" s="370"/>
      <c r="Y126" s="370"/>
      <c r="Z126" s="370"/>
      <c r="AA126" s="370"/>
      <c r="AB126" s="27"/>
      <c r="AC126" s="27"/>
      <c r="AD126" s="27"/>
      <c r="AE126" s="210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1">
        <f>AE132</f>
        <v>208.55560337725498</v>
      </c>
      <c r="AP126" s="212">
        <f>AP132</f>
        <v>25297.051877142174</v>
      </c>
      <c r="AQ126" s="370" t="s">
        <v>435</v>
      </c>
      <c r="AR126" s="370"/>
      <c r="AS126" s="370"/>
      <c r="AT126" s="370"/>
      <c r="AU126" s="370"/>
      <c r="AV126" s="27"/>
      <c r="AW126" s="27"/>
      <c r="AX126" s="210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1">
        <f>AX132</f>
        <v>208.55560337725498</v>
      </c>
      <c r="BI126" s="212">
        <f>BI132</f>
        <v>25297.051877142174</v>
      </c>
      <c r="BJ126" s="370" t="s">
        <v>348</v>
      </c>
      <c r="BK126" s="370"/>
      <c r="BL126" s="370"/>
      <c r="BM126" s="370"/>
      <c r="BN126" s="370"/>
      <c r="BO126" s="27"/>
      <c r="BP126" s="27"/>
      <c r="BQ126" s="210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1">
        <f>BQ132</f>
        <v>208.55560337725498</v>
      </c>
      <c r="CB126" s="212">
        <f>CB132</f>
        <v>25297.051877142174</v>
      </c>
      <c r="CC126" s="370" t="s">
        <v>349</v>
      </c>
      <c r="CD126" s="370"/>
      <c r="CE126" s="370"/>
      <c r="CF126" s="370"/>
      <c r="CG126" s="370"/>
      <c r="CH126" s="27"/>
      <c r="CI126" s="27"/>
      <c r="CJ126" s="203"/>
      <c r="CK126" s="27"/>
      <c r="CL126" s="27"/>
      <c r="CM126" s="27"/>
      <c r="CN126" s="27"/>
      <c r="CO126" s="27"/>
      <c r="CP126" s="27"/>
      <c r="CQ126" s="27"/>
      <c r="CR126" s="27"/>
      <c r="CS126" s="203"/>
      <c r="CT126" s="203"/>
      <c r="CU126" s="27"/>
      <c r="CV126" s="211">
        <f>CL131</f>
        <v>111.00813284002646</v>
      </c>
      <c r="CW126" s="212">
        <f>CW131</f>
        <v>242016.07607977447</v>
      </c>
      <c r="DS126" s="386" t="s">
        <v>76</v>
      </c>
      <c r="DT126" s="386"/>
      <c r="DU126" s="386"/>
      <c r="DV126" s="386"/>
      <c r="DW126" s="386"/>
      <c r="DX126" s="386"/>
      <c r="DY126" s="386"/>
      <c r="EG126" s="14" t="s">
        <v>445</v>
      </c>
      <c r="EL126" s="109">
        <f>EB134</f>
        <v>1314.2879334772852</v>
      </c>
      <c r="EM126" s="110">
        <f>EM134</f>
        <v>6682782.3361421349</v>
      </c>
      <c r="EN126" s="376" t="s">
        <v>337</v>
      </c>
      <c r="EO126" s="376"/>
      <c r="EP126" s="376"/>
      <c r="EQ126" s="376"/>
      <c r="ER126" s="376"/>
      <c r="ES126" s="376"/>
      <c r="ET126" s="376"/>
      <c r="EY126" s="1"/>
      <c r="EZ126" s="1"/>
      <c r="FA126" s="1"/>
      <c r="FB126" s="1"/>
      <c r="FC126" s="1"/>
      <c r="FD126" s="1"/>
      <c r="FE126" s="14" t="s">
        <v>446</v>
      </c>
      <c r="FL126" s="177">
        <f>FB131</f>
        <v>616.23583583508366</v>
      </c>
      <c r="FM126" s="175">
        <f>FM131</f>
        <v>4157895.2984628798</v>
      </c>
      <c r="FN126" s="376" t="s">
        <v>331</v>
      </c>
      <c r="FO126" s="376"/>
      <c r="FP126" s="376"/>
      <c r="FQ126" s="376"/>
      <c r="FR126" s="376"/>
      <c r="FS126" s="376"/>
      <c r="FT126" s="376"/>
    </row>
    <row r="127" spans="5:176" ht="16.2" customHeight="1">
      <c r="E127" s="391"/>
      <c r="F127" s="391"/>
      <c r="G127" s="391"/>
      <c r="H127" s="391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99"/>
      <c r="X127" s="399"/>
      <c r="Y127" s="399"/>
      <c r="Z127" s="399"/>
      <c r="AA127" s="399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70"/>
      <c r="AR127" s="370"/>
      <c r="AS127" s="370"/>
      <c r="AT127" s="370"/>
      <c r="AU127" s="370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70"/>
      <c r="BK127" s="370"/>
      <c r="BL127" s="370"/>
      <c r="BM127" s="370"/>
      <c r="BN127" s="370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70"/>
      <c r="CD127" s="370"/>
      <c r="CE127" s="370"/>
      <c r="CF127" s="370"/>
      <c r="CG127" s="370"/>
      <c r="CH127" s="203"/>
      <c r="CI127" s="203"/>
      <c r="CJ127" s="203"/>
      <c r="CK127" s="27"/>
      <c r="CL127" s="27"/>
      <c r="CM127" s="27"/>
      <c r="CN127" s="27"/>
      <c r="CO127" s="27"/>
      <c r="CP127" s="27"/>
      <c r="CQ127" s="27"/>
      <c r="CR127" s="27"/>
      <c r="CS127" s="203"/>
      <c r="CT127" s="203"/>
      <c r="CU127" s="27"/>
      <c r="CV127" s="27"/>
      <c r="CW127" s="203"/>
      <c r="DS127" s="386"/>
      <c r="DT127" s="386"/>
      <c r="DU127" s="386"/>
      <c r="DV127" s="386"/>
      <c r="DW127" s="386"/>
      <c r="DX127" s="386"/>
      <c r="DY127" s="386"/>
      <c r="EN127" s="376"/>
      <c r="EO127" s="376"/>
      <c r="EP127" s="376"/>
      <c r="EQ127" s="376"/>
      <c r="ER127" s="376"/>
      <c r="ES127" s="376"/>
      <c r="ET127" s="376"/>
      <c r="EY127" s="1"/>
      <c r="EZ127" s="1"/>
      <c r="FA127" s="1"/>
      <c r="FB127" s="1"/>
      <c r="FC127" s="1"/>
      <c r="FD127" s="1"/>
      <c r="FE127" s="1"/>
      <c r="FF127" s="1"/>
      <c r="FG127" s="1"/>
      <c r="FN127" s="376"/>
      <c r="FO127" s="376"/>
      <c r="FP127" s="376"/>
      <c r="FQ127" s="376"/>
      <c r="FR127" s="376"/>
      <c r="FS127" s="376"/>
      <c r="FT127" s="376"/>
    </row>
    <row r="128" spans="5:176" ht="19.8" customHeight="1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3" t="s">
        <v>339</v>
      </c>
      <c r="X128" s="191" t="s">
        <v>379</v>
      </c>
      <c r="Y128" s="95" t="s">
        <v>273</v>
      </c>
      <c r="Z128" s="374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3" t="s">
        <v>339</v>
      </c>
      <c r="AR128" s="191" t="s">
        <v>379</v>
      </c>
      <c r="AS128" s="95" t="s">
        <v>273</v>
      </c>
      <c r="AT128" s="374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3" t="s">
        <v>339</v>
      </c>
      <c r="BK128" s="191" t="s">
        <v>379</v>
      </c>
      <c r="BL128" s="95" t="s">
        <v>273</v>
      </c>
      <c r="BM128" s="374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3" t="s">
        <v>339</v>
      </c>
      <c r="CD128" s="191" t="s">
        <v>379</v>
      </c>
      <c r="CE128" s="95" t="s">
        <v>273</v>
      </c>
      <c r="CF128" s="374" t="s">
        <v>269</v>
      </c>
      <c r="CG128" s="98" t="s">
        <v>245</v>
      </c>
      <c r="CH128" s="203"/>
      <c r="CI128" s="203"/>
      <c r="CJ128" s="203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86"/>
      <c r="DT128" s="386"/>
      <c r="DU128" s="386"/>
      <c r="DV128" s="386"/>
      <c r="DW128" s="386"/>
      <c r="DX128" s="386"/>
      <c r="DY128" s="386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76"/>
      <c r="EO128" s="376"/>
      <c r="EP128" s="376"/>
      <c r="EQ128" s="376"/>
      <c r="ER128" s="376"/>
      <c r="ES128" s="376"/>
      <c r="ET128" s="376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76"/>
      <c r="FO128" s="376"/>
      <c r="FP128" s="376"/>
      <c r="FQ128" s="376"/>
      <c r="FR128" s="376"/>
      <c r="FS128" s="376"/>
      <c r="FT128" s="376"/>
    </row>
    <row r="129" spans="2:171" ht="19.2" customHeight="1">
      <c r="J129" s="21" t="s">
        <v>40</v>
      </c>
      <c r="K129" s="1" t="s">
        <v>82</v>
      </c>
      <c r="L129" s="21" t="s">
        <v>213</v>
      </c>
      <c r="M129" s="139" t="s">
        <v>84</v>
      </c>
      <c r="N129" s="139" t="s">
        <v>80</v>
      </c>
      <c r="O129" s="1" t="s">
        <v>89</v>
      </c>
      <c r="P129" s="139" t="s">
        <v>89</v>
      </c>
      <c r="Q129" s="139" t="s">
        <v>24</v>
      </c>
      <c r="R129" s="139" t="s">
        <v>91</v>
      </c>
      <c r="S129" s="139" t="s">
        <v>89</v>
      </c>
      <c r="T129" s="139" t="s">
        <v>89</v>
      </c>
      <c r="U129" s="139" t="s">
        <v>88</v>
      </c>
      <c r="V129" s="139" t="s">
        <v>86</v>
      </c>
      <c r="W129" s="137" t="s">
        <v>47</v>
      </c>
      <c r="X129" s="201" t="s">
        <v>47</v>
      </c>
      <c r="Y129" s="201" t="s">
        <v>252</v>
      </c>
      <c r="Z129" s="375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9" t="s">
        <v>84</v>
      </c>
      <c r="AH129" s="139" t="s">
        <v>80</v>
      </c>
      <c r="AI129" s="1" t="s">
        <v>89</v>
      </c>
      <c r="AJ129" s="139" t="s">
        <v>89</v>
      </c>
      <c r="AK129" s="139" t="s">
        <v>24</v>
      </c>
      <c r="AL129" s="139" t="s">
        <v>91</v>
      </c>
      <c r="AM129" s="139" t="s">
        <v>89</v>
      </c>
      <c r="AN129" s="139" t="s">
        <v>89</v>
      </c>
      <c r="AO129" s="139" t="s">
        <v>88</v>
      </c>
      <c r="AP129" s="139" t="s">
        <v>86</v>
      </c>
      <c r="AQ129" s="137" t="s">
        <v>47</v>
      </c>
      <c r="AR129" s="201" t="s">
        <v>47</v>
      </c>
      <c r="AS129" s="201" t="s">
        <v>252</v>
      </c>
      <c r="AT129" s="375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9" t="s">
        <v>84</v>
      </c>
      <c r="BA129" s="139" t="s">
        <v>80</v>
      </c>
      <c r="BB129" s="1" t="s">
        <v>89</v>
      </c>
      <c r="BC129" s="139" t="s">
        <v>89</v>
      </c>
      <c r="BD129" s="139" t="s">
        <v>24</v>
      </c>
      <c r="BE129" s="139" t="s">
        <v>91</v>
      </c>
      <c r="BF129" s="139" t="s">
        <v>89</v>
      </c>
      <c r="BG129" s="139" t="s">
        <v>89</v>
      </c>
      <c r="BH129" s="139" t="s">
        <v>88</v>
      </c>
      <c r="BI129" s="139" t="s">
        <v>86</v>
      </c>
      <c r="BJ129" s="137" t="s">
        <v>47</v>
      </c>
      <c r="BK129" s="201" t="s">
        <v>47</v>
      </c>
      <c r="BL129" s="201" t="s">
        <v>252</v>
      </c>
      <c r="BM129" s="375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9" t="s">
        <v>84</v>
      </c>
      <c r="BT129" s="139" t="s">
        <v>80</v>
      </c>
      <c r="BU129" s="1" t="s">
        <v>89</v>
      </c>
      <c r="BV129" s="139" t="s">
        <v>89</v>
      </c>
      <c r="BW129" s="139" t="s">
        <v>24</v>
      </c>
      <c r="BX129" s="139" t="s">
        <v>91</v>
      </c>
      <c r="BY129" s="139" t="s">
        <v>89</v>
      </c>
      <c r="BZ129" s="139" t="s">
        <v>89</v>
      </c>
      <c r="CA129" s="139" t="s">
        <v>88</v>
      </c>
      <c r="CB129" s="139" t="s">
        <v>86</v>
      </c>
      <c r="CC129" s="137" t="s">
        <v>47</v>
      </c>
      <c r="CD129" s="201" t="s">
        <v>47</v>
      </c>
      <c r="CE129" s="201" t="s">
        <v>252</v>
      </c>
      <c r="CF129" s="375"/>
      <c r="CG129" s="96" t="s">
        <v>77</v>
      </c>
      <c r="CH129" s="203"/>
      <c r="CI129" s="203"/>
      <c r="CK129" s="21" t="s">
        <v>40</v>
      </c>
      <c r="CL129" s="1" t="s">
        <v>82</v>
      </c>
      <c r="CM129" s="21" t="s">
        <v>213</v>
      </c>
      <c r="CN129" s="139" t="s">
        <v>84</v>
      </c>
      <c r="CO129" s="139" t="s">
        <v>80</v>
      </c>
      <c r="CP129" s="1" t="s">
        <v>89</v>
      </c>
      <c r="CQ129" s="139" t="s">
        <v>89</v>
      </c>
      <c r="CR129" s="139" t="s">
        <v>24</v>
      </c>
      <c r="CS129" s="139" t="s">
        <v>91</v>
      </c>
      <c r="CT129" s="139" t="s">
        <v>89</v>
      </c>
      <c r="CU129" s="139" t="s">
        <v>89</v>
      </c>
      <c r="CV129" s="139" t="s">
        <v>88</v>
      </c>
      <c r="CW129" s="139" t="s">
        <v>86</v>
      </c>
      <c r="DT129" s="133" t="s">
        <v>339</v>
      </c>
      <c r="DU129" s="133" t="s">
        <v>379</v>
      </c>
      <c r="DV129" s="17" t="s">
        <v>264</v>
      </c>
      <c r="DW129" s="387" t="s">
        <v>269</v>
      </c>
      <c r="DX129" s="193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3" t="s">
        <v>339</v>
      </c>
      <c r="EP129" s="133" t="s">
        <v>379</v>
      </c>
      <c r="EQ129" s="127" t="s">
        <v>264</v>
      </c>
      <c r="ER129" s="378" t="s">
        <v>269</v>
      </c>
      <c r="ES129" s="193" t="s">
        <v>245</v>
      </c>
      <c r="FA129" s="139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.05" customHeight="1">
      <c r="I130" s="380" t="s">
        <v>335</v>
      </c>
      <c r="J130" s="144" t="s">
        <v>254</v>
      </c>
      <c r="K130" s="144">
        <f>Limestone_for_BF</f>
        <v>198.12782320839224</v>
      </c>
      <c r="L130" s="144">
        <v>0.95</v>
      </c>
      <c r="M130" s="144">
        <f>MW_CaCO3</f>
        <v>0.1000872</v>
      </c>
      <c r="N130" s="144">
        <f>K130/M130</f>
        <v>1979.5520626852608</v>
      </c>
      <c r="O130" s="144">
        <f>h_CaCO3</f>
        <v>-1207.5999999999999</v>
      </c>
      <c r="P130" s="144">
        <f>b_ch_CaCO3</f>
        <v>11.256799999999885</v>
      </c>
      <c r="Q130" s="144">
        <f>N130/N132</f>
        <v>0.94119632891260407</v>
      </c>
      <c r="R130" s="144">
        <f>LN(Q130)</f>
        <v>-6.0603522569383693E-2</v>
      </c>
      <c r="S130" s="144">
        <f>RT0*R130</f>
        <v>-0.15014959061927308</v>
      </c>
      <c r="T130" s="144">
        <f>S130+P130</f>
        <v>11.106650409380611</v>
      </c>
      <c r="U130" s="144">
        <f>T130*Q130</f>
        <v>10.453538591824703</v>
      </c>
      <c r="V130" s="144">
        <f>U130*N132</f>
        <v>21986.192727413487</v>
      </c>
      <c r="W130" s="196">
        <f>AP142</f>
        <v>6.7177820097776806</v>
      </c>
      <c r="X130" s="213">
        <f>SUM(V126,V140,V163,V151)-$AP$126-AP142</f>
        <v>275.72728743553762</v>
      </c>
      <c r="Y130" s="129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80" t="s">
        <v>412</v>
      </c>
      <c r="AD130" s="144" t="s">
        <v>254</v>
      </c>
      <c r="AE130" s="144">
        <f>Limestone_for_BF</f>
        <v>198.12782320839224</v>
      </c>
      <c r="AF130" s="144">
        <v>0.95</v>
      </c>
      <c r="AG130" s="144">
        <f>MW_CaCO3</f>
        <v>0.1000872</v>
      </c>
      <c r="AH130" s="144">
        <f>AE130/AG130</f>
        <v>1979.5520626852608</v>
      </c>
      <c r="AI130" s="144">
        <f>h_CaCO3</f>
        <v>-1207.5999999999999</v>
      </c>
      <c r="AJ130" s="144">
        <f>b_ch_CaCO3</f>
        <v>11.256799999999885</v>
      </c>
      <c r="AK130" s="144">
        <f>AH130/AH132</f>
        <v>0.94119632891260407</v>
      </c>
      <c r="AL130" s="144">
        <f>LN(AK130)</f>
        <v>-6.0603522569383693E-2</v>
      </c>
      <c r="AM130" s="144">
        <f>RT0*AL130</f>
        <v>-0.15014959061927308</v>
      </c>
      <c r="AN130" s="144">
        <f>AM130+AJ130</f>
        <v>11.106650409380611</v>
      </c>
      <c r="AO130" s="144">
        <f>AN130*AK130</f>
        <v>10.453538591824703</v>
      </c>
      <c r="AP130" s="144">
        <f>AO130*AH132</f>
        <v>21986.192727413487</v>
      </c>
      <c r="AQ130" s="196">
        <f>0</f>
        <v>0</v>
      </c>
      <c r="AR130" s="213">
        <f>AP126+AU113-BI126</f>
        <v>2824.885647744919</v>
      </c>
      <c r="AS130" s="129">
        <f>BH126-AO126</f>
        <v>0</v>
      </c>
      <c r="AT130" s="99" t="s">
        <v>489</v>
      </c>
      <c r="AU130" s="96">
        <f>BI126/(AU113+AP126)</f>
        <v>0.89954868347015648</v>
      </c>
      <c r="AV130" s="380" t="s">
        <v>436</v>
      </c>
      <c r="AW130" s="144" t="s">
        <v>254</v>
      </c>
      <c r="AX130" s="144">
        <f>Limestone_for_BF</f>
        <v>198.12782320839224</v>
      </c>
      <c r="AY130" s="144">
        <v>0.95</v>
      </c>
      <c r="AZ130" s="144">
        <f>MW_CaCO3</f>
        <v>0.1000872</v>
      </c>
      <c r="BA130" s="144">
        <f>AX130/AZ130</f>
        <v>1979.5520626852608</v>
      </c>
      <c r="BB130" s="144">
        <f>h_CaCO3</f>
        <v>-1207.5999999999999</v>
      </c>
      <c r="BC130" s="144">
        <f>b_ch_CaCO3</f>
        <v>11.256799999999885</v>
      </c>
      <c r="BD130" s="144">
        <f>BA130/BA132</f>
        <v>0.94119632891260407</v>
      </c>
      <c r="BE130" s="144">
        <f>LN(BD130)</f>
        <v>-6.0603522569383693E-2</v>
      </c>
      <c r="BF130" s="144">
        <f>RT0*BE130</f>
        <v>-0.15014959061927308</v>
      </c>
      <c r="BG130" s="144">
        <f>BF130+BC130</f>
        <v>11.106650409380611</v>
      </c>
      <c r="BH130" s="144">
        <f>BG130*BD130</f>
        <v>10.453538591824703</v>
      </c>
      <c r="BI130" s="144">
        <f>BH130*BA132</f>
        <v>21986.192727413487</v>
      </c>
      <c r="BJ130" s="196">
        <v>0</v>
      </c>
      <c r="BK130" s="213">
        <f>BI126+BM116-CB126</f>
        <v>34.678095164115803</v>
      </c>
      <c r="BL130" s="129">
        <f>CA126-BH126</f>
        <v>0</v>
      </c>
      <c r="BM130" s="99" t="s">
        <v>489</v>
      </c>
      <c r="BN130" s="96">
        <f>CB126/(BM113+BI126)</f>
        <v>0.99884664645418608</v>
      </c>
      <c r="BO130" s="380" t="s">
        <v>424</v>
      </c>
      <c r="BP130" s="144" t="s">
        <v>254</v>
      </c>
      <c r="BQ130" s="144">
        <f>Limestone_for_BF</f>
        <v>198.12782320839224</v>
      </c>
      <c r="BR130" s="144">
        <v>0.95</v>
      </c>
      <c r="BS130" s="144">
        <f>MW_CaCO3</f>
        <v>0.1000872</v>
      </c>
      <c r="BT130" s="144">
        <f>BQ130/BS130</f>
        <v>1979.5520626852608</v>
      </c>
      <c r="BU130" s="144">
        <f>h_CaCO3</f>
        <v>-1207.5999999999999</v>
      </c>
      <c r="BV130" s="144">
        <f>b_ch_CaCO3</f>
        <v>11.256799999999885</v>
      </c>
      <c r="BW130" s="144">
        <f>BT130/BT132</f>
        <v>0.94119632891260407</v>
      </c>
      <c r="BX130" s="144">
        <f>LN(BW130)</f>
        <v>-6.0603522569383693E-2</v>
      </c>
      <c r="BY130" s="144">
        <f>RT0*BX130</f>
        <v>-0.15014959061927308</v>
      </c>
      <c r="BZ130" s="144">
        <f>BY130+BV130</f>
        <v>11.106650409380611</v>
      </c>
      <c r="CA130" s="144">
        <f>BZ130*BW130</f>
        <v>10.453538591824703</v>
      </c>
      <c r="CB130" s="144">
        <f>CA130*BT132</f>
        <v>21986.192727413487</v>
      </c>
      <c r="CC130" s="196">
        <f>CW114+CW138</f>
        <v>94961.386511485034</v>
      </c>
      <c r="CD130" s="213">
        <f>CB126+CB140+CB152-CW114-CW126-CW138</f>
        <v>1642067.5780806448</v>
      </c>
      <c r="CE130" s="129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3"/>
      <c r="CI130" s="203"/>
      <c r="CJ130" s="138" t="s">
        <v>425</v>
      </c>
      <c r="CK130" s="202" t="s">
        <v>113</v>
      </c>
      <c r="CL130" s="161">
        <f>Quicklime_for_BF</f>
        <v>111.00813284002646</v>
      </c>
      <c r="CM130" s="161">
        <v>1</v>
      </c>
      <c r="CN130" s="161">
        <f>MW_CaO</f>
        <v>5.6077400000000006E-2</v>
      </c>
      <c r="CO130" s="161">
        <f>CL130/CN130</f>
        <v>1979.5520626852608</v>
      </c>
      <c r="CP130" s="161">
        <f>h_CaO</f>
        <v>-634.9</v>
      </c>
      <c r="CQ130" s="161">
        <f>b_ch_CaO</f>
        <v>122.25799999999992</v>
      </c>
      <c r="CR130" s="214">
        <f>CO130/CO131</f>
        <v>1</v>
      </c>
      <c r="CS130" s="214">
        <f>LN(CR130)</f>
        <v>0</v>
      </c>
      <c r="CT130" s="214">
        <f>RT0*CS130</f>
        <v>0</v>
      </c>
      <c r="CU130" s="161">
        <f>CT130+CQ130</f>
        <v>122.25799999999992</v>
      </c>
      <c r="CV130" s="161">
        <f>CU130*CR130</f>
        <v>122.25799999999992</v>
      </c>
      <c r="CW130" s="214">
        <f>CV130*CO131</f>
        <v>242016.07607977447</v>
      </c>
      <c r="DT130" s="137" t="s">
        <v>47</v>
      </c>
      <c r="DU130" s="194" t="s">
        <v>47</v>
      </c>
      <c r="DV130" s="1" t="s">
        <v>83</v>
      </c>
      <c r="DW130" s="388"/>
      <c r="DX130" s="96" t="s">
        <v>77</v>
      </c>
      <c r="DY130" s="21"/>
      <c r="DZ130" s="380" t="s">
        <v>445</v>
      </c>
      <c r="EA130" s="40" t="s">
        <v>14</v>
      </c>
      <c r="EB130" s="111">
        <f>Fe2O3_BF_in</f>
        <v>881.06000000000006</v>
      </c>
      <c r="EC130" s="111">
        <f>EB130/$EB$134</f>
        <v>0.67037060719939068</v>
      </c>
      <c r="ED130" s="112">
        <f>MW_Fe2O3</f>
        <v>0.1596882</v>
      </c>
      <c r="EE130" s="112">
        <f>EB130/ED130</f>
        <v>5517.3769884061567</v>
      </c>
      <c r="EF130" s="112">
        <f>h_Fe2O3</f>
        <v>-824.2</v>
      </c>
      <c r="EG130" s="112">
        <f>b_ch_Fe2O3</f>
        <v>17.358400000000074</v>
      </c>
      <c r="EH130" s="112">
        <f>EE130/$EE$134</f>
        <v>0.20286330971780439</v>
      </c>
      <c r="EI130" s="113">
        <f>LN(EH130)</f>
        <v>-1.5952228778868696</v>
      </c>
      <c r="EJ130" s="113">
        <f>RT0*EI130</f>
        <v>-3.9522795360119272</v>
      </c>
      <c r="EK130" s="113">
        <f>EG130+EJ130</f>
        <v>13.406120463988147</v>
      </c>
      <c r="EL130" s="113">
        <f>EK130*EH130</f>
        <v>2.7196099678002228</v>
      </c>
      <c r="EM130" s="113">
        <f>$EE$134*EL130</f>
        <v>73966.620551809072</v>
      </c>
      <c r="EO130" s="137" t="s">
        <v>47</v>
      </c>
      <c r="EP130" s="194" t="s">
        <v>47</v>
      </c>
      <c r="EQ130" s="194" t="s">
        <v>83</v>
      </c>
      <c r="ER130" s="379"/>
      <c r="ES130" s="96" t="s">
        <v>77</v>
      </c>
      <c r="EZ130" s="138" t="s">
        <v>446</v>
      </c>
      <c r="FA130" s="1" t="s">
        <v>15</v>
      </c>
      <c r="FB130" s="172">
        <f>Fe_BF_out</f>
        <v>616.23583583508366</v>
      </c>
      <c r="FC130" s="172">
        <f>FB130/FB131</f>
        <v>1</v>
      </c>
      <c r="FD130" s="161">
        <f>MW_Fe</f>
        <v>5.5844999999999999E-2</v>
      </c>
      <c r="FE130" s="161">
        <f>FB130/FD130</f>
        <v>11034.753976812313</v>
      </c>
      <c r="FF130" s="161">
        <f>h_Fe</f>
        <v>0</v>
      </c>
      <c r="FG130" s="155">
        <f>b_ch_Fe</f>
        <v>376.8</v>
      </c>
      <c r="FH130" s="161">
        <f>FE130/FE131</f>
        <v>1</v>
      </c>
      <c r="FI130" s="172">
        <f>LN(FH130)</f>
        <v>0</v>
      </c>
      <c r="FJ130" s="172">
        <f>RT0*FI130</f>
        <v>0</v>
      </c>
      <c r="FK130" s="172">
        <f>FG130+FJ130</f>
        <v>376.8</v>
      </c>
      <c r="FL130" s="172">
        <f>FK130*FH130</f>
        <v>376.8</v>
      </c>
      <c r="FM130" s="172">
        <f>FE131*FL130</f>
        <v>4157895.2984628798</v>
      </c>
    </row>
    <row r="131" spans="2:171" ht="19.05" customHeight="1">
      <c r="I131" s="380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80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80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80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3"/>
      <c r="CD131" s="27"/>
      <c r="CF131" s="100" t="s">
        <v>318</v>
      </c>
      <c r="CG131" s="97">
        <f>CW130/(CB126+CB152+CB140)</f>
        <v>0.1222893219234706</v>
      </c>
      <c r="CH131" s="203"/>
      <c r="CI131" s="203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3"/>
      <c r="CT131" s="203"/>
      <c r="CU131" s="27"/>
      <c r="CV131" s="27">
        <f>SUM(CV130)</f>
        <v>122.25799999999992</v>
      </c>
      <c r="CW131" s="27">
        <f>SUM(CW130)</f>
        <v>242016.07607977447</v>
      </c>
      <c r="DT131" s="196">
        <f>0</f>
        <v>0</v>
      </c>
      <c r="DU131" s="190">
        <f>(CW126+CA42+CW206)-(EM126)</f>
        <v>55594.067320963368</v>
      </c>
      <c r="DV131" s="17">
        <f>EL126-CV126-CV206-BZ42</f>
        <v>0</v>
      </c>
      <c r="DW131" s="99" t="s">
        <v>489</v>
      </c>
      <c r="DX131" s="195">
        <f>EM126/(CW126+CW206+CA42)</f>
        <v>0.99174963463121601</v>
      </c>
      <c r="DY131" s="21"/>
      <c r="DZ131" s="380"/>
      <c r="EA131" s="1" t="s">
        <v>16</v>
      </c>
      <c r="EB131" s="114">
        <f>SiO2_BF_in</f>
        <v>118.94000000000001</v>
      </c>
      <c r="EC131" s="114">
        <f t="shared" ref="EC131:EC133" si="46">EB131/$EB$134</f>
        <v>9.0497673280248256E-2</v>
      </c>
      <c r="ED131" s="107">
        <f>MW_SIO2</f>
        <v>6.00843E-2</v>
      </c>
      <c r="EE131" s="107">
        <f>EB131/ED131</f>
        <v>1979.5520626852608</v>
      </c>
      <c r="EF131" s="107">
        <f>h_SiO2</f>
        <v>-910.7</v>
      </c>
      <c r="EG131" s="107">
        <f>b_ch_SiO2</f>
        <v>1.5260000000000673</v>
      </c>
      <c r="EH131" s="107">
        <f>EE131/$EE$134</f>
        <v>7.2784311102701241E-2</v>
      </c>
      <c r="EI131" s="115">
        <f t="shared" ref="EI131:EI133" si="47">LN(EH131)</f>
        <v>-2.6202548538354575</v>
      </c>
      <c r="EJ131" s="115">
        <f>RT0*EI131</f>
        <v>-6.4918700587268221</v>
      </c>
      <c r="EK131" s="115">
        <f t="shared" ref="EK131:EK134" si="48">EG131+EJ131</f>
        <v>-4.9658700587267548</v>
      </c>
      <c r="EL131" s="115">
        <f t="shared" ref="EL131:EL133" si="49">EK131*EH131</f>
        <v>-0.36143743124995742</v>
      </c>
      <c r="EM131" s="115">
        <f>$EE$134*EL131</f>
        <v>-9830.1983177795246</v>
      </c>
      <c r="EO131" s="196">
        <f>FM141+FM104</f>
        <v>472084.51440660493</v>
      </c>
      <c r="EP131" s="157">
        <f>SUM(EM101,EM114,EM126,EM140,EM152)-(FM126+FM141+FM104)</f>
        <v>7253543.9652409712</v>
      </c>
      <c r="EQ131" s="156">
        <f>(SUM(BF_SolidWaste,FL126,FL141))-SUM(EL101,EL114,EL126,EL140,EL152)</f>
        <v>0</v>
      </c>
      <c r="ER131" s="99" t="s">
        <v>489</v>
      </c>
      <c r="ES131" s="195">
        <f>SUM(FM104,FM126,FM141)/SUM(EU117,EM101,EM114,EM126,EM140,EM152)</f>
        <v>0.37943022424115741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.05" customHeight="1">
      <c r="J132" s="144" t="s">
        <v>18</v>
      </c>
      <c r="K132" s="144">
        <f>SUM(K130:K131)</f>
        <v>208.55560337725498</v>
      </c>
      <c r="L132" s="144">
        <f>SUM(L130:L131)</f>
        <v>1</v>
      </c>
      <c r="M132" s="144">
        <f>SUM(M130:M131)</f>
        <v>0.18440139999999999</v>
      </c>
      <c r="N132" s="144">
        <f>SUM(N130:N131)</f>
        <v>2103.2296895721047</v>
      </c>
      <c r="O132" s="18" cm="1">
        <f t="array" ref="O132">SUM(N130:N131*O130:O131) / N132</f>
        <v>-1201.0257495724293</v>
      </c>
      <c r="P132" s="144"/>
      <c r="Q132" s="144">
        <f>SUM(Q130:Q131)</f>
        <v>1</v>
      </c>
      <c r="R132" s="215"/>
      <c r="S132" s="215"/>
      <c r="T132" s="215"/>
      <c r="U132" s="144">
        <f>SUM(U130:U131)</f>
        <v>12.027717183038042</v>
      </c>
      <c r="V132" s="144">
        <f>SUM(V130:V131)</f>
        <v>25297.051877142174</v>
      </c>
      <c r="W132" s="27"/>
      <c r="X132" s="27"/>
      <c r="Y132" s="27"/>
      <c r="AB132" s="21"/>
      <c r="AC132" s="27"/>
      <c r="AD132" s="144" t="s">
        <v>18</v>
      </c>
      <c r="AE132" s="144">
        <f>SUM(AE130:AE131)</f>
        <v>208.55560337725498</v>
      </c>
      <c r="AF132" s="144">
        <f>SUM(AF130:AF131)</f>
        <v>1</v>
      </c>
      <c r="AG132" s="144">
        <f>SUM(AG130:AG131)</f>
        <v>0.18440139999999999</v>
      </c>
      <c r="AH132" s="144">
        <f>SUM(AH130:AH131)</f>
        <v>2103.2296895721047</v>
      </c>
      <c r="AI132" s="18" cm="1">
        <f t="array" ref="AI132">SUM(AH130:AH131*AI130:AI131) / AH132</f>
        <v>-1201.0257495724293</v>
      </c>
      <c r="AJ132" s="144"/>
      <c r="AK132" s="144">
        <f>SUM(AK130:AK131)</f>
        <v>1</v>
      </c>
      <c r="AL132" s="215"/>
      <c r="AM132" s="215"/>
      <c r="AN132" s="215"/>
      <c r="AO132" s="144">
        <f>SUM(AO130:AO131)</f>
        <v>12.027717183038042</v>
      </c>
      <c r="AP132" s="144">
        <f>SUM(AP130:AP131)</f>
        <v>25297.051877142174</v>
      </c>
      <c r="AQ132" s="27"/>
      <c r="AR132" s="27"/>
      <c r="AS132" s="21"/>
      <c r="AV132" s="21"/>
      <c r="AW132" s="144" t="s">
        <v>18</v>
      </c>
      <c r="AX132" s="144">
        <f>SUM(AX130:AX131)</f>
        <v>208.55560337725498</v>
      </c>
      <c r="AY132" s="144">
        <f>SUM(AY130:AY131)</f>
        <v>1</v>
      </c>
      <c r="AZ132" s="144">
        <f>SUM(AZ130:AZ131)</f>
        <v>0.18440139999999999</v>
      </c>
      <c r="BA132" s="144">
        <f>SUM(BA130:BA131)</f>
        <v>2103.2296895721047</v>
      </c>
      <c r="BB132" s="18" cm="1">
        <f t="array" ref="BB132">SUM(BA130:BA131*BB130:BB131) / BA132</f>
        <v>-1201.0257495724293</v>
      </c>
      <c r="BC132" s="144"/>
      <c r="BD132" s="144">
        <f>SUM(BD130:BD131)</f>
        <v>1</v>
      </c>
      <c r="BE132" s="215"/>
      <c r="BF132" s="215"/>
      <c r="BG132" s="215"/>
      <c r="BH132" s="144">
        <f>SUM(BH130:BH131)</f>
        <v>12.027717183038042</v>
      </c>
      <c r="BI132" s="144">
        <f>SUM(BI130:BI131)</f>
        <v>25297.051877142174</v>
      </c>
      <c r="BJ132" s="27"/>
      <c r="BK132" s="27"/>
      <c r="BL132" s="21"/>
      <c r="BO132" s="21"/>
      <c r="BP132" s="144" t="s">
        <v>18</v>
      </c>
      <c r="BQ132" s="144">
        <f>SUM(BQ130:BQ131)</f>
        <v>208.55560337725498</v>
      </c>
      <c r="BR132" s="144">
        <f>SUM(BR130:BR131)</f>
        <v>1</v>
      </c>
      <c r="BS132" s="144">
        <f>SUM(BS130:BS131)</f>
        <v>0.18440139999999999</v>
      </c>
      <c r="BT132" s="144">
        <f>SUM(BT130:BT131)</f>
        <v>2103.2296895721047</v>
      </c>
      <c r="BU132" s="18" cm="1">
        <f t="array" ref="BU132">SUM(BT130:BT131*BU130:BU131) / BT132</f>
        <v>-1201.0257495724293</v>
      </c>
      <c r="BV132" s="144"/>
      <c r="BW132" s="144">
        <f>SUM(BW130:BW131)</f>
        <v>1</v>
      </c>
      <c r="BX132" s="215"/>
      <c r="BY132" s="215"/>
      <c r="BZ132" s="215"/>
      <c r="CA132" s="144">
        <f>SUM(CA130:CA131)</f>
        <v>12.027717183038042</v>
      </c>
      <c r="CB132" s="144">
        <f>SUM(CB130:CB131)</f>
        <v>25297.051877142174</v>
      </c>
      <c r="CC132" s="203"/>
      <c r="CD132" s="203"/>
      <c r="CH132" s="203"/>
      <c r="CI132" s="203"/>
      <c r="CK132" s="27"/>
      <c r="CL132" s="27" t="s">
        <v>252</v>
      </c>
      <c r="CM132" s="27"/>
      <c r="CN132" s="203" t="s">
        <v>258</v>
      </c>
      <c r="CO132" s="203" t="s">
        <v>259</v>
      </c>
      <c r="CP132" s="1" t="s">
        <v>640</v>
      </c>
      <c r="CQ132" s="27"/>
      <c r="CR132" s="27"/>
      <c r="CS132" s="203"/>
      <c r="CT132" s="203"/>
      <c r="CU132" s="203"/>
      <c r="CV132" s="203" t="s">
        <v>260</v>
      </c>
      <c r="CW132" s="27" t="s">
        <v>253</v>
      </c>
      <c r="DU132" s="21"/>
      <c r="DV132" s="21"/>
      <c r="DW132" s="100" t="s">
        <v>318</v>
      </c>
      <c r="DX132" s="190">
        <f>BF_B_in/(CW126+CW206+CA42)</f>
        <v>0.99174963463121601</v>
      </c>
      <c r="DY132" s="21"/>
      <c r="DZ132" s="380"/>
      <c r="EA132" s="1" t="s">
        <v>113</v>
      </c>
      <c r="EB132" s="114">
        <f>CV126</f>
        <v>111.00813284002646</v>
      </c>
      <c r="EC132" s="114">
        <f t="shared" si="46"/>
        <v>8.4462567153246265E-2</v>
      </c>
      <c r="ED132" s="107">
        <f>MW_CaO</f>
        <v>5.6077400000000006E-2</v>
      </c>
      <c r="EE132" s="107">
        <f>EB132/ED132</f>
        <v>1979.5520626852608</v>
      </c>
      <c r="EF132" s="107">
        <f>h_CaO</f>
        <v>-634.9</v>
      </c>
      <c r="EG132" s="107">
        <f>b_ch_CaO</f>
        <v>122.25799999999992</v>
      </c>
      <c r="EH132" s="107">
        <f>EE132/$EE$134</f>
        <v>7.2784311102701241E-2</v>
      </c>
      <c r="EI132" s="115">
        <f t="shared" si="47"/>
        <v>-2.6202548538354575</v>
      </c>
      <c r="EJ132" s="115">
        <f>RT0*EI132</f>
        <v>-6.4918700587268221</v>
      </c>
      <c r="EK132" s="115">
        <f t="shared" si="48"/>
        <v>115.76612994127311</v>
      </c>
      <c r="EL132" s="115">
        <f t="shared" si="49"/>
        <v>8.4259580168013581</v>
      </c>
      <c r="EM132" s="115">
        <f>$EE$134*EL132</f>
        <v>229165.08131433709</v>
      </c>
      <c r="EP132" s="21"/>
      <c r="EQ132" s="21"/>
      <c r="ER132" s="100" t="s">
        <v>318</v>
      </c>
      <c r="ES132" s="190">
        <f>FM130/SUM(EU117,EM152,EM140,EM126,EM114,EM101)</f>
        <v>0.34074255379728524</v>
      </c>
      <c r="FA132" s="1"/>
      <c r="FB132" s="116" t="s">
        <v>83</v>
      </c>
      <c r="FC132" s="116"/>
      <c r="FD132" s="107" t="s">
        <v>85</v>
      </c>
      <c r="FE132" s="107" t="s">
        <v>81</v>
      </c>
      <c r="FF132" s="1" t="s">
        <v>640</v>
      </c>
      <c r="FG132" s="117" t="s">
        <v>636</v>
      </c>
      <c r="FH132" s="117"/>
      <c r="FI132" s="107"/>
      <c r="FJ132" s="107" t="s">
        <v>637</v>
      </c>
      <c r="FK132" s="107" t="s">
        <v>638</v>
      </c>
      <c r="FL132" s="107" t="s">
        <v>90</v>
      </c>
      <c r="FM132" s="115" t="s">
        <v>87</v>
      </c>
    </row>
    <row r="133" spans="2:171" ht="18" customHeight="1">
      <c r="J133" s="27"/>
      <c r="K133" s="27" t="s">
        <v>252</v>
      </c>
      <c r="L133" s="27"/>
      <c r="M133" s="203" t="s">
        <v>258</v>
      </c>
      <c r="N133" s="203" t="s">
        <v>259</v>
      </c>
      <c r="O133" s="1" t="s">
        <v>640</v>
      </c>
      <c r="P133" s="27"/>
      <c r="Q133" s="27"/>
      <c r="R133" s="203"/>
      <c r="S133" s="203"/>
      <c r="T133" s="203"/>
      <c r="U133" s="203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3" t="s">
        <v>258</v>
      </c>
      <c r="AH133" s="203" t="s">
        <v>259</v>
      </c>
      <c r="AI133" s="1" t="s">
        <v>640</v>
      </c>
      <c r="AJ133" s="27"/>
      <c r="AK133" s="27"/>
      <c r="AL133" s="203"/>
      <c r="AM133" s="203"/>
      <c r="AN133" s="203"/>
      <c r="AO133" s="203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3" t="s">
        <v>258</v>
      </c>
      <c r="BA133" s="203" t="s">
        <v>259</v>
      </c>
      <c r="BB133" s="1" t="s">
        <v>640</v>
      </c>
      <c r="BC133" s="27"/>
      <c r="BD133" s="27"/>
      <c r="BE133" s="203"/>
      <c r="BF133" s="203"/>
      <c r="BG133" s="203"/>
      <c r="BH133" s="203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3" t="s">
        <v>258</v>
      </c>
      <c r="BT133" s="203" t="s">
        <v>259</v>
      </c>
      <c r="BU133" s="1" t="s">
        <v>640</v>
      </c>
      <c r="BV133" s="27"/>
      <c r="BW133" s="27"/>
      <c r="BX133" s="203"/>
      <c r="BY133" s="203"/>
      <c r="BZ133" s="203"/>
      <c r="CA133" s="203" t="s">
        <v>260</v>
      </c>
      <c r="CB133" s="27" t="s">
        <v>253</v>
      </c>
      <c r="CC133" s="203"/>
      <c r="CD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DY133" s="21"/>
      <c r="DZ133" s="380"/>
      <c r="EA133" s="16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4">
        <f>CV206</f>
        <v>203.27980063725872</v>
      </c>
      <c r="EC133" s="114">
        <f t="shared" si="46"/>
        <v>0.15466915236711484</v>
      </c>
      <c r="ED133" s="107">
        <f>MW_Coke</f>
        <v>217.63525920401193</v>
      </c>
      <c r="EE133" s="107">
        <f>mol_C_to_BF</f>
        <v>17721.029348224434</v>
      </c>
      <c r="EF133" s="107">
        <f>(NCV_dry_anthrocite*MW_Coke)</f>
        <v>6546468.5968566788</v>
      </c>
      <c r="EG133" s="107">
        <f>(b_ch_coke*EB133)/EE133</f>
        <v>361.62056363730647</v>
      </c>
      <c r="EH133" s="107">
        <f>EE133/$EE$134</f>
        <v>0.65156806807679313</v>
      </c>
      <c r="EI133" s="115">
        <f t="shared" si="47"/>
        <v>-0.42837340886205988</v>
      </c>
      <c r="EJ133" s="115">
        <f>RT0*EI133</f>
        <v>-1.0613259633411913</v>
      </c>
      <c r="EK133" s="115">
        <f t="shared" si="48"/>
        <v>360.5592376739653</v>
      </c>
      <c r="EL133" s="115">
        <f t="shared" si="49"/>
        <v>234.92888591846685</v>
      </c>
      <c r="EM133" s="115">
        <f>$EE$134*EL133</f>
        <v>6389480.8325937679</v>
      </c>
      <c r="EZ133" s="21"/>
      <c r="FA133" s="1"/>
      <c r="FB133" s="1"/>
      <c r="FE133" s="21"/>
      <c r="FF133" s="21"/>
      <c r="FG133" s="21"/>
      <c r="FL133" s="1"/>
    </row>
    <row r="134" spans="2:171" ht="16.05" customHeight="1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3"/>
      <c r="DT134" s="21"/>
      <c r="DU134" s="21"/>
      <c r="DV134" s="21"/>
      <c r="DW134" s="21"/>
      <c r="DX134" s="21"/>
      <c r="DY134" s="21"/>
      <c r="EA134" s="1" t="s">
        <v>639</v>
      </c>
      <c r="EB134" s="111">
        <f>SUM(EB130:EB133)</f>
        <v>1314.2879334772852</v>
      </c>
      <c r="EC134" s="111">
        <f>SUM(EC130:EC133)</f>
        <v>1</v>
      </c>
      <c r="ED134" s="112">
        <f>SUM(ED130:ED133)</f>
        <v>217.91110910401193</v>
      </c>
      <c r="EE134" s="112">
        <f>SUM(EE130:EE133)</f>
        <v>27197.510462001112</v>
      </c>
      <c r="EF134" s="18" cm="1">
        <f t="array" ref="EF134">SUM(EE130:EE133*EF130:EF133) / EE134</f>
        <v>4265190.2010081904</v>
      </c>
      <c r="EG134" s="112">
        <f t="array" ref="EG134">SUM(EG130:EG133*EH130:EH133)</f>
        <v>248.1513276669431</v>
      </c>
      <c r="EH134" s="112">
        <f>SUM(EH130:EH133)</f>
        <v>1</v>
      </c>
      <c r="EI134" s="112"/>
      <c r="EJ134" s="112">
        <f t="array" ref="EJ134">SUM(EJ130:EJ133*EH130:EH133)</f>
        <v>-2.4383111951246583</v>
      </c>
      <c r="EK134" s="112">
        <f t="shared" si="48"/>
        <v>245.71301647181843</v>
      </c>
      <c r="EL134" s="112">
        <f>SUM(EL130:EL133)</f>
        <v>245.71301647181846</v>
      </c>
      <c r="EM134" s="112">
        <f>SUM(EM130:EM133)</f>
        <v>6682782.3361421349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.05" customHeight="1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6" t="s">
        <v>83</v>
      </c>
      <c r="EC135" s="116"/>
      <c r="ED135" s="107" t="s">
        <v>85</v>
      </c>
      <c r="EE135" s="107" t="s">
        <v>81</v>
      </c>
      <c r="EF135" s="1" t="s">
        <v>640</v>
      </c>
      <c r="EG135" s="117" t="s">
        <v>636</v>
      </c>
      <c r="EH135" s="117"/>
      <c r="EI135" s="107"/>
      <c r="EJ135" s="107" t="s">
        <v>637</v>
      </c>
      <c r="EK135" s="107" t="s">
        <v>638</v>
      </c>
      <c r="EL135" s="107" t="s">
        <v>90</v>
      </c>
      <c r="EM135" s="115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179" t="s">
        <v>1</v>
      </c>
      <c r="CW136" s="178" t="s">
        <v>0</v>
      </c>
      <c r="EG136" s="114"/>
      <c r="EH136" s="107"/>
      <c r="EI136" s="107"/>
      <c r="EJ136" s="107"/>
      <c r="EK136" s="107"/>
      <c r="EL136" s="107"/>
      <c r="EM136" s="107"/>
      <c r="EN136" s="107"/>
      <c r="EO136" s="107"/>
      <c r="EP136" s="107"/>
      <c r="FC136" s="21"/>
      <c r="FD136" s="1"/>
      <c r="FE136" s="1"/>
      <c r="FF136" s="1"/>
      <c r="FI136" s="21"/>
      <c r="FJ136" s="21"/>
    </row>
    <row r="137" spans="2:171" ht="19.05" customHeight="1">
      <c r="B137" s="377" t="s">
        <v>386</v>
      </c>
      <c r="C137" s="377"/>
      <c r="D137" s="377"/>
      <c r="E137" s="377"/>
      <c r="F137" s="377"/>
      <c r="G137" s="377"/>
      <c r="H137" s="377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W137" t="s">
        <v>796</v>
      </c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181" t="s">
        <v>83</v>
      </c>
      <c r="CW137" s="180" t="s">
        <v>87</v>
      </c>
      <c r="EB137" s="114"/>
      <c r="EC137" s="114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.05" customHeight="1">
      <c r="B138" s="390"/>
      <c r="C138" s="390"/>
      <c r="D138" s="390"/>
      <c r="E138" s="390"/>
      <c r="F138" s="390"/>
      <c r="G138" s="390"/>
      <c r="H138" s="390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179" t="s">
        <v>1</v>
      </c>
      <c r="V138" s="178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105" t="s">
        <v>265</v>
      </c>
      <c r="CA138" s="103" t="s">
        <v>1</v>
      </c>
      <c r="CB138" s="178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77">
        <f>CL145</f>
        <v>774.43493010294708</v>
      </c>
      <c r="CW138" s="175">
        <f>CW145</f>
        <v>87222.135331413883</v>
      </c>
      <c r="EB138" s="114"/>
      <c r="EC138" s="114"/>
      <c r="ED138" s="107"/>
      <c r="EE138" s="107"/>
      <c r="EF138" s="107"/>
      <c r="EG138" s="107"/>
      <c r="EH138" s="107"/>
      <c r="EI138" s="107"/>
      <c r="EJ138" s="107"/>
      <c r="EK138" s="107"/>
      <c r="EL138" s="118" t="s">
        <v>1</v>
      </c>
      <c r="EM138" s="119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.05" customHeight="1">
      <c r="B139" s="2" t="s">
        <v>195</v>
      </c>
      <c r="C139" s="204" t="s">
        <v>194</v>
      </c>
      <c r="D139" s="204" t="s">
        <v>166</v>
      </c>
      <c r="E139" s="204" t="s">
        <v>166</v>
      </c>
      <c r="F139" s="204" t="s">
        <v>166</v>
      </c>
      <c r="G139" s="205" t="s">
        <v>250</v>
      </c>
      <c r="H139" s="204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181" t="s">
        <v>83</v>
      </c>
      <c r="V139" s="180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W139" s="307" t="s">
        <v>782</v>
      </c>
      <c r="AX139" s="307" t="s">
        <v>265</v>
      </c>
      <c r="AY139" s="308" t="s">
        <v>250</v>
      </c>
      <c r="AZ139" s="308" t="s">
        <v>783</v>
      </c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06" t="s">
        <v>62</v>
      </c>
      <c r="CA139" s="136" t="s">
        <v>83</v>
      </c>
      <c r="CB139" s="180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4"/>
      <c r="EC139" s="114"/>
      <c r="ED139" s="107"/>
      <c r="EE139" s="107"/>
      <c r="EF139" s="107"/>
      <c r="EG139" s="107"/>
      <c r="EH139" s="107"/>
      <c r="EI139" s="107"/>
      <c r="EJ139" s="107"/>
      <c r="EK139" s="107"/>
      <c r="EL139" s="120" t="s">
        <v>83</v>
      </c>
      <c r="EM139" s="121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179" t="s">
        <v>1</v>
      </c>
      <c r="FM139" s="178" t="s">
        <v>0</v>
      </c>
    </row>
    <row r="140" spans="2:171" ht="19.05" customHeight="1">
      <c r="B140" s="2" t="s">
        <v>91</v>
      </c>
      <c r="C140" s="2" t="s">
        <v>91</v>
      </c>
      <c r="D140" s="204" t="s">
        <v>255</v>
      </c>
      <c r="E140" s="204" t="s">
        <v>256</v>
      </c>
      <c r="F140" s="204" t="s">
        <v>47</v>
      </c>
      <c r="G140" s="205" t="s">
        <v>91</v>
      </c>
      <c r="H140" s="204" t="s">
        <v>47</v>
      </c>
      <c r="J140" s="21"/>
      <c r="K140" s="21"/>
      <c r="L140" s="21"/>
      <c r="M140" s="21"/>
      <c r="N140" s="21"/>
      <c r="O140" s="21"/>
      <c r="P140" s="21"/>
      <c r="Q140" s="134" t="s">
        <v>466</v>
      </c>
      <c r="R140" s="21"/>
      <c r="S140" s="21"/>
      <c r="T140" s="21"/>
      <c r="U140" s="177">
        <f>L145</f>
        <v>5.671161105764883E-3</v>
      </c>
      <c r="V140" s="175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O140" s="179" t="s">
        <v>1</v>
      </c>
      <c r="AP140" s="178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W140" s="307" t="s">
        <v>47</v>
      </c>
      <c r="AX140" s="307" t="s">
        <v>62</v>
      </c>
      <c r="AY140" s="307" t="s">
        <v>91</v>
      </c>
      <c r="AZ140" s="307" t="s">
        <v>47</v>
      </c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211">
        <v>298.14999999999998</v>
      </c>
      <c r="CA140" s="104">
        <f>BQ146</f>
        <v>644.2421909044931</v>
      </c>
      <c r="CB140" s="175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4"/>
      <c r="EC140" s="114"/>
      <c r="ED140" s="107"/>
      <c r="EE140" s="107"/>
      <c r="EF140" s="107"/>
      <c r="EG140" s="107"/>
      <c r="EH140" s="107" t="s">
        <v>420</v>
      </c>
      <c r="EI140" s="107"/>
      <c r="EJ140" s="107"/>
      <c r="EK140" s="107"/>
      <c r="EL140" s="109">
        <f>EB146</f>
        <v>2852.0490535886452</v>
      </c>
      <c r="EM140" s="110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L140" s="181" t="s">
        <v>83</v>
      </c>
      <c r="FM140" s="180" t="s">
        <v>87</v>
      </c>
    </row>
    <row r="141" spans="2:171" ht="19.2" customHeight="1">
      <c r="B141" s="2" t="s">
        <v>209</v>
      </c>
      <c r="C141" s="204" t="s">
        <v>201</v>
      </c>
      <c r="D141" s="2">
        <v>5570</v>
      </c>
      <c r="E141" s="204">
        <f t="shared" ref="E141:E148" si="55">D141*Btu_to_kJ</f>
        <v>5876.6842000000006</v>
      </c>
      <c r="F141" s="204">
        <f t="shared" ref="F141:F148" si="56">E141*($AE$131/1000)</f>
        <v>61.28077095942907</v>
      </c>
      <c r="G141" s="204">
        <v>1.06</v>
      </c>
      <c r="H141" s="204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O141" s="181" t="s">
        <v>83</v>
      </c>
      <c r="AP141" s="180" t="s">
        <v>87</v>
      </c>
      <c r="AQ141" s="21"/>
      <c r="AR141" s="21"/>
      <c r="AS141" s="21"/>
      <c r="AT141" s="21"/>
      <c r="AU141" s="21"/>
      <c r="AW141" s="309">
        <f>AS113</f>
        <v>2824.8856477449194</v>
      </c>
      <c r="AX141" s="309">
        <f>T_0</f>
        <v>298</v>
      </c>
      <c r="AY141" s="309">
        <f>1-(T_0/AX141)</f>
        <v>0</v>
      </c>
      <c r="AZ141" s="309">
        <f>AW141</f>
        <v>2824.8856477449194</v>
      </c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9" t="s">
        <v>84</v>
      </c>
      <c r="CO141" s="139" t="s">
        <v>80</v>
      </c>
      <c r="CP141" s="1" t="s">
        <v>89</v>
      </c>
      <c r="CQ141" s="139" t="s">
        <v>89</v>
      </c>
      <c r="CR141" s="139" t="s">
        <v>24</v>
      </c>
      <c r="CS141" s="139" t="s">
        <v>91</v>
      </c>
      <c r="CT141" s="139" t="s">
        <v>89</v>
      </c>
      <c r="CU141" s="139" t="s">
        <v>89</v>
      </c>
      <c r="CV141" s="139" t="s">
        <v>88</v>
      </c>
      <c r="CW141" s="139" t="s">
        <v>86</v>
      </c>
      <c r="EB141" s="114"/>
      <c r="EC141" s="114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P141" s="14" t="s">
        <v>29</v>
      </c>
      <c r="EQ141" s="160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77">
        <f>FB149</f>
        <v>3402.2651449800928</v>
      </c>
      <c r="FM141" s="175">
        <f>FM149</f>
        <v>404209.15818875749</v>
      </c>
    </row>
    <row r="142" spans="2:171" ht="19.05" customHeight="1">
      <c r="B142" s="2" t="s">
        <v>209</v>
      </c>
      <c r="C142" s="2" t="s">
        <v>202</v>
      </c>
      <c r="D142" s="2">
        <v>5140</v>
      </c>
      <c r="E142" s="204">
        <f t="shared" si="55"/>
        <v>5423.0084000000006</v>
      </c>
      <c r="F142" s="204">
        <f t="shared" si="56"/>
        <v>56.549939449096122</v>
      </c>
      <c r="G142" s="204">
        <v>1.06</v>
      </c>
      <c r="H142" s="204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77">
        <f>AE149</f>
        <v>9.658257192857822E-2</v>
      </c>
      <c r="AP142" s="175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77" t="s">
        <v>414</v>
      </c>
      <c r="BL142" s="377"/>
      <c r="BM142" s="377"/>
      <c r="BN142" s="377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72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77" t="s">
        <v>414</v>
      </c>
      <c r="DW142" s="377"/>
      <c r="DX142" s="377"/>
      <c r="DY142" s="377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60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>
      <c r="B143" s="2" t="s">
        <v>209</v>
      </c>
      <c r="C143" s="2" t="s">
        <v>183</v>
      </c>
      <c r="D143" s="2">
        <f>3660+2040+1020+133</f>
        <v>6853</v>
      </c>
      <c r="E143" s="204">
        <f t="shared" si="55"/>
        <v>7230.3261800000009</v>
      </c>
      <c r="F143" s="204">
        <f t="shared" si="56"/>
        <v>75.396251954213184</v>
      </c>
      <c r="G143" s="204">
        <v>1.06</v>
      </c>
      <c r="H143" s="204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77"/>
      <c r="BL143" s="377"/>
      <c r="BM143" s="377"/>
      <c r="BN143" s="377"/>
      <c r="BO143" s="21"/>
      <c r="BP143" s="21" t="s">
        <v>40</v>
      </c>
      <c r="BQ143" s="1" t="s">
        <v>82</v>
      </c>
      <c r="BR143" s="21" t="s">
        <v>213</v>
      </c>
      <c r="BS143" s="139" t="s">
        <v>84</v>
      </c>
      <c r="BT143" s="139" t="s">
        <v>80</v>
      </c>
      <c r="BU143" s="1" t="s">
        <v>89</v>
      </c>
      <c r="BV143" s="139" t="s">
        <v>89</v>
      </c>
      <c r="BW143" s="139" t="s">
        <v>24</v>
      </c>
      <c r="BX143" s="139" t="s">
        <v>91</v>
      </c>
      <c r="BY143" s="139" t="s">
        <v>89</v>
      </c>
      <c r="BZ143" s="139" t="s">
        <v>89</v>
      </c>
      <c r="CA143" s="139" t="s">
        <v>88</v>
      </c>
      <c r="CB143" s="139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72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77"/>
      <c r="DW143" s="377"/>
      <c r="DX143" s="377"/>
      <c r="DY143" s="377"/>
      <c r="EA143" s="187" t="s">
        <v>40</v>
      </c>
      <c r="EB143" s="122" t="s">
        <v>82</v>
      </c>
      <c r="EC143" s="1" t="s">
        <v>452</v>
      </c>
      <c r="ED143" s="123" t="s">
        <v>84</v>
      </c>
      <c r="EE143" s="123" t="s">
        <v>80</v>
      </c>
      <c r="EF143" s="1" t="s">
        <v>89</v>
      </c>
      <c r="EG143" s="123" t="s">
        <v>89</v>
      </c>
      <c r="EH143" s="123" t="s">
        <v>24</v>
      </c>
      <c r="EI143" s="123" t="s">
        <v>91</v>
      </c>
      <c r="EJ143" s="123" t="s">
        <v>89</v>
      </c>
      <c r="EK143" s="123" t="s">
        <v>89</v>
      </c>
      <c r="EL143" s="123" t="s">
        <v>88</v>
      </c>
      <c r="EM143" s="123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>
      <c r="B144" s="2" t="s">
        <v>209</v>
      </c>
      <c r="C144" s="2" t="s">
        <v>203</v>
      </c>
      <c r="D144" s="2">
        <f>3100</f>
        <v>3100</v>
      </c>
      <c r="E144" s="204">
        <f t="shared" si="55"/>
        <v>3270.6860000000001</v>
      </c>
      <c r="F144" s="204">
        <f t="shared" si="56"/>
        <v>34.105994609377035</v>
      </c>
      <c r="G144" s="204">
        <v>1.06</v>
      </c>
      <c r="H144" s="204">
        <f t="shared" si="57"/>
        <v>36.152354285939658</v>
      </c>
      <c r="I144" s="158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72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4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72"/>
      <c r="CK144" s="24" t="s">
        <v>66</v>
      </c>
      <c r="CL144" s="159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72" t="s">
        <v>420</v>
      </c>
      <c r="EA144" s="1" t="s">
        <v>233</v>
      </c>
      <c r="EB144" s="114">
        <f>(EE105*O2_Oil_molcoeff*MW_O2)+(EE118*O2_Naturalgas_molcoeff*MW_O2) + O2_in_BF_for_COG+O2_in_BF_for_coke+O2_in_BF</f>
        <v>664.54882131744762</v>
      </c>
      <c r="EC144" s="111">
        <f>EB144/EB146</f>
        <v>0.23300750051310176</v>
      </c>
      <c r="ED144" s="145">
        <f>MW_O2</f>
        <v>3.1998800000000001E-2</v>
      </c>
      <c r="EE144" s="107">
        <f>EB144/ED144</f>
        <v>20767.929463525121</v>
      </c>
      <c r="EF144" s="144">
        <f>h_O2</f>
        <v>0</v>
      </c>
      <c r="EG144" s="107">
        <f>b_ch_O2</f>
        <v>4</v>
      </c>
      <c r="EH144" s="107">
        <f>EE144/$EE$146</f>
        <v>0.21008403361344541</v>
      </c>
      <c r="EI144" s="115">
        <f>LN(EH144)</f>
        <v>-1.5602476682433284</v>
      </c>
      <c r="EJ144" s="115">
        <f>RT0*EI144</f>
        <v>-3.8656259359049594</v>
      </c>
      <c r="EK144" s="115">
        <f>EG144+EJ144</f>
        <v>0.1343740640950406</v>
      </c>
      <c r="EL144" s="115">
        <f>EK144*EH144</f>
        <v>2.8229845398117778E-2</v>
      </c>
      <c r="EM144" s="115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9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>
      <c r="B145" s="2" t="s">
        <v>209</v>
      </c>
      <c r="C145" s="2" t="s">
        <v>204</v>
      </c>
      <c r="D145" s="2">
        <v>1060</v>
      </c>
      <c r="E145" s="204">
        <f t="shared" si="55"/>
        <v>1118.3636000000001</v>
      </c>
      <c r="F145" s="204">
        <f t="shared" si="56"/>
        <v>11.662049769657957</v>
      </c>
      <c r="G145" s="204">
        <v>1.06</v>
      </c>
      <c r="H145" s="204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9" t="s">
        <v>84</v>
      </c>
      <c r="AH145" s="139" t="s">
        <v>80</v>
      </c>
      <c r="AI145" s="1" t="s">
        <v>89</v>
      </c>
      <c r="AJ145" s="139" t="s">
        <v>89</v>
      </c>
      <c r="AK145" s="139" t="s">
        <v>24</v>
      </c>
      <c r="AL145" s="139" t="s">
        <v>91</v>
      </c>
      <c r="AM145" s="139" t="s">
        <v>89</v>
      </c>
      <c r="AN145" s="139" t="s">
        <v>89</v>
      </c>
      <c r="AO145" s="139" t="s">
        <v>88</v>
      </c>
      <c r="AP145" s="139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72"/>
      <c r="BP145" s="159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9">
        <f>LN(BW145)</f>
        <v>-0.23582871084152554</v>
      </c>
      <c r="BY145" s="139">
        <f>RT0*BX145</f>
        <v>-0.58428261077706012</v>
      </c>
      <c r="BZ145" s="139">
        <f>BV145+BY145</f>
        <v>0.11571738922293984</v>
      </c>
      <c r="CA145" s="139">
        <f>BZ145*BW145</f>
        <v>9.1407013335767603E-2</v>
      </c>
      <c r="CB145" s="139">
        <f>BT146*CA145</f>
        <v>2041.1355361674134</v>
      </c>
      <c r="CJ145" s="372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>
        <f>SUM(CN142:CN144)</f>
        <v>9.0038560000000004E-2</v>
      </c>
      <c r="CO145" s="40">
        <f>SUM(CO142:CO144)</f>
        <v>26779.022576240197</v>
      </c>
      <c r="CP145" s="18" cm="1">
        <f t="array" ref="CP145">SUM(CO142:CO144*CP142:CP144) / CO145</f>
        <v>-107.73184041802253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72"/>
      <c r="EA145" s="159" t="s">
        <v>66</v>
      </c>
      <c r="EB145" s="124">
        <f>ED145*EE145</f>
        <v>2187.5002322711975</v>
      </c>
      <c r="EC145" s="124">
        <f>EB145/EB146</f>
        <v>0.76699249948689829</v>
      </c>
      <c r="ED145" s="150">
        <f>MW_N2</f>
        <v>2.801348E-2</v>
      </c>
      <c r="EE145" s="125">
        <f>N2_molcoeff*EE144</f>
        <v>78087.414782854452</v>
      </c>
      <c r="EF145" s="27">
        <f>h_N2</f>
        <v>0</v>
      </c>
      <c r="EG145" s="125">
        <f>b_ch_N2</f>
        <v>0.7</v>
      </c>
      <c r="EH145" s="125">
        <f>EE145/$EE$146</f>
        <v>0.7899159663865547</v>
      </c>
      <c r="EI145" s="123">
        <f>LN(EH145)</f>
        <v>-0.23582871084152537</v>
      </c>
      <c r="EJ145" s="123">
        <f>RT0*EI145</f>
        <v>-0.58428261077705967</v>
      </c>
      <c r="EK145" s="123">
        <f>EG145+EJ145</f>
        <v>0.11571738922294028</v>
      </c>
      <c r="EL145" s="123">
        <f>EK145*EH145</f>
        <v>9.1407013335767964E-2</v>
      </c>
      <c r="EM145" s="123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72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>
      <c r="B146" s="2" t="s">
        <v>209</v>
      </c>
      <c r="C146" s="206" t="s">
        <v>205</v>
      </c>
      <c r="D146" s="2">
        <v>60</v>
      </c>
      <c r="E146" s="204">
        <f t="shared" si="55"/>
        <v>63.303600000000003</v>
      </c>
      <c r="F146" s="204">
        <f t="shared" si="56"/>
        <v>0.6601160246976201</v>
      </c>
      <c r="G146" s="204">
        <v>1.06</v>
      </c>
      <c r="H146" s="204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72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>
        <f>SUM(BS144:BS145)</f>
        <v>6.0012280000000001E-2</v>
      </c>
      <c r="BT146" s="14">
        <f>SUM(BT144:BT145)</f>
        <v>22330.185197821316</v>
      </c>
      <c r="BU146" s="144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>
        <f>SUM(ED144:ED145)</f>
        <v>6.0012280000000001E-2</v>
      </c>
      <c r="EE146" s="14">
        <f>SUM(EE144:EE145)</f>
        <v>98855.344246379565</v>
      </c>
      <c r="EF146" s="144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72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>
      <c r="B147" s="2" t="s">
        <v>209</v>
      </c>
      <c r="C147" s="2" t="s">
        <v>206</v>
      </c>
      <c r="D147" s="204">
        <v>170</v>
      </c>
      <c r="E147" s="204">
        <f t="shared" si="55"/>
        <v>179.36020000000002</v>
      </c>
      <c r="F147" s="204">
        <f t="shared" si="56"/>
        <v>1.8703287366432571</v>
      </c>
      <c r="G147" s="204">
        <v>1.06</v>
      </c>
      <c r="H147" s="204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72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85.459771332449549</v>
      </c>
      <c r="ER147" s="33">
        <f>FE147</f>
        <v>85.459771332449534</v>
      </c>
      <c r="ES147" s="14">
        <f t="shared" si="59"/>
        <v>0</v>
      </c>
      <c r="EZ147" s="372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.05" customHeight="1">
      <c r="B148" s="2" t="s">
        <v>209</v>
      </c>
      <c r="C148" s="204" t="s">
        <v>208</v>
      </c>
      <c r="D148" s="204">
        <v>6</v>
      </c>
      <c r="E148" s="204">
        <f t="shared" si="55"/>
        <v>6.3303600000000007</v>
      </c>
      <c r="F148" s="204">
        <f t="shared" si="56"/>
        <v>6.601160246976201E-2</v>
      </c>
      <c r="G148" s="204">
        <v>1.06</v>
      </c>
      <c r="H148" s="204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72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9" t="s">
        <v>66</v>
      </c>
      <c r="FB148" s="116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6.95" customHeight="1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179" t="s">
        <v>1</v>
      </c>
      <c r="V149" s="178" t="s">
        <v>0</v>
      </c>
      <c r="W149" s="21"/>
      <c r="X149" s="21"/>
      <c r="Y149" s="21"/>
      <c r="Z149" s="21"/>
      <c r="AA149" s="21"/>
      <c r="AB149" s="21"/>
      <c r="AC149" s="372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>
        <f>SUM(AG146:AG148)</f>
        <v>9.0038560000000004E-2</v>
      </c>
      <c r="AH149" s="40">
        <f>SUM(AH146:AH148)</f>
        <v>3.3484402950449521</v>
      </c>
      <c r="AI149" s="18" cm="1">
        <f t="array" ref="AI149">SUM(AH146:AH148*AI146:AI148) / AH149</f>
        <v>-83.145862506379771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4">
        <f>SUM(FB145:FB148)</f>
        <v>3402.2651449800928</v>
      </c>
      <c r="FC149" s="144">
        <f>SUM(FC145:FC148)</f>
        <v>1</v>
      </c>
      <c r="FD149" s="144">
        <f>SUM(FD145:FD148)</f>
        <v>0.15410336000000002</v>
      </c>
      <c r="FE149" s="144">
        <f>SUM(FE145:FE148)</f>
        <v>115958.37141217491</v>
      </c>
      <c r="FF149" s="18" cm="1">
        <f t="array" ref="FF149">SUM(FE145:FE148*FF145:FF148) / FE149</f>
        <v>-105.59301148993288</v>
      </c>
      <c r="FG149" s="144"/>
      <c r="FH149" s="144">
        <f>SUM(FH145:FH148)</f>
        <v>1</v>
      </c>
      <c r="FI149" s="144"/>
      <c r="FJ149" s="144"/>
      <c r="FK149" s="144"/>
      <c r="FL149" s="144">
        <f>SUM(FL145:FL148)</f>
        <v>3.4858126521283488</v>
      </c>
      <c r="FM149" s="144">
        <f>SUM(FM145:FM148)</f>
        <v>404209.15818875749</v>
      </c>
    </row>
    <row r="150" spans="2:169" ht="18" customHeight="1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181" t="s">
        <v>83</v>
      </c>
      <c r="V150" s="180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3"/>
      <c r="BZ150" s="105" t="s">
        <v>265</v>
      </c>
      <c r="CA150" s="103" t="s">
        <v>1</v>
      </c>
      <c r="CB150" s="178" t="s">
        <v>0</v>
      </c>
      <c r="EL150" s="118" t="s">
        <v>1</v>
      </c>
      <c r="EM150" s="119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.05" customHeight="1">
      <c r="J151" s="21"/>
      <c r="K151" s="21"/>
      <c r="L151" s="21"/>
      <c r="M151" s="21"/>
      <c r="N151" s="21"/>
      <c r="O151" s="21"/>
      <c r="P151" s="21"/>
      <c r="Q151" s="134" t="s">
        <v>467</v>
      </c>
      <c r="R151" s="21"/>
      <c r="S151" s="21"/>
      <c r="T151" s="21"/>
      <c r="U151" s="177">
        <f>L156</f>
        <v>5.1714158616864253E-4</v>
      </c>
      <c r="V151" s="175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31"/>
      <c r="BJ151" s="131"/>
      <c r="BK151" s="131"/>
      <c r="BL151" s="131"/>
      <c r="BM151" s="21"/>
      <c r="BN151" s="21"/>
      <c r="BO151" s="21"/>
      <c r="BP151" s="173"/>
      <c r="BZ151" s="176" t="s">
        <v>62</v>
      </c>
      <c r="CA151" s="171" t="s">
        <v>10</v>
      </c>
      <c r="CB151" s="174" t="s">
        <v>47</v>
      </c>
      <c r="CK151" t="s">
        <v>784</v>
      </c>
      <c r="EL151" s="120" t="s">
        <v>83</v>
      </c>
      <c r="EM151" s="121" t="s">
        <v>87</v>
      </c>
    </row>
    <row r="152" spans="2:169" ht="16.95" customHeight="1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3"/>
      <c r="BW152" s="14" t="s">
        <v>377</v>
      </c>
      <c r="BZ152" s="211">
        <v>298.14999999999998</v>
      </c>
      <c r="CA152" s="182">
        <f>BR156</f>
        <v>37.630021206323519</v>
      </c>
      <c r="CB152" s="175">
        <f>CB156</f>
        <v>1951076.4755827489</v>
      </c>
      <c r="EH152" s="14" t="s">
        <v>517</v>
      </c>
      <c r="EL152" s="109">
        <f>EB160</f>
        <v>32.269863299428096</v>
      </c>
      <c r="EM152" s="110">
        <f>EM160</f>
        <v>2830357.1263978118</v>
      </c>
    </row>
    <row r="153" spans="2:169" ht="19.2" customHeight="1">
      <c r="B153" s="377" t="s">
        <v>387</v>
      </c>
      <c r="C153" s="377"/>
      <c r="D153" s="377"/>
      <c r="E153" s="377"/>
      <c r="F153" s="377"/>
      <c r="G153" s="377"/>
      <c r="H153" s="377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307" t="s">
        <v>782</v>
      </c>
      <c r="CK153" s="307" t="s">
        <v>265</v>
      </c>
      <c r="CL153" s="308" t="s">
        <v>250</v>
      </c>
      <c r="CM153" s="308" t="s">
        <v>783</v>
      </c>
    </row>
    <row r="154" spans="2:169" ht="18" customHeight="1">
      <c r="B154" s="390"/>
      <c r="C154" s="390"/>
      <c r="D154" s="390"/>
      <c r="E154" s="390"/>
      <c r="F154" s="390"/>
      <c r="G154" s="390"/>
      <c r="H154" s="390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77" t="s">
        <v>376</v>
      </c>
      <c r="BL154" s="377"/>
      <c r="BM154" s="377"/>
      <c r="BN154" s="377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307" t="s">
        <v>47</v>
      </c>
      <c r="CK154" s="307" t="s">
        <v>62</v>
      </c>
      <c r="CL154" s="307" t="s">
        <v>91</v>
      </c>
      <c r="CM154" s="307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>
      <c r="B155" s="2" t="s">
        <v>195</v>
      </c>
      <c r="C155" s="204" t="s">
        <v>194</v>
      </c>
      <c r="D155" s="204" t="s">
        <v>166</v>
      </c>
      <c r="E155" s="204" t="s">
        <v>166</v>
      </c>
      <c r="F155" s="204" t="s">
        <v>166</v>
      </c>
      <c r="G155" s="205" t="s">
        <v>250</v>
      </c>
      <c r="H155" s="204" t="s">
        <v>244</v>
      </c>
      <c r="I155" s="158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D155" t="s">
        <v>794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77"/>
      <c r="BL155" s="377"/>
      <c r="BM155" s="377"/>
      <c r="BN155" s="377"/>
      <c r="BP155" s="21"/>
      <c r="BQ155" s="14" t="s">
        <v>453</v>
      </c>
      <c r="BR155" s="1" t="s">
        <v>82</v>
      </c>
      <c r="BS155" s="1" t="s">
        <v>84</v>
      </c>
      <c r="BT155" s="139" t="s">
        <v>80</v>
      </c>
      <c r="BU155" s="1" t="s">
        <v>89</v>
      </c>
      <c r="BV155" s="139" t="s">
        <v>89</v>
      </c>
      <c r="BW155" s="139" t="s">
        <v>24</v>
      </c>
      <c r="BX155" s="1" t="s">
        <v>91</v>
      </c>
      <c r="BY155" s="139" t="s">
        <v>89</v>
      </c>
      <c r="BZ155" s="139" t="s">
        <v>89</v>
      </c>
      <c r="CA155" s="139" t="s">
        <v>88</v>
      </c>
      <c r="CB155" s="1" t="s">
        <v>86</v>
      </c>
      <c r="CJ155" s="309">
        <f>'MCC_hM_RUVY_matrices_mat_level '!L154</f>
        <v>724512.55364480056</v>
      </c>
      <c r="CK155" s="309">
        <f>CE125</f>
        <v>1173.1500000000001</v>
      </c>
      <c r="CL155" s="309">
        <f>1-(T_0/CK155)</f>
        <v>0.74598303712227765</v>
      </c>
      <c r="CM155" s="309">
        <f>CJ155*CL155</f>
        <v>540474.0752011654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>
      <c r="B156" s="2" t="s">
        <v>91</v>
      </c>
      <c r="C156" s="2" t="s">
        <v>91</v>
      </c>
      <c r="D156" s="204" t="s">
        <v>255</v>
      </c>
      <c r="E156" s="204" t="s">
        <v>256</v>
      </c>
      <c r="F156" s="204" t="s">
        <v>47</v>
      </c>
      <c r="G156" s="205" t="s">
        <v>91</v>
      </c>
      <c r="H156" s="204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2" t="s">
        <v>377</v>
      </c>
      <c r="BP156" s="19" t="s">
        <v>64</v>
      </c>
      <c r="BQ156" s="19">
        <f>BR156*LHV_CH4</f>
        <v>1881501.0603161759</v>
      </c>
      <c r="BR156" s="172">
        <f>CH4_into_Kiln</f>
        <v>37.630021206323519</v>
      </c>
      <c r="BS156" s="161">
        <f t="array" ref="BS156">MW_CH4</f>
        <v>1.604276E-2</v>
      </c>
      <c r="BT156" s="161">
        <f>BR156/BS156</f>
        <v>2345.6076888467769</v>
      </c>
      <c r="BU156" s="161">
        <f>h_CH4</f>
        <v>-74.599999999999994</v>
      </c>
      <c r="BV156" s="172">
        <f>b_ch_CH4</f>
        <v>831.8</v>
      </c>
      <c r="BW156" s="161">
        <f>BT156/BT156</f>
        <v>1</v>
      </c>
      <c r="BX156" s="172">
        <f>LN(BW156)</f>
        <v>0</v>
      </c>
      <c r="BY156" s="172">
        <f>RT0*BX156</f>
        <v>0</v>
      </c>
      <c r="BZ156" s="172">
        <f>BV156+BY156</f>
        <v>831.8</v>
      </c>
      <c r="CA156" s="172">
        <f>BZ156*BW156</f>
        <v>831.8</v>
      </c>
      <c r="CB156" s="4">
        <f>BT156*CA156</f>
        <v>1951076.4755827489</v>
      </c>
      <c r="DZ156" s="381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781</v>
      </c>
    </row>
    <row r="157" spans="2:169" ht="18" customHeight="1">
      <c r="B157" s="2" t="s">
        <v>385</v>
      </c>
      <c r="C157" s="204" t="s">
        <v>207</v>
      </c>
      <c r="D157" s="204">
        <v>2040</v>
      </c>
      <c r="E157" s="204">
        <f>D157*Btu_to_kJ</f>
        <v>2152.3224</v>
      </c>
      <c r="F157" s="204">
        <f>E157*($AE$131/1000)</f>
        <v>22.443944839719084</v>
      </c>
      <c r="G157" s="204">
        <v>1.04</v>
      </c>
      <c r="H157" s="204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C157" s="307" t="s">
        <v>782</v>
      </c>
      <c r="AD157" s="307" t="s">
        <v>265</v>
      </c>
      <c r="AE157" s="308" t="s">
        <v>250</v>
      </c>
      <c r="AF157" s="308" t="s">
        <v>783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81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>
      <c r="L158" s="1"/>
      <c r="P158" s="21"/>
      <c r="Q158" s="21"/>
      <c r="V158" s="1"/>
      <c r="W158" s="21"/>
      <c r="X158" s="21"/>
      <c r="Y158" s="21"/>
      <c r="Z158" s="21"/>
      <c r="AA158" s="21"/>
      <c r="AC158" s="307" t="s">
        <v>47</v>
      </c>
      <c r="AD158" s="307" t="s">
        <v>62</v>
      </c>
      <c r="AE158" s="307" t="s">
        <v>91</v>
      </c>
      <c r="AF158" s="307" t="s">
        <v>47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381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6.95" customHeight="1">
      <c r="D159" s="3" t="s">
        <v>210</v>
      </c>
      <c r="E159" s="189" t="s">
        <v>211</v>
      </c>
      <c r="F159" s="21" t="s">
        <v>212</v>
      </c>
      <c r="I159" s="138"/>
      <c r="L159" s="1"/>
      <c r="P159" s="21"/>
      <c r="Q159" s="21"/>
      <c r="V159" s="1"/>
      <c r="W159" s="21"/>
      <c r="X159" s="21"/>
      <c r="Y159" s="21"/>
      <c r="Z159" s="21"/>
      <c r="AA159" s="21"/>
      <c r="AC159" s="309">
        <f>'MCC_hM_RUVY_matrices_mat_level '!L146</f>
        <v>329.64813299570233</v>
      </c>
      <c r="AD159" s="309">
        <f>T_0</f>
        <v>298</v>
      </c>
      <c r="AE159" s="309">
        <f>1-(T_0/AD159)</f>
        <v>0</v>
      </c>
      <c r="AF159" s="309">
        <f>AC159</f>
        <v>329.64813299570233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81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307" t="s">
        <v>782</v>
      </c>
      <c r="FB159" s="307" t="s">
        <v>265</v>
      </c>
      <c r="FC159" s="308" t="s">
        <v>250</v>
      </c>
      <c r="FD159" s="308" t="s">
        <v>783</v>
      </c>
    </row>
    <row r="160" spans="2:169" ht="16.95" customHeight="1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9"/>
      <c r="EA160" s="18" t="s">
        <v>18</v>
      </c>
      <c r="EB160" s="18">
        <f>0.7*DF241</f>
        <v>32.269863299428096</v>
      </c>
      <c r="EC160" s="18"/>
      <c r="ED160" s="18">
        <f>0.7*DH241</f>
        <v>5.8897524E-2</v>
      </c>
      <c r="EE160" s="18">
        <f>SUM(EE156:EE159)</f>
        <v>10414.928346987426</v>
      </c>
      <c r="EF160" s="18" cm="1">
        <f t="array" ref="EF160">SUM(EE156:EE159*EF156:EF159) / EE160</f>
        <v>-4.5562340979421263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307" t="s">
        <v>47</v>
      </c>
      <c r="FB160" s="307" t="s">
        <v>62</v>
      </c>
      <c r="FC160" s="307" t="s">
        <v>91</v>
      </c>
      <c r="FD160" s="307" t="s">
        <v>47</v>
      </c>
    </row>
    <row r="161" spans="1:160" ht="18" customHeight="1">
      <c r="U161" s="179" t="s">
        <v>1</v>
      </c>
      <c r="V161" s="178" t="s">
        <v>0</v>
      </c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9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9">
        <f>'MCC_hM_RUVY_matrices_mat_level '!L159</f>
        <v>28535702.682693902</v>
      </c>
      <c r="FB161" s="309">
        <v>1144.261</v>
      </c>
      <c r="FC161" s="309">
        <f>1-(T_0/FB161)</f>
        <v>0.73956990581694204</v>
      </c>
      <c r="FD161" s="309">
        <f>FA161*FC161</f>
        <v>21104146.945460189</v>
      </c>
    </row>
    <row r="162" spans="1:160" ht="18" customHeight="1">
      <c r="U162" s="181" t="s">
        <v>83</v>
      </c>
      <c r="V162" s="180" t="s">
        <v>87</v>
      </c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9"/>
      <c r="FA162" t="s">
        <v>116</v>
      </c>
    </row>
    <row r="163" spans="1:160" ht="16.95" customHeight="1">
      <c r="Q163" s="14" t="s">
        <v>420</v>
      </c>
      <c r="U163" s="177">
        <f>K169</f>
        <v>9.0394269236644703E-2</v>
      </c>
      <c r="V163" s="175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9"/>
    </row>
    <row r="164" spans="1:160" ht="16.05" customHeight="1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9"/>
      <c r="EK164" s="107"/>
    </row>
    <row r="165" spans="1:160" ht="18" customHeight="1">
      <c r="E165" s="377" t="s">
        <v>414</v>
      </c>
      <c r="F165" s="377"/>
      <c r="G165" s="377"/>
      <c r="H165" s="377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9"/>
      <c r="EB165" s="114"/>
    </row>
    <row r="166" spans="1:160" ht="18" customHeight="1">
      <c r="E166" s="377"/>
      <c r="F166" s="377"/>
      <c r="G166" s="377"/>
      <c r="H166" s="377"/>
      <c r="J166" s="21" t="s">
        <v>40</v>
      </c>
      <c r="K166" s="1" t="s">
        <v>82</v>
      </c>
      <c r="L166" s="21" t="s">
        <v>213</v>
      </c>
      <c r="M166" s="139" t="s">
        <v>84</v>
      </c>
      <c r="N166" s="139" t="s">
        <v>80</v>
      </c>
      <c r="O166" s="1" t="s">
        <v>89</v>
      </c>
      <c r="P166" s="139" t="s">
        <v>89</v>
      </c>
      <c r="Q166" s="139" t="s">
        <v>24</v>
      </c>
      <c r="R166" s="139" t="s">
        <v>91</v>
      </c>
      <c r="S166" s="139" t="s">
        <v>89</v>
      </c>
      <c r="T166" s="139" t="s">
        <v>89</v>
      </c>
      <c r="U166" s="139" t="s">
        <v>88</v>
      </c>
      <c r="V166" s="139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9"/>
    </row>
    <row r="167" spans="1:160" ht="18" customHeight="1">
      <c r="I167" s="372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9"/>
    </row>
    <row r="168" spans="1:160" ht="18" customHeight="1">
      <c r="I168" s="372"/>
      <c r="J168" s="159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9">
        <f>LN(Q168)</f>
        <v>-0.23582871084152554</v>
      </c>
      <c r="S168" s="139">
        <f>RT0*R168</f>
        <v>-0.58428261077706012</v>
      </c>
      <c r="T168" s="139">
        <f>P168+S168</f>
        <v>0.11571738922293984</v>
      </c>
      <c r="U168" s="139">
        <f>T168*Q168</f>
        <v>9.1407013335767603E-2</v>
      </c>
      <c r="V168" s="139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9"/>
    </row>
    <row r="169" spans="1:160" ht="16.05" customHeight="1">
      <c r="J169" s="14" t="s">
        <v>18</v>
      </c>
      <c r="K169" s="18">
        <f>SUM(K167:K168)</f>
        <v>9.0394269236644703E-2</v>
      </c>
      <c r="L169" s="18">
        <f>SUM(L167:L168)</f>
        <v>1</v>
      </c>
      <c r="M169" s="14">
        <f>SUM(M167:M168)</f>
        <v>6.0012280000000001E-2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9"/>
    </row>
    <row r="170" spans="1:160" ht="18" customHeight="1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9"/>
    </row>
    <row r="171" spans="1:160" ht="16.05" customHeight="1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9"/>
    </row>
    <row r="172" spans="1:160" ht="16.05" customHeight="1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9"/>
    </row>
    <row r="173" spans="1:160" ht="16.05" customHeight="1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9"/>
    </row>
    <row r="174" spans="1:160" ht="16.05" customHeight="1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9"/>
    </row>
    <row r="175" spans="1:160" ht="16.05" customHeight="1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9"/>
    </row>
    <row r="176" spans="1:160" ht="16.95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/>
      <c r="BB176" s="186"/>
      <c r="BC176" s="186"/>
      <c r="BD176" s="186"/>
      <c r="BE176" s="186"/>
      <c r="BF176" s="186"/>
      <c r="BG176" s="186"/>
      <c r="BH176" s="186"/>
      <c r="BI176" s="186"/>
      <c r="BJ176" s="186"/>
      <c r="BK176" s="186"/>
      <c r="BL176" s="186"/>
      <c r="BM176" s="186"/>
      <c r="BN176" s="186"/>
      <c r="BO176" s="186"/>
      <c r="BP176" s="101"/>
      <c r="BQ176" s="102"/>
      <c r="BR176" s="102"/>
      <c r="BS176" s="42"/>
      <c r="BT176" s="42"/>
      <c r="BU176" s="42"/>
      <c r="BV176" s="186"/>
      <c r="BW176" s="186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9"/>
    </row>
    <row r="177" spans="16:130" ht="16.05" customHeight="1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3"/>
      <c r="BN177" s="1"/>
      <c r="BO177" s="1"/>
      <c r="BR177" s="21"/>
      <c r="BS177" s="21"/>
      <c r="BY177" s="1"/>
      <c r="DZ177" s="149"/>
    </row>
    <row r="178" spans="16:130" ht="16.05" customHeight="1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3"/>
      <c r="BN178" s="1"/>
      <c r="BO178" s="1"/>
      <c r="BR178" s="21"/>
      <c r="BS178" s="21"/>
      <c r="BY178" s="1"/>
    </row>
    <row r="179" spans="16:130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.05" customHeight="1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.05" customHeight="1">
      <c r="T182" s="21"/>
      <c r="U182" s="21"/>
      <c r="V182" s="21"/>
      <c r="W182" s="384" t="s">
        <v>345</v>
      </c>
      <c r="X182" s="384"/>
      <c r="Y182" s="384"/>
      <c r="Z182" s="384"/>
      <c r="AA182" s="384"/>
      <c r="AB182" s="384"/>
      <c r="AC182" s="384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4"/>
      <c r="CS183" s="21"/>
      <c r="CT183" s="21"/>
    </row>
    <row r="184" spans="16:130" ht="16.95" customHeight="1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384" t="s">
        <v>346</v>
      </c>
      <c r="AP187" s="384"/>
      <c r="AQ187" s="384"/>
      <c r="AR187" s="384"/>
      <c r="AS187" s="384"/>
      <c r="AT187" s="384"/>
      <c r="AU187" s="384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384" t="s">
        <v>347</v>
      </c>
      <c r="BH187" s="384"/>
      <c r="BI187" s="384"/>
      <c r="BJ187" s="384"/>
      <c r="BK187" s="384"/>
      <c r="BL187" s="384"/>
      <c r="BM187" s="384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>
      <c r="P189" s="392" t="s">
        <v>285</v>
      </c>
      <c r="Q189" s="392"/>
      <c r="T189" s="21"/>
      <c r="U189" s="21"/>
      <c r="V189" s="21"/>
      <c r="W189" s="22" t="s">
        <v>196</v>
      </c>
      <c r="X189" s="185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3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.05" customHeight="1">
      <c r="P190" s="393"/>
      <c r="Q190" s="393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.05" customHeight="1">
      <c r="P191" s="374" t="s">
        <v>269</v>
      </c>
      <c r="Q191" s="193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>
      <c r="P192" s="375"/>
      <c r="Q192" s="195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3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>
      <c r="P193" s="99" t="s">
        <v>266</v>
      </c>
      <c r="Q193" s="195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.05" customHeight="1">
      <c r="N194" s="21"/>
      <c r="O194" s="21"/>
      <c r="P194" s="99" t="s">
        <v>489</v>
      </c>
      <c r="Q194" s="195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.05" customHeight="1">
      <c r="N195" s="21"/>
      <c r="O195" s="21"/>
      <c r="P195" s="100" t="s">
        <v>268</v>
      </c>
      <c r="Q195" s="190">
        <f>V210/AC195</f>
        <v>109.7914834438229</v>
      </c>
      <c r="T195" s="21"/>
      <c r="U195" s="21"/>
      <c r="V195" s="21"/>
      <c r="W195" s="394" t="s">
        <v>398</v>
      </c>
      <c r="X195" s="395"/>
      <c r="Y195" s="147"/>
      <c r="Z195" s="147"/>
      <c r="AA195" s="147">
        <f>SUM(AA185:AA186,AA187:AA188,AA189:AA190,AA191:AA192,AA193:AA194)</f>
        <v>80616.370239891301</v>
      </c>
      <c r="AB195" s="146">
        <v>1</v>
      </c>
      <c r="AC195" s="148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.05" customHeight="1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179" t="s">
        <v>1</v>
      </c>
      <c r="V204" s="178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179" t="s">
        <v>1</v>
      </c>
      <c r="AP204" s="178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179" t="s">
        <v>1</v>
      </c>
      <c r="BI204" s="178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179" t="s">
        <v>1</v>
      </c>
      <c r="CB204" s="178" t="s">
        <v>0</v>
      </c>
      <c r="CC204" s="21"/>
      <c r="CD204" s="21"/>
      <c r="CU204" s="21"/>
      <c r="CV204" s="179" t="s">
        <v>1</v>
      </c>
      <c r="CW204" s="178" t="s">
        <v>0</v>
      </c>
    </row>
    <row r="205" spans="5:101" ht="18" customHeight="1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181" t="s">
        <v>83</v>
      </c>
      <c r="V205" s="180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181" t="s">
        <v>83</v>
      </c>
      <c r="AP205" s="180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181" t="s">
        <v>83</v>
      </c>
      <c r="BI205" s="180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181" t="s">
        <v>83</v>
      </c>
      <c r="CB205" s="180" t="s">
        <v>87</v>
      </c>
      <c r="CC205" s="21"/>
      <c r="CD205" s="21"/>
      <c r="CU205" s="21"/>
      <c r="CV205" s="181" t="s">
        <v>83</v>
      </c>
      <c r="CW205" s="180" t="s">
        <v>87</v>
      </c>
    </row>
    <row r="206" spans="5:101" ht="15" customHeight="1">
      <c r="J206" s="21"/>
      <c r="K206" s="21"/>
      <c r="L206" s="21"/>
      <c r="M206" s="21"/>
      <c r="N206" s="21"/>
      <c r="O206" s="21"/>
      <c r="P206" s="331" t="s">
        <v>336</v>
      </c>
      <c r="Q206" s="331"/>
      <c r="R206" s="331"/>
      <c r="S206" s="21"/>
      <c r="T206" s="21"/>
      <c r="U206" s="177">
        <f>K218</f>
        <v>298.6148747230165</v>
      </c>
      <c r="V206" s="175">
        <f>V218</f>
        <v>8850991.3601140417</v>
      </c>
      <c r="W206" s="373" t="s">
        <v>327</v>
      </c>
      <c r="X206" s="373"/>
      <c r="Y206" s="373"/>
      <c r="Z206" s="373"/>
      <c r="AA206" s="373"/>
      <c r="AB206" s="373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77">
        <f>AE218</f>
        <v>298.6148747230165</v>
      </c>
      <c r="AP206" s="175">
        <f>AP218</f>
        <v>8855804.320336977</v>
      </c>
      <c r="AQ206" s="373" t="s">
        <v>434</v>
      </c>
      <c r="AR206" s="373"/>
      <c r="AS206" s="373"/>
      <c r="AT206" s="373"/>
      <c r="AU206" s="373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77">
        <f>AX218</f>
        <v>298.6148747230165</v>
      </c>
      <c r="BI206" s="175">
        <f>BI218</f>
        <v>8855804.320336977</v>
      </c>
      <c r="BJ206" s="373" t="s">
        <v>362</v>
      </c>
      <c r="BK206" s="373"/>
      <c r="BL206" s="373"/>
      <c r="BM206" s="373"/>
      <c r="BN206" s="373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77">
        <f>BQ218</f>
        <v>298.6148747230165</v>
      </c>
      <c r="CB206" s="175">
        <f>CB218</f>
        <v>8855804.320336977</v>
      </c>
      <c r="CD206" s="373" t="s">
        <v>344</v>
      </c>
      <c r="CE206" s="373"/>
      <c r="CF206" s="373"/>
      <c r="CG206" s="373"/>
      <c r="CH206" s="373"/>
      <c r="CI206" s="162"/>
      <c r="CR206" s="14" t="s">
        <v>484</v>
      </c>
      <c r="CU206" s="21"/>
      <c r="CV206" s="165">
        <f>CL211</f>
        <v>203.27980063725872</v>
      </c>
      <c r="CW206" s="175">
        <f>CW211</f>
        <v>6408288.6211381694</v>
      </c>
    </row>
    <row r="207" spans="5:101" ht="15" customHeight="1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73"/>
      <c r="X207" s="373"/>
      <c r="Y207" s="373"/>
      <c r="Z207" s="373"/>
      <c r="AA207" s="373"/>
      <c r="AB207" s="373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73"/>
      <c r="AR207" s="373"/>
      <c r="AS207" s="373"/>
      <c r="AT207" s="373"/>
      <c r="AU207" s="373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73"/>
      <c r="BK207" s="373"/>
      <c r="BL207" s="373"/>
      <c r="BM207" s="373"/>
      <c r="BN207" s="373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389"/>
      <c r="CE207" s="389"/>
      <c r="CF207" s="389"/>
      <c r="CG207" s="389"/>
      <c r="CH207" s="389"/>
      <c r="CI207" s="162"/>
      <c r="CU207" s="21"/>
      <c r="CV207" s="21"/>
    </row>
    <row r="208" spans="5:101" ht="19.2" customHeight="1">
      <c r="E208" s="377" t="s">
        <v>356</v>
      </c>
      <c r="F208" s="377"/>
      <c r="G208" s="377"/>
      <c r="H208" s="377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3" t="s">
        <v>339</v>
      </c>
      <c r="Y208" s="133" t="s">
        <v>379</v>
      </c>
      <c r="Z208" s="143" t="s">
        <v>264</v>
      </c>
      <c r="AA208" s="374" t="s">
        <v>269</v>
      </c>
      <c r="AB208" s="193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3" t="s">
        <v>339</v>
      </c>
      <c r="AR208" s="133" t="s">
        <v>379</v>
      </c>
      <c r="AS208" s="17" t="s">
        <v>264</v>
      </c>
      <c r="AT208" s="374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3" t="s">
        <v>339</v>
      </c>
      <c r="BK208" s="133" t="s">
        <v>379</v>
      </c>
      <c r="BL208" s="17" t="s">
        <v>264</v>
      </c>
      <c r="BM208" s="374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3" t="s">
        <v>339</v>
      </c>
      <c r="CE208" s="133" t="s">
        <v>379</v>
      </c>
      <c r="CF208" s="127" t="s">
        <v>264</v>
      </c>
      <c r="CG208" s="374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>
      <c r="E209" s="377"/>
      <c r="F209" s="377"/>
      <c r="G209" s="377"/>
      <c r="H209" s="377"/>
      <c r="J209" s="21" t="s">
        <v>40</v>
      </c>
      <c r="K209" s="1" t="s">
        <v>82</v>
      </c>
      <c r="L209" s="21" t="s">
        <v>213</v>
      </c>
      <c r="M209" s="139" t="s">
        <v>84</v>
      </c>
      <c r="N209" s="139" t="s">
        <v>80</v>
      </c>
      <c r="O209" s="1" t="s">
        <v>89</v>
      </c>
      <c r="P209" s="139" t="s">
        <v>89</v>
      </c>
      <c r="Q209" s="139" t="s">
        <v>24</v>
      </c>
      <c r="R209" s="139" t="s">
        <v>91</v>
      </c>
      <c r="S209" s="139" t="s">
        <v>89</v>
      </c>
      <c r="T209" s="139" t="s">
        <v>89</v>
      </c>
      <c r="U209" s="139" t="s">
        <v>88</v>
      </c>
      <c r="V209" s="139" t="s">
        <v>86</v>
      </c>
      <c r="W209" s="21"/>
      <c r="X209" s="137" t="s">
        <v>47</v>
      </c>
      <c r="Y209" s="194" t="s">
        <v>47</v>
      </c>
      <c r="Z209" s="180" t="s">
        <v>83</v>
      </c>
      <c r="AA209" s="375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9" t="s">
        <v>84</v>
      </c>
      <c r="AH209" s="139" t="s">
        <v>80</v>
      </c>
      <c r="AI209" s="1" t="s">
        <v>89</v>
      </c>
      <c r="AJ209" s="139" t="s">
        <v>89</v>
      </c>
      <c r="AK209" s="139" t="s">
        <v>24</v>
      </c>
      <c r="AL209" s="139" t="s">
        <v>91</v>
      </c>
      <c r="AM209" s="139" t="s">
        <v>89</v>
      </c>
      <c r="AN209" s="139" t="s">
        <v>89</v>
      </c>
      <c r="AO209" s="139" t="s">
        <v>88</v>
      </c>
      <c r="AP209" s="139" t="s">
        <v>86</v>
      </c>
      <c r="AQ209" s="137" t="s">
        <v>47</v>
      </c>
      <c r="AR209" s="194" t="s">
        <v>47</v>
      </c>
      <c r="AS209" s="1" t="s">
        <v>83</v>
      </c>
      <c r="AT209" s="375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9" t="s">
        <v>84</v>
      </c>
      <c r="BA209" s="139" t="s">
        <v>80</v>
      </c>
      <c r="BB209" s="1" t="s">
        <v>89</v>
      </c>
      <c r="BC209" s="139" t="s">
        <v>89</v>
      </c>
      <c r="BD209" s="139" t="s">
        <v>24</v>
      </c>
      <c r="BE209" s="139" t="s">
        <v>91</v>
      </c>
      <c r="BF209" s="139" t="s">
        <v>89</v>
      </c>
      <c r="BG209" s="139" t="s">
        <v>89</v>
      </c>
      <c r="BH209" s="139" t="s">
        <v>88</v>
      </c>
      <c r="BI209" s="139" t="s">
        <v>86</v>
      </c>
      <c r="BJ209" s="137" t="s">
        <v>47</v>
      </c>
      <c r="BK209" s="194" t="s">
        <v>47</v>
      </c>
      <c r="BL209" s="1" t="s">
        <v>83</v>
      </c>
      <c r="BM209" s="375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9" t="s">
        <v>84</v>
      </c>
      <c r="BT209" s="139" t="s">
        <v>80</v>
      </c>
      <c r="BU209" s="1" t="s">
        <v>89</v>
      </c>
      <c r="BV209" s="139" t="s">
        <v>89</v>
      </c>
      <c r="BW209" s="139" t="s">
        <v>24</v>
      </c>
      <c r="BX209" s="139" t="s">
        <v>91</v>
      </c>
      <c r="BY209" s="139" t="s">
        <v>89</v>
      </c>
      <c r="BZ209" s="139" t="s">
        <v>89</v>
      </c>
      <c r="CA209" s="139" t="s">
        <v>88</v>
      </c>
      <c r="CB209" s="139" t="s">
        <v>86</v>
      </c>
      <c r="CD209" s="137" t="s">
        <v>47</v>
      </c>
      <c r="CE209" s="194" t="s">
        <v>47</v>
      </c>
      <c r="CF209" s="194" t="s">
        <v>83</v>
      </c>
      <c r="CG209" s="407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9" t="s">
        <v>84</v>
      </c>
      <c r="CO209" s="139" t="s">
        <v>80</v>
      </c>
      <c r="CP209" s="1" t="s">
        <v>89</v>
      </c>
      <c r="CQ209" s="139" t="s">
        <v>89</v>
      </c>
      <c r="CR209" s="139" t="s">
        <v>24</v>
      </c>
      <c r="CS209" s="139" t="s">
        <v>91</v>
      </c>
      <c r="CT209" s="139" t="s">
        <v>89</v>
      </c>
      <c r="CU209" s="139" t="s">
        <v>89</v>
      </c>
      <c r="CV209" s="139" t="s">
        <v>88</v>
      </c>
      <c r="CW209" s="139" t="s">
        <v>86</v>
      </c>
    </row>
    <row r="210" spans="2:101" ht="16.05" customHeight="1">
      <c r="I210" s="135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6">
        <f>AP227</f>
        <v>555.77441893806406</v>
      </c>
      <c r="Y210" s="190">
        <f>SUM(AC195,V206,V222,V236) - SUM(AP206,AP227)</f>
        <v>98587.635320095345</v>
      </c>
      <c r="Z210" s="143">
        <f>AO206-U206</f>
        <v>0</v>
      </c>
      <c r="AA210" s="99" t="s">
        <v>489</v>
      </c>
      <c r="AB210" s="195">
        <f>(AP206+AP227)/($AC$195+V206+V222+V236)</f>
        <v>0.98899070789782728</v>
      </c>
      <c r="AC210" s="135" t="s">
        <v>433</v>
      </c>
      <c r="AD210" s="132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6">
        <f>AP206+AU190-BI206</f>
        <v>282.12877103127539</v>
      </c>
      <c r="AR210" s="190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5" t="s">
        <v>433</v>
      </c>
      <c r="AW210" s="132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6">
        <f>BM195+BI206-CB206</f>
        <v>50.35808415338397</v>
      </c>
      <c r="BK210" s="190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5" t="s">
        <v>383</v>
      </c>
      <c r="BP210" s="13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9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6">
        <f>SUM(CB206,CB225,CB232,CB244) - SUM(CW251,CW234,CW218,CW206)</f>
        <v>8706828.4095456321</v>
      </c>
      <c r="CE210" s="190">
        <f>SUM(CB244,CB206,CB225,CB232) - SUM(CW206,CW218,CW234,CW251)</f>
        <v>8706828.4095456358</v>
      </c>
      <c r="CF210" s="166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2" t="s">
        <v>485</v>
      </c>
      <c r="CK210" s="13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8">
        <f>SUM(Calculators!C89:C93)</f>
        <v>203.27980063725872</v>
      </c>
      <c r="CM210" s="19">
        <f>CL210/CL211</f>
        <v>1</v>
      </c>
      <c r="CN210" s="19">
        <f>MW_Coke</f>
        <v>217.63525920401193</v>
      </c>
      <c r="CO210" s="19">
        <f>mol_Coke</f>
        <v>17721.029348224434</v>
      </c>
      <c r="CP210" s="19">
        <f>(NCV_dry_anthrocite*MW_Coke)</f>
        <v>6546468.5968566788</v>
      </c>
      <c r="CQ210" s="170">
        <f>(b_ch_coke*CL210 )/mol_Coke</f>
        <v>361.62056363730647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8">
        <f>CT210+CQ210</f>
        <v>361.62056363730647</v>
      </c>
      <c r="CV210" s="188">
        <f>CU210*CR210</f>
        <v>361.62056363730647</v>
      </c>
      <c r="CW210" s="19">
        <f>CV210*CO211</f>
        <v>6408288.6211381694</v>
      </c>
    </row>
    <row r="211" spans="2:101" ht="16.95" customHeight="1">
      <c r="I211" s="385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90">
        <f>$AP$210/($AC$195+V206+V222+V236)</f>
        <v>0.98839112692609699</v>
      </c>
      <c r="AC211" s="385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85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85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11">
        <f>SUM(CL210)</f>
        <v>203.27980063725872</v>
      </c>
      <c r="CM211" s="18">
        <f>SUM(CM204:CM210)</f>
        <v>1</v>
      </c>
      <c r="CN211" s="18">
        <f>SUM(CN210)</f>
        <v>217.63525920401193</v>
      </c>
      <c r="CO211" s="18">
        <f>SUM(CO204:CO210)</f>
        <v>17721.029348224434</v>
      </c>
      <c r="CP211" s="18">
        <f>SUM(CL210*CP210) / CL211</f>
        <v>6546468.5968566798</v>
      </c>
      <c r="CQ211" s="18"/>
      <c r="CR211" s="18"/>
      <c r="CS211" s="18"/>
      <c r="CT211" s="18"/>
      <c r="CU211" s="18"/>
      <c r="CV211" s="18">
        <f>SUM(CV210)</f>
        <v>361.62056363730647</v>
      </c>
      <c r="CW211" s="18">
        <f>SUM(CW210)</f>
        <v>6408288.6211381694</v>
      </c>
    </row>
    <row r="212" spans="2:101" ht="18" customHeight="1">
      <c r="I212" s="385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85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85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85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>
      <c r="I213" s="385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85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85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85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6.95" customHeight="1">
      <c r="I214" s="385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85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85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85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.05" customHeight="1">
      <c r="I215" s="385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85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85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85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45" customHeight="1">
      <c r="I216" s="385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85" t="s">
        <v>297</v>
      </c>
      <c r="X216" s="21"/>
      <c r="Y216" s="1" t="s">
        <v>477</v>
      </c>
      <c r="Z216" s="1" t="s">
        <v>477</v>
      </c>
      <c r="AA216" s="1" t="s">
        <v>477</v>
      </c>
      <c r="AC216" s="385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85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85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179" t="s">
        <v>1</v>
      </c>
      <c r="CW216" s="178" t="s">
        <v>0</v>
      </c>
    </row>
    <row r="217" spans="2:101" ht="18" customHeight="1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85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4"/>
      <c r="CU217" s="21"/>
      <c r="CV217" s="181" t="s">
        <v>83</v>
      </c>
      <c r="CW217" s="180" t="s">
        <v>87</v>
      </c>
    </row>
    <row r="218" spans="2:101" ht="18" customHeight="1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>
        <f>SUM(M210:M217)</f>
        <v>754.33705407660659</v>
      </c>
      <c r="N218" s="23">
        <f>SUM(N210:N217)</f>
        <v>53587.719182451103</v>
      </c>
      <c r="O218" s="18" cm="1">
        <f t="array" ref="O218">SUM(N210:N217*O210:O217) / N218</f>
        <v>25028853.3010469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85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>
        <f>SUM(AG210:AG217)</f>
        <v>754.33705407660659</v>
      </c>
      <c r="AH218" s="18">
        <f>SUM(AH210:AH217)</f>
        <v>53587.719182451103</v>
      </c>
      <c r="AI218" s="18" cm="1">
        <f t="array" ref="AI218">SUM(AH210:AH217*AI210:AI217) / AH218</f>
        <v>25028853.3010469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>
        <f>SUM(AZ210:AZ217)</f>
        <v>754.33705407660659</v>
      </c>
      <c r="BA218" s="18">
        <f>SUM(BA210:BA217)</f>
        <v>53587.719182451103</v>
      </c>
      <c r="BB218" s="18" cm="1">
        <f t="array" ref="BB218">SUM(BA210:BA217*BB210:BB217) / BA218</f>
        <v>25028853.3010469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>
        <f>SUM(BS210:BS217)</f>
        <v>754.33705407660659</v>
      </c>
      <c r="BT218" s="18">
        <f>SUM(BT210:BT217)</f>
        <v>53587.719182451103</v>
      </c>
      <c r="BU218" s="18" cm="1">
        <f t="array" ref="BU218">SUM(BT210:BT217*BU210:BU217) / BT218</f>
        <v>25028853.3010469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4"/>
      <c r="CR218" s="14" t="s">
        <v>421</v>
      </c>
      <c r="CU218" s="21"/>
      <c r="CV218" s="177">
        <f>CL229</f>
        <v>25.253201846716312</v>
      </c>
      <c r="CW218" s="175">
        <f>CW229</f>
        <v>8991.620323109395</v>
      </c>
    </row>
    <row r="219" spans="2:101" ht="21" customHeight="1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85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4"/>
      <c r="CU219" s="21"/>
      <c r="CV219" s="21"/>
    </row>
    <row r="220" spans="2:101" ht="18" customHeight="1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179" t="s">
        <v>1</v>
      </c>
      <c r="V220" s="178" t="s">
        <v>0</v>
      </c>
      <c r="W220" s="385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4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6.95" customHeight="1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181" t="s">
        <v>83</v>
      </c>
      <c r="V221" s="180" t="s">
        <v>87</v>
      </c>
      <c r="W221" s="385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4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6.95" customHeight="1">
      <c r="B222" s="377" t="s">
        <v>386</v>
      </c>
      <c r="C222" s="377"/>
      <c r="D222" s="377"/>
      <c r="E222" s="377"/>
      <c r="F222" s="377"/>
      <c r="G222" s="377"/>
      <c r="H222" s="377"/>
      <c r="J222" s="21"/>
      <c r="K222" s="21"/>
      <c r="L222" s="21"/>
      <c r="M222" s="21"/>
      <c r="N222" s="21"/>
      <c r="O222" s="21"/>
      <c r="P222" s="21"/>
      <c r="Q222" s="134" t="s">
        <v>466</v>
      </c>
      <c r="R222" s="21"/>
      <c r="S222" s="21"/>
      <c r="T222" s="21"/>
      <c r="U222" s="177">
        <f>L227</f>
        <v>0.51237375403207552</v>
      </c>
      <c r="V222" s="175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85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>
      <c r="B223" s="390"/>
      <c r="C223" s="390"/>
      <c r="D223" s="390"/>
      <c r="E223" s="390"/>
      <c r="F223" s="390"/>
      <c r="G223" s="390"/>
      <c r="H223" s="390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AW223" t="s">
        <v>792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BQ223" t="s">
        <v>793</v>
      </c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85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.05" customHeight="1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85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O225" s="179" t="s">
        <v>1</v>
      </c>
      <c r="AP225" s="178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AW225" s="307" t="s">
        <v>782</v>
      </c>
      <c r="AX225" s="307" t="s">
        <v>265</v>
      </c>
      <c r="AY225" s="308" t="s">
        <v>250</v>
      </c>
      <c r="AZ225" s="308" t="s">
        <v>783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BP225" s="307" t="s">
        <v>782</v>
      </c>
      <c r="BQ225" s="307" t="s">
        <v>265</v>
      </c>
      <c r="BR225" s="308" t="s">
        <v>250</v>
      </c>
      <c r="BS225" s="308" t="s">
        <v>783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85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8" t="s">
        <v>466</v>
      </c>
      <c r="J226" s="188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O226" s="181" t="s">
        <v>83</v>
      </c>
      <c r="AP226" s="180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AW226" s="307" t="s">
        <v>47</v>
      </c>
      <c r="AX226" s="307" t="s">
        <v>62</v>
      </c>
      <c r="AY226" s="307" t="s">
        <v>91</v>
      </c>
      <c r="AZ226" s="307" t="s">
        <v>47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BP226" s="307" t="s">
        <v>47</v>
      </c>
      <c r="BQ226" s="307" t="s">
        <v>62</v>
      </c>
      <c r="BR226" s="307" t="s">
        <v>91</v>
      </c>
      <c r="BS226" s="307" t="s">
        <v>47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85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384" t="s">
        <v>347</v>
      </c>
      <c r="CZ226" s="384"/>
      <c r="DA226" s="384"/>
      <c r="DB226" s="384"/>
      <c r="DC226" s="384"/>
      <c r="DD226" s="384"/>
    </row>
    <row r="227" spans="2:169" ht="19.05" customHeight="1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77">
        <f>AE234</f>
        <v>7.9771214256715108</v>
      </c>
      <c r="AP227" s="175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AW227" s="309">
        <f>AS190</f>
        <v>282.1287710315147</v>
      </c>
      <c r="AX227" s="309">
        <f>T_0</f>
        <v>298</v>
      </c>
      <c r="AY227" s="309">
        <f>1-(T_0/AX227)</f>
        <v>0</v>
      </c>
      <c r="AZ227" s="309">
        <f>AW227</f>
        <v>282.1287710315147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309">
        <f>BK195</f>
        <v>50.358084153937838</v>
      </c>
      <c r="BQ227" s="309">
        <f>T_0</f>
        <v>298</v>
      </c>
      <c r="BR227" s="309">
        <f>1-(T_0/BQ227)</f>
        <v>0</v>
      </c>
      <c r="BS227" s="309">
        <f>BP227</f>
        <v>50.358084153937838</v>
      </c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85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2.95" customHeight="1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85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.05" customHeight="1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>
        <f>SUM(CN222:CN228)</f>
        <v>0.57429051399999997</v>
      </c>
      <c r="CO229" s="18">
        <f>SUM(CO222:CO228)</f>
        <v>331.64065710187856</v>
      </c>
      <c r="CP229" s="18" cm="1">
        <f t="array" ref="CP229">SUM(CO222:CO228*CP222:CP228) / CO229</f>
        <v>-1029.2848669218351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.05" customHeight="1">
      <c r="AD230" s="21" t="s">
        <v>40</v>
      </c>
      <c r="AE230" s="1" t="s">
        <v>82</v>
      </c>
      <c r="AF230" s="21" t="s">
        <v>213</v>
      </c>
      <c r="AG230" s="139" t="s">
        <v>84</v>
      </c>
      <c r="AH230" s="139" t="s">
        <v>80</v>
      </c>
      <c r="AI230" s="1" t="s">
        <v>89</v>
      </c>
      <c r="AJ230" s="139" t="s">
        <v>89</v>
      </c>
      <c r="AK230" s="139" t="s">
        <v>24</v>
      </c>
      <c r="AL230" s="139" t="s">
        <v>91</v>
      </c>
      <c r="AM230" s="139" t="s">
        <v>89</v>
      </c>
      <c r="AN230" s="139" t="s">
        <v>89</v>
      </c>
      <c r="AO230" s="139" t="s">
        <v>88</v>
      </c>
      <c r="AP230" s="139" t="s">
        <v>86</v>
      </c>
      <c r="CA230" s="179" t="s">
        <v>1</v>
      </c>
      <c r="CB230" s="178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>
      <c r="AC231" s="372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1" t="s">
        <v>83</v>
      </c>
      <c r="CB231" s="180" t="s">
        <v>87</v>
      </c>
      <c r="DP231" s="179" t="s">
        <v>1</v>
      </c>
      <c r="DQ231" s="178" t="s">
        <v>0</v>
      </c>
      <c r="EK231" s="179" t="s">
        <v>1</v>
      </c>
      <c r="EL231" s="178" t="s">
        <v>0</v>
      </c>
      <c r="FF231" s="179" t="s">
        <v>1</v>
      </c>
      <c r="FG231" s="178" t="s">
        <v>0</v>
      </c>
    </row>
    <row r="232" spans="2:169" ht="18" customHeight="1">
      <c r="AC232" s="372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CA232" s="177">
        <f>BQ238</f>
        <v>3494.7460959815226</v>
      </c>
      <c r="CB232" s="175">
        <f>CB238</f>
        <v>14491.84871754296</v>
      </c>
      <c r="CV232" s="179" t="s">
        <v>1</v>
      </c>
      <c r="CW232" s="178" t="s">
        <v>0</v>
      </c>
      <c r="DP232" s="181" t="s">
        <v>83</v>
      </c>
      <c r="DQ232" s="180" t="s">
        <v>87</v>
      </c>
      <c r="EK232" s="181" t="s">
        <v>83</v>
      </c>
      <c r="EL232" s="180" t="s">
        <v>87</v>
      </c>
      <c r="FF232" s="181" t="s">
        <v>83</v>
      </c>
      <c r="FG232" s="180" t="s">
        <v>87</v>
      </c>
    </row>
    <row r="233" spans="2:169" ht="16.05" customHeight="1">
      <c r="AC233" s="372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3"/>
      <c r="CV233" s="181" t="s">
        <v>83</v>
      </c>
      <c r="CW233" s="180" t="s">
        <v>87</v>
      </c>
      <c r="CY233" s="373" t="s">
        <v>514</v>
      </c>
      <c r="CZ233" s="373"/>
      <c r="DA233" s="373"/>
      <c r="DB233" s="373"/>
      <c r="DC233" s="373"/>
      <c r="DL233" s="14" t="s">
        <v>515</v>
      </c>
      <c r="DP233" s="177">
        <f>DF241</f>
        <v>46.099804713468714</v>
      </c>
      <c r="DQ233" s="175">
        <f>DQ241</f>
        <v>4043367.3234254471</v>
      </c>
      <c r="DS233" s="373" t="s">
        <v>516</v>
      </c>
      <c r="DT233" s="373"/>
      <c r="DU233" s="373"/>
      <c r="DV233" s="373"/>
      <c r="DW233" s="373"/>
      <c r="EG233" s="14" t="s">
        <v>517</v>
      </c>
      <c r="EK233" s="177">
        <f>EA241</f>
        <v>46.099804713468714</v>
      </c>
      <c r="EL233" s="175">
        <f>EL241</f>
        <v>4043367.3234254471</v>
      </c>
      <c r="FA233" s="14" t="s">
        <v>517</v>
      </c>
      <c r="FF233" s="177">
        <f>EV241</f>
        <v>13.829941414040613</v>
      </c>
      <c r="FG233" s="175">
        <f>FG241</f>
        <v>1213010.1970276341</v>
      </c>
      <c r="FI233" s="382" t="s">
        <v>331</v>
      </c>
      <c r="FJ233" s="383"/>
      <c r="FK233" s="383"/>
      <c r="FL233" s="383"/>
      <c r="FM233" s="383"/>
    </row>
    <row r="234" spans="2:169" ht="18" customHeight="1">
      <c r="U234" s="179" t="s">
        <v>1</v>
      </c>
      <c r="V234" s="178" t="s">
        <v>0</v>
      </c>
      <c r="AC234" s="372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>
        <f>SUM(AG231:AG233)</f>
        <v>9.0038560000000004E-2</v>
      </c>
      <c r="AH234" s="40">
        <f>SUM(AH231:AH233)</f>
        <v>276.34529226348837</v>
      </c>
      <c r="AI234" s="18" cm="1">
        <f t="array" ref="AI234">SUM(AH231:AH233*AI231:AI233) / AH234</f>
        <v>-83.141622340425542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77" t="s">
        <v>414</v>
      </c>
      <c r="BL234" s="377"/>
      <c r="BM234" s="377"/>
      <c r="BN234" s="377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3"/>
      <c r="CR234" s="14" t="s">
        <v>422</v>
      </c>
      <c r="CV234" s="177">
        <f>CL243</f>
        <v>46.0998047134687</v>
      </c>
      <c r="CW234" s="175">
        <f>CW243</f>
        <v>4026178.1360752485</v>
      </c>
      <c r="CY234" s="373"/>
      <c r="CZ234" s="373"/>
      <c r="DA234" s="373"/>
      <c r="DB234" s="373"/>
      <c r="DC234" s="373"/>
      <c r="DS234" s="373"/>
      <c r="DT234" s="373"/>
      <c r="DU234" s="373"/>
      <c r="DV234" s="373"/>
      <c r="DW234" s="373"/>
      <c r="FI234" s="383"/>
      <c r="FJ234" s="383"/>
      <c r="FK234" s="383"/>
      <c r="FL234" s="383"/>
      <c r="FM234" s="383"/>
    </row>
    <row r="235" spans="2:169" ht="18" customHeight="1">
      <c r="U235" s="181" t="s">
        <v>83</v>
      </c>
      <c r="V235" s="180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77"/>
      <c r="BL235" s="377"/>
      <c r="BM235" s="377"/>
      <c r="BN235" s="377"/>
      <c r="BP235" s="21" t="s">
        <v>40</v>
      </c>
      <c r="BQ235" s="1" t="s">
        <v>82</v>
      </c>
      <c r="BR235" s="21" t="s">
        <v>213</v>
      </c>
      <c r="BS235" s="139" t="s">
        <v>84</v>
      </c>
      <c r="BT235" s="139" t="s">
        <v>80</v>
      </c>
      <c r="BU235" s="1" t="s">
        <v>89</v>
      </c>
      <c r="BV235" s="139" t="s">
        <v>89</v>
      </c>
      <c r="BW235" s="139" t="s">
        <v>24</v>
      </c>
      <c r="BX235" s="139" t="s">
        <v>91</v>
      </c>
      <c r="BY235" s="139" t="s">
        <v>89</v>
      </c>
      <c r="BZ235" s="139" t="s">
        <v>89</v>
      </c>
      <c r="CA235" s="139" t="s">
        <v>88</v>
      </c>
      <c r="CB235" s="139" t="s">
        <v>86</v>
      </c>
      <c r="CJ235" s="163"/>
      <c r="CY235" s="133" t="s">
        <v>339</v>
      </c>
      <c r="CZ235" s="133" t="s">
        <v>379</v>
      </c>
      <c r="DA235" s="17" t="s">
        <v>264</v>
      </c>
      <c r="DB235" s="387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3" t="s">
        <v>339</v>
      </c>
      <c r="DT235" s="133" t="s">
        <v>379</v>
      </c>
      <c r="DU235" s="17" t="s">
        <v>264</v>
      </c>
      <c r="DV235" s="387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83"/>
      <c r="FJ235" s="383"/>
      <c r="FK235" s="383"/>
      <c r="FL235" s="383"/>
      <c r="FM235" s="383"/>
    </row>
    <row r="236" spans="2:169" ht="22.05" customHeight="1">
      <c r="Q236" s="14" t="s">
        <v>432</v>
      </c>
      <c r="U236" s="177">
        <f>K242</f>
        <v>7.4647476716394348</v>
      </c>
      <c r="V236" s="175">
        <f>V242</f>
        <v>30.954464502133519</v>
      </c>
      <c r="BO236" s="385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4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3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7" t="s">
        <v>47</v>
      </c>
      <c r="CZ236" s="194" t="s">
        <v>47</v>
      </c>
      <c r="DA236" s="1" t="s">
        <v>83</v>
      </c>
      <c r="DB236" s="388"/>
      <c r="DC236" s="96" t="s">
        <v>77</v>
      </c>
      <c r="DE236" s="21" t="s">
        <v>40</v>
      </c>
      <c r="DF236" s="1" t="s">
        <v>82</v>
      </c>
      <c r="DG236" s="21" t="s">
        <v>213</v>
      </c>
      <c r="DH236" s="139" t="s">
        <v>84</v>
      </c>
      <c r="DI236" s="139" t="s">
        <v>80</v>
      </c>
      <c r="DJ236" s="1" t="s">
        <v>89</v>
      </c>
      <c r="DK236" s="139" t="s">
        <v>89</v>
      </c>
      <c r="DL236" s="139" t="s">
        <v>24</v>
      </c>
      <c r="DM236" s="139" t="s">
        <v>91</v>
      </c>
      <c r="DN236" s="139" t="s">
        <v>89</v>
      </c>
      <c r="DO236" s="139" t="s">
        <v>89</v>
      </c>
      <c r="DP236" s="139" t="s">
        <v>88</v>
      </c>
      <c r="DQ236" s="139" t="s">
        <v>86</v>
      </c>
      <c r="DS236" s="137" t="s">
        <v>47</v>
      </c>
      <c r="DT236" s="194" t="s">
        <v>47</v>
      </c>
      <c r="DU236" s="1" t="s">
        <v>83</v>
      </c>
      <c r="DV236" s="388"/>
      <c r="DW236" s="96" t="s">
        <v>77</v>
      </c>
      <c r="DZ236" s="21" t="s">
        <v>40</v>
      </c>
      <c r="EA236" s="1" t="s">
        <v>82</v>
      </c>
      <c r="EB236" s="21" t="s">
        <v>213</v>
      </c>
      <c r="EC236" s="139" t="s">
        <v>84</v>
      </c>
      <c r="ED236" s="139" t="s">
        <v>80</v>
      </c>
      <c r="EE236" s="1" t="s">
        <v>89</v>
      </c>
      <c r="EF236" s="139" t="s">
        <v>89</v>
      </c>
      <c r="EG236" s="139" t="s">
        <v>24</v>
      </c>
      <c r="EH236" s="139" t="s">
        <v>91</v>
      </c>
      <c r="EI236" s="139" t="s">
        <v>89</v>
      </c>
      <c r="EJ236" s="139" t="s">
        <v>89</v>
      </c>
      <c r="EK236" s="139" t="s">
        <v>88</v>
      </c>
      <c r="EL236" s="139" t="s">
        <v>86</v>
      </c>
      <c r="EU236" s="21" t="s">
        <v>40</v>
      </c>
      <c r="EV236" s="1" t="s">
        <v>82</v>
      </c>
      <c r="EW236" s="21" t="s">
        <v>213</v>
      </c>
      <c r="EX236" s="139" t="s">
        <v>84</v>
      </c>
      <c r="EY236" s="139" t="s">
        <v>80</v>
      </c>
      <c r="EZ236" s="1" t="s">
        <v>89</v>
      </c>
      <c r="FA236" s="139" t="s">
        <v>89</v>
      </c>
      <c r="FB236" s="139" t="s">
        <v>24</v>
      </c>
      <c r="FC236" s="139" t="s">
        <v>91</v>
      </c>
      <c r="FD236" s="139" t="s">
        <v>89</v>
      </c>
      <c r="FE236" s="139" t="s">
        <v>89</v>
      </c>
      <c r="FF236" s="139" t="s">
        <v>88</v>
      </c>
      <c r="FG236" s="139" t="s">
        <v>86</v>
      </c>
    </row>
    <row r="237" spans="2:169" ht="18" customHeight="1">
      <c r="BO237" s="385"/>
      <c r="BP237" s="159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9">
        <f>LN(BW237)</f>
        <v>-0.23582871084152554</v>
      </c>
      <c r="BY237" s="139">
        <f>RT0*BX237</f>
        <v>-0.58428261077706012</v>
      </c>
      <c r="BZ237" s="139">
        <f>BV237+BY237</f>
        <v>0.11571738922293984</v>
      </c>
      <c r="CA237" s="139">
        <f>BZ237*BW237</f>
        <v>9.1407013335767603E-2</v>
      </c>
      <c r="CB237" s="139">
        <f>BT238*CA237</f>
        <v>11072.31185274499</v>
      </c>
      <c r="CJ237" s="163"/>
      <c r="CK237" s="21" t="s">
        <v>40</v>
      </c>
      <c r="CL237" s="1" t="s">
        <v>82</v>
      </c>
      <c r="CM237" s="21" t="s">
        <v>213</v>
      </c>
      <c r="CN237" s="139" t="s">
        <v>84</v>
      </c>
      <c r="CO237" s="139" t="s">
        <v>80</v>
      </c>
      <c r="CP237" s="1" t="s">
        <v>89</v>
      </c>
      <c r="CQ237" s="139" t="s">
        <v>89</v>
      </c>
      <c r="CR237" s="139" t="s">
        <v>24</v>
      </c>
      <c r="CS237" s="139" t="s">
        <v>91</v>
      </c>
      <c r="CT237" s="139" t="s">
        <v>89</v>
      </c>
      <c r="CU237" s="139" t="s">
        <v>89</v>
      </c>
      <c r="CV237" s="139" t="s">
        <v>88</v>
      </c>
      <c r="CW237" s="139" t="s">
        <v>86</v>
      </c>
      <c r="CY237" s="196">
        <f>0</f>
        <v>0</v>
      </c>
      <c r="CZ237" s="190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80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6">
        <f>0</f>
        <v>0</v>
      </c>
      <c r="DT237" s="190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80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381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2.95" customHeight="1">
      <c r="E238" s="377" t="s">
        <v>414</v>
      </c>
      <c r="F238" s="377"/>
      <c r="G238" s="377"/>
      <c r="H238" s="377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AE238" t="s">
        <v>789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>
        <f>SUM(BS236:BS237)</f>
        <v>6.0012280000000001E-2</v>
      </c>
      <c r="BT238" s="14">
        <f>SUM(BT236:BT237)</f>
        <v>121131.97279592538</v>
      </c>
      <c r="BU238" s="144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72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80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80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381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>
      <c r="E239" s="377"/>
      <c r="F239" s="377"/>
      <c r="G239" s="377"/>
      <c r="H239" s="377"/>
      <c r="J239" s="21" t="s">
        <v>40</v>
      </c>
      <c r="K239" s="1" t="s">
        <v>82</v>
      </c>
      <c r="L239" s="21" t="s">
        <v>213</v>
      </c>
      <c r="M239" s="139" t="s">
        <v>84</v>
      </c>
      <c r="N239" s="139" t="s">
        <v>80</v>
      </c>
      <c r="O239" s="1" t="s">
        <v>89</v>
      </c>
      <c r="P239" s="139" t="s">
        <v>89</v>
      </c>
      <c r="Q239" s="139" t="s">
        <v>24</v>
      </c>
      <c r="R239" s="139" t="s">
        <v>91</v>
      </c>
      <c r="S239" s="139" t="s">
        <v>89</v>
      </c>
      <c r="T239" s="139" t="s">
        <v>89</v>
      </c>
      <c r="U239" s="139" t="s">
        <v>88</v>
      </c>
      <c r="V239" s="139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72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80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80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81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>
      <c r="I240" s="372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AD240" s="307" t="s">
        <v>782</v>
      </c>
      <c r="AE240" s="307" t="s">
        <v>265</v>
      </c>
      <c r="AF240" s="308" t="s">
        <v>250</v>
      </c>
      <c r="AG240" s="308" t="s">
        <v>783</v>
      </c>
      <c r="CJ240" s="372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80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80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381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.05" customHeight="1">
      <c r="I241" s="372"/>
      <c r="J241" s="159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9">
        <f>LN(Q241)</f>
        <v>-0.23582871084152554</v>
      </c>
      <c r="S241" s="139">
        <f>RT0*R241</f>
        <v>-0.58428261077706012</v>
      </c>
      <c r="T241" s="139">
        <f>P241+S241</f>
        <v>0.11571738922293984</v>
      </c>
      <c r="U241" s="139">
        <f>T241*Q241</f>
        <v>9.1407013335767603E-2</v>
      </c>
      <c r="V241" s="139">
        <f>N242*U241</f>
        <v>23.650363102911061</v>
      </c>
      <c r="AD241" s="307" t="s">
        <v>47</v>
      </c>
      <c r="AE241" s="307" t="s">
        <v>62</v>
      </c>
      <c r="AF241" s="307" t="s">
        <v>91</v>
      </c>
      <c r="AG241" s="307" t="s">
        <v>47</v>
      </c>
      <c r="CJ241" s="372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>
        <f>SUM(DH237:DH240)</f>
        <v>8.4139320000000004E-2</v>
      </c>
      <c r="DI241" s="18">
        <f>SUM(DI237:DI240)</f>
        <v>14878.469067124899</v>
      </c>
      <c r="DJ241" s="18" cm="1">
        <f t="array" ref="DJ241">SUM(DI237:DI240*DJ237:DJ240) / DI241</f>
        <v>-4.5562340979421263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>
        <f>SUM(EC237:EC240)</f>
        <v>8.4139320000000004E-2</v>
      </c>
      <c r="ED241" s="18">
        <f>SUM(ED237:ED240)</f>
        <v>14878.469067124899</v>
      </c>
      <c r="EE241" s="18" cm="1">
        <f t="array" ref="EE241">SUM(ED237:ED240*EE237:EE240) / ED241</f>
        <v>-4.5562340979421263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/>
      <c r="EY241" s="18">
        <f>SUM(EY237:EY240)</f>
        <v>4463.5407201374701</v>
      </c>
      <c r="EZ241" s="18" cm="1">
        <f t="array" ref="EZ241">SUM(EY237:EY240*EZ237:EZ240) / EY241</f>
        <v>-4.5562340979421254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>
        <f>SUM(M240:M241)</f>
        <v>6.0012280000000001E-2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AD242" s="309">
        <f>'MCC_hM_RUVY_matrices_mat_level '!L147</f>
        <v>109809.56750689819</v>
      </c>
      <c r="AE242" s="309">
        <f>T_0</f>
        <v>298</v>
      </c>
      <c r="AF242" s="309">
        <f>1-(T_0/AE242)</f>
        <v>0</v>
      </c>
      <c r="AG242" s="309">
        <f>AD242</f>
        <v>109809.56750689819</v>
      </c>
      <c r="CA242" s="179" t="s">
        <v>1</v>
      </c>
      <c r="CB242" s="178" t="s">
        <v>0</v>
      </c>
      <c r="CJ242" s="372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CA243" s="181" t="s">
        <v>83</v>
      </c>
      <c r="CB243" s="180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>
        <f>SUM(CN238:CN242)</f>
        <v>0.12416072</v>
      </c>
      <c r="CO243" s="18">
        <f>SUM(CO238:CO242)</f>
        <v>15047.841801119668</v>
      </c>
      <c r="CP243" s="18" cm="1">
        <f t="array" ref="CP243">SUM(CO238:CO242*CP238:CP242) / CO243</f>
        <v>-5.2876555731943364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>
      <c r="BW244" s="14" t="s">
        <v>377</v>
      </c>
      <c r="CA244" s="177">
        <f>BR249</f>
        <v>204.127223518021</v>
      </c>
      <c r="CB244" s="175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>
      <c r="BI246" s="167"/>
      <c r="BJ246" s="167"/>
      <c r="BK246" s="377" t="s">
        <v>376</v>
      </c>
      <c r="BL246" s="377"/>
      <c r="BM246" s="377"/>
      <c r="BN246" s="377"/>
      <c r="BO246" s="167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DF246" t="s">
        <v>790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>
      <c r="D247" s="3" t="s">
        <v>173</v>
      </c>
      <c r="E247" s="14" t="s">
        <v>140</v>
      </c>
      <c r="F247" s="14" t="s">
        <v>172</v>
      </c>
      <c r="G247" s="14" t="s">
        <v>174</v>
      </c>
      <c r="BI247" s="167"/>
      <c r="BJ247" s="167"/>
      <c r="BK247" s="377"/>
      <c r="BL247" s="377"/>
      <c r="BM247" s="377"/>
      <c r="BN247" s="377"/>
      <c r="BO247" s="167"/>
      <c r="BP247" s="1"/>
      <c r="BQ247" s="14" t="s">
        <v>453</v>
      </c>
      <c r="BR247" s="1" t="s">
        <v>82</v>
      </c>
      <c r="BS247" s="1" t="s">
        <v>84</v>
      </c>
      <c r="BT247" s="139" t="s">
        <v>80</v>
      </c>
      <c r="BU247" s="1" t="s">
        <v>89</v>
      </c>
      <c r="BV247" s="139" t="s">
        <v>89</v>
      </c>
      <c r="BW247" s="139" t="s">
        <v>24</v>
      </c>
      <c r="BX247" s="1" t="s">
        <v>91</v>
      </c>
      <c r="BY247" s="139" t="s">
        <v>89</v>
      </c>
      <c r="BZ247" s="139" t="s">
        <v>89</v>
      </c>
      <c r="CA247" s="139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>
      <c r="BI248" s="21"/>
      <c r="BN248" s="14"/>
      <c r="BP248" s="19" t="s">
        <v>64</v>
      </c>
      <c r="BQ248" s="19">
        <f>LHV_CH4*BR248</f>
        <v>10206361.17590105</v>
      </c>
      <c r="BR248" s="172">
        <f>Calculators!G77</f>
        <v>204.127223518021</v>
      </c>
      <c r="BS248" s="161">
        <f t="array" ref="BS248">MW_CH4</f>
        <v>1.604276E-2</v>
      </c>
      <c r="BT248" s="161">
        <f>BR248/BS248</f>
        <v>12723.946722261069</v>
      </c>
      <c r="BU248" s="161">
        <f>h_CH4</f>
        <v>-74.599999999999994</v>
      </c>
      <c r="BV248" s="172">
        <f>b_ch_CH4</f>
        <v>831.8</v>
      </c>
      <c r="BW248" s="161">
        <f>BT248/BT248</f>
        <v>1</v>
      </c>
      <c r="BX248" s="172">
        <f>LN(BW248)</f>
        <v>0</v>
      </c>
      <c r="BY248" s="172">
        <f>RT0*BX248</f>
        <v>0</v>
      </c>
      <c r="BZ248" s="172">
        <f>BV248+BY248</f>
        <v>831.8</v>
      </c>
      <c r="CA248" s="172">
        <f>BZ248*BW248</f>
        <v>831.8</v>
      </c>
      <c r="CB248" s="172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DE248" s="307" t="s">
        <v>782</v>
      </c>
      <c r="DF248" s="307" t="s">
        <v>265</v>
      </c>
      <c r="DG248" s="308" t="s">
        <v>250</v>
      </c>
      <c r="DH248" s="308" t="s">
        <v>783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.05" customHeight="1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79" t="s">
        <v>1</v>
      </c>
      <c r="CW249" s="178" t="s">
        <v>0</v>
      </c>
      <c r="DE249" s="307" t="s">
        <v>47</v>
      </c>
      <c r="DF249" s="307" t="s">
        <v>62</v>
      </c>
      <c r="DG249" s="307" t="s">
        <v>91</v>
      </c>
      <c r="DH249" s="307" t="s">
        <v>47</v>
      </c>
    </row>
    <row r="250" spans="4:163" ht="18" customHeight="1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3"/>
      <c r="CV250" s="181" t="s">
        <v>83</v>
      </c>
      <c r="CW250" s="180" t="s">
        <v>87</v>
      </c>
      <c r="DE250" s="309">
        <f>DB229</f>
        <v>33191.859393697465</v>
      </c>
      <c r="DF250" s="309">
        <v>2373.15</v>
      </c>
      <c r="DG250" s="309">
        <f>1-(T_0/DF250)</f>
        <v>0.87442850220171509</v>
      </c>
      <c r="DH250" s="309">
        <f>DE250*DG250</f>
        <v>29023.907894920801</v>
      </c>
    </row>
    <row r="251" spans="4:163" ht="16.05" customHeight="1">
      <c r="CJ251" s="163"/>
      <c r="CR251" s="14" t="s">
        <v>423</v>
      </c>
      <c r="CV251" s="177">
        <f>CL258</f>
        <v>3698.8733194995434</v>
      </c>
      <c r="CW251" s="175">
        <f>CW258</f>
        <v>303788.26554911444</v>
      </c>
      <c r="DF251" t="s">
        <v>791</v>
      </c>
    </row>
    <row r="252" spans="4:163" ht="22.05" customHeight="1"/>
    <row r="253" spans="4:163" ht="13.95" customHeight="1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19.95" customHeight="1">
      <c r="CK254" s="21" t="s">
        <v>40</v>
      </c>
      <c r="CL254" s="1" t="s">
        <v>82</v>
      </c>
      <c r="CM254" s="21" t="s">
        <v>213</v>
      </c>
      <c r="CN254" s="139" t="s">
        <v>84</v>
      </c>
      <c r="CO254" s="139" t="s">
        <v>80</v>
      </c>
      <c r="CP254" s="1" t="s">
        <v>89</v>
      </c>
      <c r="CQ254" s="139" t="s">
        <v>89</v>
      </c>
      <c r="CR254" s="139" t="s">
        <v>24</v>
      </c>
      <c r="CS254" s="139" t="s">
        <v>91</v>
      </c>
      <c r="CT254" s="139" t="s">
        <v>89</v>
      </c>
      <c r="CU254" s="139" t="s">
        <v>89</v>
      </c>
      <c r="CV254" s="139" t="s">
        <v>88</v>
      </c>
      <c r="CW254" s="139" t="s">
        <v>86</v>
      </c>
    </row>
    <row r="255" spans="4:163" ht="22.05" customHeight="1">
      <c r="CJ255" s="372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>
      <c r="CJ256" s="372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>
      <c r="AZ257" s="3"/>
      <c r="CJ257" s="372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>
        <f>SUM(CN255:CN257)</f>
        <v>9.0038560000000004E-2</v>
      </c>
      <c r="CO258" s="18">
        <f>SUM(CO255:CO257)</f>
        <v>133855.91951818645</v>
      </c>
      <c r="CP258" s="18" cm="1">
        <f t="array" ref="CP258">SUM(CO255:CO257*CP255:CP257) / CO258</f>
        <v>-83.374524714828908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.05" customHeight="1"/>
    <row r="264" spans="52:101" ht="16.05" customHeight="1"/>
    <row r="265" spans="52:101">
      <c r="CV265" s="179" t="s">
        <v>1</v>
      </c>
      <c r="CW265" s="178" t="s">
        <v>0</v>
      </c>
    </row>
    <row r="266" spans="52:101" ht="18" customHeight="1">
      <c r="CV266" s="181" t="s">
        <v>83</v>
      </c>
      <c r="CW266" s="180" t="s">
        <v>87</v>
      </c>
    </row>
    <row r="267" spans="52:101" ht="16.05" customHeight="1">
      <c r="CR267" s="14" t="s">
        <v>552</v>
      </c>
      <c r="CV267" s="177">
        <f>CL282</f>
        <v>23.982067525572877</v>
      </c>
      <c r="CW267" s="175">
        <f>CW282</f>
        <v>955411.7785075705</v>
      </c>
    </row>
    <row r="268" spans="52:101" ht="18" customHeight="1"/>
    <row r="269" spans="52:101" ht="18" customHeight="1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>
      <c r="CJ271" s="385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6.95" customHeight="1">
      <c r="CJ272" s="385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6.95" customHeight="1">
      <c r="CJ273" s="385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6.95" customHeight="1">
      <c r="CJ274" s="385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6.95" customHeight="1">
      <c r="CJ275" s="385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6.95" customHeight="1">
      <c r="CJ276" s="385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6.95" customHeight="1">
      <c r="CJ277" s="385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>
      <c r="CJ278" s="385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6.95" customHeight="1">
      <c r="CJ279" s="385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>
      <c r="CJ280" s="385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>
      <c r="CJ281" s="385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>
        <f>SUM(CN271:CN281)</f>
        <v>1.445899</v>
      </c>
      <c r="CO282" s="18">
        <f>SUM(CO271:CO281)</f>
        <v>1564.0598993292413</v>
      </c>
      <c r="CP282" s="18" cm="1">
        <f t="array" ref="CP282">SUM(CO271:CO281*CP271:CP281) / CO282</f>
        <v>-16.063792643147199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>
      <c r="CM289" t="s">
        <v>785</v>
      </c>
    </row>
    <row r="291" spans="90:93">
      <c r="CL291" s="307" t="s">
        <v>782</v>
      </c>
      <c r="CM291" s="307" t="s">
        <v>265</v>
      </c>
      <c r="CN291" s="308" t="s">
        <v>250</v>
      </c>
      <c r="CO291" s="308" t="s">
        <v>783</v>
      </c>
    </row>
    <row r="292" spans="90:93">
      <c r="CL292" s="307" t="s">
        <v>47</v>
      </c>
      <c r="CM292" s="307" t="s">
        <v>62</v>
      </c>
      <c r="CN292" s="307" t="s">
        <v>91</v>
      </c>
      <c r="CO292" s="307" t="s">
        <v>47</v>
      </c>
    </row>
    <row r="293" spans="90:93">
      <c r="CL293" s="309">
        <f>'MCC_hM_RUVY_matrices_mat_level '!L155</f>
        <v>6316757.3117407952</v>
      </c>
      <c r="CM293" s="309">
        <v>1573.15</v>
      </c>
      <c r="CN293" s="309">
        <f>1-(T_0/CM293)</f>
        <v>0.81057114706162792</v>
      </c>
      <c r="CO293" s="309">
        <f>CL293*CN293</f>
        <v>5120181.2198876617</v>
      </c>
    </row>
    <row r="294" spans="90:93">
      <c r="CL294" s="310" t="s">
        <v>786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</hyperlinks>
  <pageMargins left="0.7" right="0.7" top="0.75" bottom="0.75" header="0.3" footer="0.3"/>
  <pageSetup scale="10" orientation="landscape" r:id="rId15"/>
  <drawing r:id="rId16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0FE08-B6D4-4CE6-A782-0A436FD3B9EC}">
  <dimension ref="B2:K77"/>
  <sheetViews>
    <sheetView tabSelected="1" topLeftCell="A46" zoomScale="89" workbookViewId="0">
      <selection activeCell="G68" sqref="G68"/>
    </sheetView>
  </sheetViews>
  <sheetFormatPr defaultRowHeight="14.4"/>
  <sheetData>
    <row r="2" spans="2:11">
      <c r="B2" s="14"/>
      <c r="C2" s="358" t="s">
        <v>512</v>
      </c>
      <c r="D2" s="358"/>
      <c r="E2" s="358"/>
      <c r="F2" s="358"/>
      <c r="G2" s="358"/>
      <c r="H2" s="358"/>
      <c r="I2" s="358"/>
      <c r="J2" s="358"/>
      <c r="K2" s="358"/>
    </row>
    <row r="3" spans="2:11">
      <c r="B3" s="14"/>
      <c r="C3" s="14"/>
      <c r="D3" s="14"/>
      <c r="E3" s="14"/>
      <c r="F3" s="14"/>
      <c r="G3" s="14"/>
      <c r="H3" s="14"/>
      <c r="I3" s="14"/>
      <c r="J3" s="14"/>
      <c r="K3" s="14"/>
    </row>
    <row r="4" spans="2:11"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2:11">
      <c r="B5" s="134" t="s">
        <v>333</v>
      </c>
      <c r="C5" s="246" t="e">
        <f t="array" ref="C5:C40">TRANSPOSE(#REF!)</f>
        <v>#REF!</v>
      </c>
      <c r="D5" s="14"/>
      <c r="E5" s="246" t="e">
        <f t="array" ref="E5:E40">TRANSPOSE(#REF!)</f>
        <v>#REF!</v>
      </c>
      <c r="F5" s="14"/>
      <c r="G5" s="246" t="e">
        <f t="shared" ref="G5" si="0">#REF!</f>
        <v>#REF!</v>
      </c>
      <c r="H5" s="14"/>
      <c r="I5" s="246" t="e">
        <f t="array" ref="I5:I40">#REF!</f>
        <v>#REF!</v>
      </c>
      <c r="J5" s="14"/>
      <c r="K5" s="250" t="e">
        <f>C5+E5-G5-I5</f>
        <v>#REF!</v>
      </c>
    </row>
    <row r="6" spans="2:11">
      <c r="B6" s="134" t="s">
        <v>335</v>
      </c>
      <c r="C6" s="246" t="e">
        <v>#REF!</v>
      </c>
      <c r="D6" s="14"/>
      <c r="E6" s="246" t="e">
        <v>#REF!</v>
      </c>
      <c r="F6" s="14"/>
      <c r="G6" s="246" t="e">
        <f t="shared" ref="G6" si="1">#REF!</f>
        <v>#REF!</v>
      </c>
      <c r="H6" s="14"/>
      <c r="I6" s="246" t="e">
        <v>#REF!</v>
      </c>
      <c r="J6" s="14"/>
      <c r="K6" s="250" t="e">
        <f t="shared" ref="K6:K40" si="2">C6+E6-G6-I6</f>
        <v>#REF!</v>
      </c>
    </row>
    <row r="7" spans="2:11">
      <c r="B7" s="134" t="s">
        <v>336</v>
      </c>
      <c r="C7" s="246" t="e">
        <v>#REF!</v>
      </c>
      <c r="D7" s="14"/>
      <c r="E7" s="246" t="e">
        <v>#REF!</v>
      </c>
      <c r="F7" s="14"/>
      <c r="G7" s="246" t="e">
        <f t="shared" ref="G7" si="3">#REF!</f>
        <v>#REF!</v>
      </c>
      <c r="H7" s="14"/>
      <c r="I7" s="246" t="e">
        <v>#REF!</v>
      </c>
      <c r="J7" s="14"/>
      <c r="K7" s="250" t="e">
        <f>C7+E7-G7-I7</f>
        <v>#REF!</v>
      </c>
    </row>
    <row r="8" spans="2:11">
      <c r="B8" s="134" t="s">
        <v>355</v>
      </c>
      <c r="C8" s="246" t="e">
        <v>#REF!</v>
      </c>
      <c r="D8" s="14"/>
      <c r="E8" s="246" t="e">
        <v>#REF!</v>
      </c>
      <c r="F8" s="14"/>
      <c r="G8" s="246" t="e">
        <f t="shared" ref="G8" si="4">#REF!</f>
        <v>#REF!</v>
      </c>
      <c r="H8" s="14"/>
      <c r="I8" s="246" t="e">
        <v>#REF!</v>
      </c>
      <c r="J8" s="14"/>
      <c r="K8" s="250" t="e">
        <f t="shared" si="2"/>
        <v>#REF!</v>
      </c>
    </row>
    <row r="9" spans="2:11">
      <c r="B9" s="134" t="s">
        <v>377</v>
      </c>
      <c r="C9" s="246" t="e">
        <v>#REF!</v>
      </c>
      <c r="D9" s="14"/>
      <c r="E9" s="246" t="e">
        <v>#REF!</v>
      </c>
      <c r="F9" s="14"/>
      <c r="G9" s="246" t="e">
        <f t="shared" ref="G9" si="5">#REF!</f>
        <v>#REF!</v>
      </c>
      <c r="H9" s="14"/>
      <c r="I9" s="246" t="e">
        <v>#REF!</v>
      </c>
      <c r="J9" s="14"/>
      <c r="K9" s="250" t="e">
        <f t="shared" si="2"/>
        <v>#REF!</v>
      </c>
    </row>
    <row r="10" spans="2:11">
      <c r="B10" s="134" t="s">
        <v>407</v>
      </c>
      <c r="C10" s="246" t="e">
        <v>#REF!</v>
      </c>
      <c r="D10" s="14"/>
      <c r="E10" s="246" t="e">
        <v>#REF!</v>
      </c>
      <c r="F10" s="14"/>
      <c r="G10" s="246" t="e">
        <f t="shared" ref="G10" si="6">#REF!</f>
        <v>#REF!</v>
      </c>
      <c r="H10" s="14"/>
      <c r="I10" s="246" t="e">
        <v>#REF!</v>
      </c>
      <c r="J10" s="14"/>
      <c r="K10" s="250" t="e">
        <f>ROUND(C10+E10-G10-I10, 10)</f>
        <v>#REF!</v>
      </c>
    </row>
    <row r="11" spans="2:11">
      <c r="B11" s="134" t="s">
        <v>408</v>
      </c>
      <c r="C11" s="246" t="e">
        <v>#REF!</v>
      </c>
      <c r="D11" s="14"/>
      <c r="E11" s="246" t="e">
        <v>#REF!</v>
      </c>
      <c r="F11" s="14"/>
      <c r="G11" s="246" t="e">
        <f t="shared" ref="G11" si="7">#REF!</f>
        <v>#REF!</v>
      </c>
      <c r="H11" s="14"/>
      <c r="I11" s="246" t="e">
        <v>#REF!</v>
      </c>
      <c r="J11" s="14"/>
      <c r="K11" s="250" t="e">
        <f t="shared" si="2"/>
        <v>#REF!</v>
      </c>
    </row>
    <row r="12" spans="2:11">
      <c r="B12" s="134" t="s">
        <v>411</v>
      </c>
      <c r="C12" s="246" t="e">
        <v>#REF!</v>
      </c>
      <c r="D12" s="14"/>
      <c r="E12" s="246" t="e">
        <v>#REF!</v>
      </c>
      <c r="F12" s="14"/>
      <c r="G12" s="246" t="e">
        <f t="shared" ref="G12" si="8">#REF!</f>
        <v>#REF!</v>
      </c>
      <c r="H12" s="14"/>
      <c r="I12" s="246" t="e">
        <v>#REF!</v>
      </c>
      <c r="J12" s="14"/>
      <c r="K12" s="250" t="e">
        <f t="shared" si="2"/>
        <v>#REF!</v>
      </c>
    </row>
    <row r="13" spans="2:11">
      <c r="B13" s="134" t="s">
        <v>459</v>
      </c>
      <c r="C13" s="246" t="e">
        <v>#REF!</v>
      </c>
      <c r="D13" s="14"/>
      <c r="E13" s="246" t="e">
        <v>#REF!</v>
      </c>
      <c r="F13" s="14"/>
      <c r="G13" s="246" t="e">
        <f t="shared" ref="G13" si="9">#REF!</f>
        <v>#REF!</v>
      </c>
      <c r="H13" s="14"/>
      <c r="I13" s="246" t="e">
        <v>#REF!</v>
      </c>
      <c r="J13" s="14"/>
      <c r="K13" s="250" t="e">
        <f t="shared" si="2"/>
        <v>#REF!</v>
      </c>
    </row>
    <row r="14" spans="2:11" ht="15.6">
      <c r="B14" s="232" t="s">
        <v>442</v>
      </c>
      <c r="C14" s="246" t="e">
        <v>#REF!</v>
      </c>
      <c r="D14" s="14"/>
      <c r="E14" s="246" t="e">
        <v>#REF!</v>
      </c>
      <c r="F14" s="14"/>
      <c r="G14" s="246" t="e">
        <f t="shared" ref="G14" si="10">#REF!</f>
        <v>#REF!</v>
      </c>
      <c r="H14" s="14"/>
      <c r="I14" s="246" t="e">
        <v>#REF!</v>
      </c>
      <c r="J14" s="14"/>
      <c r="K14" s="250" t="e">
        <f t="shared" si="2"/>
        <v>#REF!</v>
      </c>
    </row>
    <row r="15" spans="2:11">
      <c r="B15" s="134" t="s">
        <v>409</v>
      </c>
      <c r="C15" s="246" t="e">
        <v>#REF!</v>
      </c>
      <c r="D15" s="14"/>
      <c r="E15" s="246" t="e">
        <v>#REF!</v>
      </c>
      <c r="F15" s="14"/>
      <c r="G15" s="246" t="e">
        <f t="shared" ref="G15" si="11">#REF!</f>
        <v>#REF!</v>
      </c>
      <c r="H15" s="14"/>
      <c r="I15" s="246" t="e">
        <v>#REF!</v>
      </c>
      <c r="J15" s="14"/>
      <c r="K15" s="250" t="e">
        <f t="shared" si="2"/>
        <v>#REF!</v>
      </c>
    </row>
    <row r="16" spans="2:11" ht="15.6">
      <c r="B16" s="232" t="s">
        <v>412</v>
      </c>
      <c r="C16" s="246" t="e">
        <v>#REF!</v>
      </c>
      <c r="D16" s="14"/>
      <c r="E16" s="246" t="e">
        <v>#REF!</v>
      </c>
      <c r="F16" s="14"/>
      <c r="G16" s="246" t="e">
        <f t="shared" ref="G16" si="12">#REF!</f>
        <v>#REF!</v>
      </c>
      <c r="H16" s="14"/>
      <c r="I16" s="246" t="e">
        <v>#REF!</v>
      </c>
      <c r="J16" s="14"/>
      <c r="K16" s="250" t="e">
        <f t="shared" si="2"/>
        <v>#REF!</v>
      </c>
    </row>
    <row r="17" spans="2:11">
      <c r="B17" s="134" t="s">
        <v>437</v>
      </c>
      <c r="C17" s="246" t="e">
        <v>#REF!</v>
      </c>
      <c r="D17" s="14"/>
      <c r="E17" s="246" t="e">
        <v>#REF!</v>
      </c>
      <c r="F17" s="14"/>
      <c r="G17" s="246" t="e">
        <f t="shared" ref="G17" si="13">#REF!</f>
        <v>#REF!</v>
      </c>
      <c r="H17" s="14"/>
      <c r="I17" s="246" t="e">
        <v>#REF!</v>
      </c>
      <c r="J17" s="14"/>
      <c r="K17" s="250" t="e">
        <f t="shared" si="2"/>
        <v>#REF!</v>
      </c>
    </row>
    <row r="18" spans="2:11">
      <c r="B18" s="233" t="s">
        <v>430</v>
      </c>
      <c r="C18" s="246" t="e">
        <v>#REF!</v>
      </c>
      <c r="D18" s="52" t="s">
        <v>371</v>
      </c>
      <c r="E18" s="246" t="e">
        <v>#REF!</v>
      </c>
      <c r="F18" s="52" t="s">
        <v>373</v>
      </c>
      <c r="G18" s="246" t="e">
        <f t="shared" ref="G18" si="14">#REF!</f>
        <v>#REF!</v>
      </c>
      <c r="H18" s="52" t="s">
        <v>373</v>
      </c>
      <c r="I18" s="246" t="e">
        <v>#REF!</v>
      </c>
      <c r="J18" s="52" t="s">
        <v>374</v>
      </c>
      <c r="K18" s="250" t="e">
        <f t="shared" si="2"/>
        <v>#REF!</v>
      </c>
    </row>
    <row r="19" spans="2:11">
      <c r="B19" s="134" t="s">
        <v>416</v>
      </c>
      <c r="C19" s="246" t="e">
        <v>#REF!</v>
      </c>
      <c r="D19" s="14"/>
      <c r="E19" s="246" t="e">
        <v>#REF!</v>
      </c>
      <c r="F19" s="14"/>
      <c r="G19" s="246" t="e">
        <f t="shared" ref="G19" si="15">#REF!</f>
        <v>#REF!</v>
      </c>
      <c r="H19" s="14"/>
      <c r="I19" s="246" t="e">
        <v>#REF!</v>
      </c>
      <c r="J19" s="14"/>
      <c r="K19" s="250" t="e">
        <f t="shared" si="2"/>
        <v>#REF!</v>
      </c>
    </row>
    <row r="20" spans="2:11" ht="15.6">
      <c r="B20" s="232" t="s">
        <v>441</v>
      </c>
      <c r="C20" s="246" t="e">
        <v>#REF!</v>
      </c>
      <c r="D20" s="14"/>
      <c r="E20" s="246" t="e">
        <v>#REF!</v>
      </c>
      <c r="F20" s="14"/>
      <c r="G20" s="246" t="e">
        <f t="shared" ref="G20" si="16">#REF!</f>
        <v>#REF!</v>
      </c>
      <c r="H20" s="14"/>
      <c r="I20" s="246" t="e">
        <v>#REF!</v>
      </c>
      <c r="J20" s="14"/>
      <c r="K20" s="250" t="e">
        <f t="shared" si="2"/>
        <v>#REF!</v>
      </c>
    </row>
    <row r="21" spans="2:11" ht="15.6">
      <c r="B21" s="232" t="s">
        <v>436</v>
      </c>
      <c r="C21" s="246" t="e">
        <v>#REF!</v>
      </c>
      <c r="D21" s="14"/>
      <c r="E21" s="246" t="e">
        <v>#REF!</v>
      </c>
      <c r="F21" s="14"/>
      <c r="G21" s="246" t="e">
        <f t="shared" ref="G21" si="17">#REF!</f>
        <v>#REF!</v>
      </c>
      <c r="H21" s="14"/>
      <c r="I21" s="246" t="e">
        <v>#REF!</v>
      </c>
      <c r="J21" s="14"/>
      <c r="K21" s="250" t="e">
        <f t="shared" si="2"/>
        <v>#REF!</v>
      </c>
    </row>
    <row r="22" spans="2:11" ht="15.6">
      <c r="B22" s="232" t="s">
        <v>433</v>
      </c>
      <c r="C22" s="246" t="e">
        <v>#REF!</v>
      </c>
      <c r="D22" s="14"/>
      <c r="E22" s="246" t="e">
        <v>#REF!</v>
      </c>
      <c r="F22" s="14"/>
      <c r="G22" s="246" t="e">
        <f t="shared" ref="G22" si="18">#REF!</f>
        <v>#REF!</v>
      </c>
      <c r="H22" s="14"/>
      <c r="I22" s="246" t="e">
        <v>#REF!</v>
      </c>
      <c r="J22" s="14"/>
      <c r="K22" s="250" t="e">
        <f t="shared" si="2"/>
        <v>#REF!</v>
      </c>
    </row>
    <row r="23" spans="2:11" ht="15.6">
      <c r="B23" s="232" t="s">
        <v>439</v>
      </c>
      <c r="C23" s="246" t="e">
        <v>#REF!</v>
      </c>
      <c r="D23" s="14"/>
      <c r="E23" s="246" t="e">
        <v>#REF!</v>
      </c>
      <c r="F23" s="14"/>
      <c r="G23" s="246" t="e">
        <f t="shared" ref="G23" si="19">#REF!</f>
        <v>#REF!</v>
      </c>
      <c r="H23" s="14"/>
      <c r="I23" s="246" t="e">
        <v>#REF!</v>
      </c>
      <c r="J23" s="14"/>
      <c r="K23" s="250" t="e">
        <f t="shared" si="2"/>
        <v>#REF!</v>
      </c>
    </row>
    <row r="24" spans="2:11">
      <c r="B24" s="233" t="s">
        <v>438</v>
      </c>
      <c r="C24" s="246" t="e">
        <v>#REF!</v>
      </c>
      <c r="D24" s="14"/>
      <c r="E24" s="246" t="e">
        <v>#REF!</v>
      </c>
      <c r="F24" s="14"/>
      <c r="G24" s="246" t="e">
        <f t="shared" ref="G24" si="20">#REF!</f>
        <v>#REF!</v>
      </c>
      <c r="H24" s="14"/>
      <c r="I24" s="246" t="e">
        <v>#REF!</v>
      </c>
      <c r="J24" s="14"/>
      <c r="K24" s="250" t="e">
        <f t="shared" si="2"/>
        <v>#REF!</v>
      </c>
    </row>
    <row r="25" spans="2:11">
      <c r="B25" s="233" t="s">
        <v>424</v>
      </c>
      <c r="C25" s="246" t="e">
        <v>#REF!</v>
      </c>
      <c r="D25" s="14"/>
      <c r="E25" s="246" t="e">
        <v>#REF!</v>
      </c>
      <c r="F25" s="14"/>
      <c r="G25" s="246" t="e">
        <f t="shared" ref="G25" si="21">#REF!</f>
        <v>#REF!</v>
      </c>
      <c r="H25" s="14"/>
      <c r="I25" s="246" t="e">
        <v>#REF!</v>
      </c>
      <c r="J25" s="14"/>
      <c r="K25" s="250" t="e">
        <f t="shared" si="2"/>
        <v>#REF!</v>
      </c>
    </row>
    <row r="26" spans="2:11">
      <c r="B26" s="233" t="s">
        <v>456</v>
      </c>
      <c r="C26" s="246" t="e">
        <v>#REF!</v>
      </c>
      <c r="D26" s="14"/>
      <c r="E26" s="246" t="e">
        <v>#REF!</v>
      </c>
      <c r="F26" s="14"/>
      <c r="G26" s="246" t="e">
        <f t="shared" ref="G26" si="22">#REF!</f>
        <v>#REF!</v>
      </c>
      <c r="H26" s="14"/>
      <c r="I26" s="246" t="e">
        <v>#REF!</v>
      </c>
      <c r="J26" s="14"/>
      <c r="K26" s="250" t="e">
        <f t="shared" si="2"/>
        <v>#REF!</v>
      </c>
    </row>
    <row r="27" spans="2:11">
      <c r="B27" s="233" t="s">
        <v>425</v>
      </c>
      <c r="C27" s="246" t="e">
        <v>#REF!</v>
      </c>
      <c r="D27" s="14"/>
      <c r="E27" s="246" t="e">
        <v>#REF!</v>
      </c>
      <c r="F27" s="14"/>
      <c r="G27" s="246" t="e">
        <f t="shared" ref="G27" si="23">#REF!</f>
        <v>#REF!</v>
      </c>
      <c r="H27" s="14"/>
      <c r="I27" s="246" t="e">
        <v>#REF!</v>
      </c>
      <c r="J27" s="14"/>
      <c r="K27" s="250" t="e">
        <f t="shared" si="2"/>
        <v>#REF!</v>
      </c>
    </row>
    <row r="28" spans="2:11">
      <c r="B28" s="233" t="s">
        <v>427</v>
      </c>
      <c r="C28" s="246" t="e">
        <v>#REF!</v>
      </c>
      <c r="D28" s="14"/>
      <c r="E28" s="246" t="e">
        <v>#REF!</v>
      </c>
      <c r="F28" s="14"/>
      <c r="G28" s="246" t="e">
        <f t="shared" ref="G28" si="24">#REF!</f>
        <v>#REF!</v>
      </c>
      <c r="H28" s="14"/>
      <c r="I28" s="246" t="e">
        <v>#REF!</v>
      </c>
      <c r="J28" s="14"/>
      <c r="K28" s="250" t="e">
        <f t="shared" si="2"/>
        <v>#REF!</v>
      </c>
    </row>
    <row r="29" spans="2:11">
      <c r="B29" s="233" t="s">
        <v>426</v>
      </c>
      <c r="C29" s="246" t="e">
        <v>#REF!</v>
      </c>
      <c r="D29" s="14"/>
      <c r="E29" s="246" t="e">
        <v>#REF!</v>
      </c>
      <c r="F29" s="14"/>
      <c r="G29" s="246" t="e">
        <f t="shared" ref="G29" si="25">#REF!</f>
        <v>#REF!</v>
      </c>
      <c r="H29" s="14"/>
      <c r="I29" s="246" t="e">
        <v>#REF!</v>
      </c>
      <c r="J29" s="14"/>
      <c r="K29" s="250" t="e">
        <f t="shared" si="2"/>
        <v>#REF!</v>
      </c>
    </row>
    <row r="30" spans="2:11">
      <c r="B30" s="233" t="s">
        <v>484</v>
      </c>
      <c r="C30" s="246" t="e">
        <v>#REF!</v>
      </c>
      <c r="D30" s="14"/>
      <c r="E30" s="246" t="e">
        <v>#REF!</v>
      </c>
      <c r="F30" s="14"/>
      <c r="G30" s="246" t="e">
        <f t="shared" ref="G30" si="26">#REF!</f>
        <v>#REF!</v>
      </c>
      <c r="H30" s="14"/>
      <c r="I30" s="246" t="e">
        <v>#REF!</v>
      </c>
      <c r="J30" s="14"/>
      <c r="K30" s="250" t="e">
        <f t="shared" si="2"/>
        <v>#REF!</v>
      </c>
    </row>
    <row r="31" spans="2:11" ht="15.6">
      <c r="B31" s="247" t="s">
        <v>422</v>
      </c>
      <c r="C31" s="246" t="e">
        <v>#REF!</v>
      </c>
      <c r="D31" s="14"/>
      <c r="E31" s="246" t="e">
        <v>#REF!</v>
      </c>
      <c r="F31" s="14"/>
      <c r="G31" s="246" t="e">
        <f t="shared" ref="G31" si="27">#REF!</f>
        <v>#REF!</v>
      </c>
      <c r="H31" s="14"/>
      <c r="I31" s="246" t="e">
        <v>#REF!</v>
      </c>
      <c r="J31" s="14"/>
      <c r="K31" s="250" t="e">
        <f t="shared" si="2"/>
        <v>#REF!</v>
      </c>
    </row>
    <row r="32" spans="2:11" ht="15.6">
      <c r="B32" s="247" t="s">
        <v>552</v>
      </c>
      <c r="C32" s="246" t="e">
        <v>#REF!</v>
      </c>
      <c r="D32" s="14"/>
      <c r="E32" s="246" t="e">
        <v>#REF!</v>
      </c>
      <c r="F32" s="14"/>
      <c r="G32" s="246" t="e">
        <f t="shared" ref="G32" si="28">#REF!</f>
        <v>#REF!</v>
      </c>
      <c r="H32" s="14"/>
      <c r="I32" s="246" t="e">
        <v>#REF!</v>
      </c>
      <c r="J32" s="14"/>
      <c r="K32" s="250" t="e">
        <f t="shared" si="2"/>
        <v>#REF!</v>
      </c>
    </row>
    <row r="33" spans="2:11">
      <c r="B33" s="233" t="s">
        <v>421</v>
      </c>
      <c r="C33" s="246" t="e">
        <v>#REF!</v>
      </c>
      <c r="D33" s="14"/>
      <c r="E33" s="246" t="e">
        <v>#REF!</v>
      </c>
      <c r="F33" s="14"/>
      <c r="G33" s="246" t="e">
        <f t="shared" ref="G33" si="29">#REF!</f>
        <v>#REF!</v>
      </c>
      <c r="H33" s="14"/>
      <c r="I33" s="246" t="e">
        <v>#REF!</v>
      </c>
      <c r="J33" s="14"/>
      <c r="K33" s="250" t="e">
        <f t="shared" si="2"/>
        <v>#REF!</v>
      </c>
    </row>
    <row r="34" spans="2:11">
      <c r="B34" s="134" t="s">
        <v>423</v>
      </c>
      <c r="C34" s="246" t="e">
        <v>#REF!</v>
      </c>
      <c r="D34" s="14"/>
      <c r="E34" s="246" t="e">
        <v>#REF!</v>
      </c>
      <c r="F34" s="14"/>
      <c r="G34" s="246" t="e">
        <f t="shared" ref="G34" si="30">#REF!</f>
        <v>#REF!</v>
      </c>
      <c r="H34" s="14"/>
      <c r="I34" s="246" t="e">
        <v>#REF!</v>
      </c>
      <c r="J34" s="14"/>
      <c r="K34" s="250" t="e">
        <f t="shared" si="2"/>
        <v>#REF!</v>
      </c>
    </row>
    <row r="35" spans="2:11">
      <c r="B35" s="233" t="s">
        <v>515</v>
      </c>
      <c r="C35" s="246" t="e">
        <v>#REF!</v>
      </c>
      <c r="D35" s="14"/>
      <c r="E35" s="246" t="e">
        <v>#REF!</v>
      </c>
      <c r="F35" s="14"/>
      <c r="G35" s="246" t="e">
        <f t="shared" ref="G35" si="31">#REF!</f>
        <v>#REF!</v>
      </c>
      <c r="H35" s="14"/>
      <c r="I35" s="246" t="e">
        <v>#REF!</v>
      </c>
      <c r="J35" s="14"/>
      <c r="K35" s="250" t="e">
        <f t="shared" si="2"/>
        <v>#REF!</v>
      </c>
    </row>
    <row r="36" spans="2:11">
      <c r="B36" s="233" t="s">
        <v>517</v>
      </c>
      <c r="C36" s="246" t="e">
        <v>#REF!</v>
      </c>
      <c r="D36" s="14"/>
      <c r="E36" s="246" t="e">
        <v>#REF!</v>
      </c>
      <c r="F36" s="14"/>
      <c r="G36" s="246" t="e">
        <f t="shared" ref="G36" si="32">#REF!</f>
        <v>#REF!</v>
      </c>
      <c r="H36" s="14"/>
      <c r="I36" s="246" t="e">
        <v>#REF!</v>
      </c>
      <c r="J36" s="14"/>
      <c r="K36" s="250" t="e">
        <f t="shared" si="2"/>
        <v>#REF!</v>
      </c>
    </row>
    <row r="37" spans="2:11">
      <c r="B37" s="233" t="s">
        <v>445</v>
      </c>
      <c r="C37" s="246" t="e">
        <v>#REF!</v>
      </c>
      <c r="D37" s="14"/>
      <c r="E37" s="246" t="e">
        <v>#REF!</v>
      </c>
      <c r="F37" s="14"/>
      <c r="G37" s="246" t="e">
        <f t="shared" ref="G37" si="33">#REF!</f>
        <v>#REF!</v>
      </c>
      <c r="H37" s="14"/>
      <c r="I37" s="246" t="e">
        <v>#REF!</v>
      </c>
      <c r="J37" s="14"/>
      <c r="K37" s="250" t="e">
        <f t="shared" si="2"/>
        <v>#REF!</v>
      </c>
    </row>
    <row r="38" spans="2:11">
      <c r="B38" s="233" t="s">
        <v>446</v>
      </c>
      <c r="C38" s="246" t="e">
        <v>#REF!</v>
      </c>
      <c r="D38" s="14"/>
      <c r="E38" s="246" t="e">
        <v>#REF!</v>
      </c>
      <c r="F38" s="14"/>
      <c r="G38" s="246" t="e">
        <f t="shared" ref="G38" si="34">#REF!</f>
        <v>#REF!</v>
      </c>
      <c r="H38" s="14"/>
      <c r="I38" s="246" t="e">
        <v>#REF!</v>
      </c>
      <c r="J38" s="14"/>
      <c r="K38" s="250" t="e">
        <f t="shared" si="2"/>
        <v>#REF!</v>
      </c>
    </row>
    <row r="39" spans="2:11">
      <c r="B39" s="233" t="s">
        <v>447</v>
      </c>
      <c r="C39" s="246" t="e">
        <v>#REF!</v>
      </c>
      <c r="D39" s="14"/>
      <c r="E39" s="246" t="e">
        <v>#REF!</v>
      </c>
      <c r="F39" s="14"/>
      <c r="G39" s="246" t="e">
        <f t="shared" ref="G39" si="35">#REF!</f>
        <v>#REF!</v>
      </c>
      <c r="H39" s="14"/>
      <c r="I39" s="246" t="e">
        <v>#REF!</v>
      </c>
      <c r="J39" s="14"/>
      <c r="K39" s="250" t="e">
        <f t="shared" si="2"/>
        <v>#REF!</v>
      </c>
    </row>
    <row r="40" spans="2:11">
      <c r="B40" s="233" t="s">
        <v>457</v>
      </c>
      <c r="C40" s="246" t="e">
        <v>#REF!</v>
      </c>
      <c r="D40" s="14"/>
      <c r="E40" s="246" t="e">
        <v>#REF!</v>
      </c>
      <c r="F40" s="14"/>
      <c r="G40" s="246" t="e">
        <f t="shared" ref="G40" si="36">#REF!</f>
        <v>#REF!</v>
      </c>
      <c r="H40" s="14"/>
      <c r="I40" s="246" t="e">
        <v>#REF!</v>
      </c>
      <c r="J40" s="14"/>
      <c r="K40" s="250" t="e">
        <f t="shared" si="2"/>
        <v>#REF!</v>
      </c>
    </row>
    <row r="41" spans="2:11" ht="16.8">
      <c r="B41" s="233"/>
      <c r="C41" s="14" t="s">
        <v>370</v>
      </c>
      <c r="D41" s="14"/>
      <c r="E41" s="14" t="s">
        <v>372</v>
      </c>
      <c r="F41" s="14"/>
      <c r="G41" s="52" t="s">
        <v>369</v>
      </c>
      <c r="H41" s="14"/>
      <c r="I41" s="52" t="s">
        <v>38</v>
      </c>
      <c r="J41" s="14"/>
      <c r="K41" s="52" t="e">
        <f>SUM(K5:K40)</f>
        <v>#REF!</v>
      </c>
    </row>
    <row r="45" spans="2:11">
      <c r="B45" s="14"/>
      <c r="C45" s="360" t="s">
        <v>576</v>
      </c>
      <c r="D45" s="360"/>
      <c r="E45" s="360"/>
      <c r="F45" s="360"/>
      <c r="G45" s="360"/>
      <c r="H45" s="360"/>
      <c r="I45" s="360"/>
    </row>
    <row r="46" spans="2:11">
      <c r="B46" s="14"/>
      <c r="C46" s="14"/>
      <c r="D46" s="14"/>
      <c r="E46" s="14"/>
      <c r="F46" s="14"/>
      <c r="G46" s="14"/>
      <c r="H46" s="14"/>
      <c r="I46" s="14"/>
    </row>
    <row r="47" spans="2:11">
      <c r="B47" s="14"/>
      <c r="C47" s="14"/>
      <c r="D47" s="14"/>
      <c r="E47" s="14"/>
      <c r="F47" s="14"/>
      <c r="G47" s="14"/>
      <c r="H47" s="312" t="s">
        <v>250</v>
      </c>
      <c r="I47" s="14"/>
      <c r="K47" s="313"/>
    </row>
    <row r="48" spans="2:11">
      <c r="B48" s="134" t="s">
        <v>337</v>
      </c>
      <c r="C48" s="408">
        <f>'MCC_hM_RUVY_matrices_mat_level '!F145</f>
        <v>-1717672.8035148196</v>
      </c>
      <c r="D48" s="14"/>
      <c r="E48" s="408">
        <f>'MCC_hM_RUVY_matrices_mat_level '!J145</f>
        <v>-1835585.3463335487</v>
      </c>
      <c r="F48" s="14"/>
      <c r="G48" s="271">
        <f>C48-E48</f>
        <v>117912.54281872907</v>
      </c>
      <c r="H48" s="315">
        <f>Ore_to_PI!AE78</f>
        <v>0</v>
      </c>
      <c r="I48" s="314"/>
    </row>
    <row r="49" spans="2:9">
      <c r="B49" s="134" t="s">
        <v>362</v>
      </c>
      <c r="C49" s="408">
        <f>'MCC_hM_RUVY_matrices_mat_level '!F146</f>
        <v>-1358104.1622069501</v>
      </c>
      <c r="D49" s="14"/>
      <c r="E49" s="408">
        <f>'MCC_hM_RUVY_matrices_mat_level '!J146</f>
        <v>-1358433.8103399458</v>
      </c>
      <c r="F49" s="14"/>
      <c r="G49" s="271">
        <f t="shared" ref="G49:G62" si="37">C49-E49</f>
        <v>329.64813299570233</v>
      </c>
      <c r="H49" s="315">
        <f>Ore_to_PI!AE159</f>
        <v>0</v>
      </c>
      <c r="I49" s="314"/>
    </row>
    <row r="50" spans="2:9">
      <c r="B50" s="134" t="s">
        <v>327</v>
      </c>
      <c r="C50" s="408">
        <f>'MCC_hM_RUVY_matrices_mat_level '!F147</f>
        <v>9929848.8113797773</v>
      </c>
      <c r="D50" s="14"/>
      <c r="E50" s="408">
        <f>'MCC_hM_RUVY_matrices_mat_level '!J147</f>
        <v>9900655.6141127702</v>
      </c>
      <c r="F50" s="14"/>
      <c r="G50" s="271">
        <f t="shared" si="37"/>
        <v>29193.197267007083</v>
      </c>
      <c r="H50" s="315">
        <f>Ore_to_PI!AF242</f>
        <v>0</v>
      </c>
      <c r="I50" s="314"/>
    </row>
    <row r="51" spans="2:9">
      <c r="B51" s="134" t="s">
        <v>434</v>
      </c>
      <c r="C51" s="408">
        <f>'MCC_hM_RUVY_matrices_mat_level '!F148</f>
        <v>-1805833.4604195929</v>
      </c>
      <c r="D51" s="14"/>
      <c r="E51" s="408">
        <f>'MCC_hM_RUVY_matrices_mat_level '!J148</f>
        <v>-1805833.4604195929</v>
      </c>
      <c r="F51" s="14"/>
      <c r="G51" s="271">
        <f t="shared" si="37"/>
        <v>0</v>
      </c>
      <c r="H51" s="315">
        <f>Ore_to_PI!AX64</f>
        <v>0</v>
      </c>
      <c r="I51" s="314"/>
    </row>
    <row r="52" spans="2:9">
      <c r="B52" s="134" t="s">
        <v>749</v>
      </c>
      <c r="C52" s="408">
        <f>'MCC_hM_RUVY_matrices_mat_level '!F149</f>
        <v>-1358344.6214274834</v>
      </c>
      <c r="D52" s="14"/>
      <c r="E52" s="408">
        <f>'MCC_hM_RUVY_matrices_mat_level '!J149</f>
        <v>-1358344.6214274834</v>
      </c>
      <c r="F52" s="14"/>
      <c r="G52" s="271">
        <f t="shared" si="37"/>
        <v>0</v>
      </c>
      <c r="H52" s="315">
        <f>Ore_to_PI!AY141</f>
        <v>0</v>
      </c>
      <c r="I52" s="314"/>
    </row>
    <row r="53" spans="2:9">
      <c r="B53" s="134" t="s">
        <v>750</v>
      </c>
      <c r="C53" s="408">
        <f>'MCC_hM_RUVY_matrices_mat_level '!F150</f>
        <v>9908021.6894580107</v>
      </c>
      <c r="D53" s="14"/>
      <c r="E53" s="408">
        <f>'MCC_hM_RUVY_matrices_mat_level '!J150</f>
        <v>9908021.6894580107</v>
      </c>
      <c r="F53" s="14"/>
      <c r="G53" s="271">
        <f t="shared" si="37"/>
        <v>0</v>
      </c>
      <c r="H53" s="315">
        <f>Ore_to_PI!AY227</f>
        <v>0</v>
      </c>
      <c r="I53" s="314"/>
    </row>
    <row r="54" spans="2:9">
      <c r="B54" s="134" t="s">
        <v>516</v>
      </c>
      <c r="C54" s="408">
        <f>'MCC_hM_RUVY_matrices_mat_level '!F151</f>
        <v>-1805833.4604195929</v>
      </c>
      <c r="D54" s="14"/>
      <c r="E54" s="408">
        <f>'MCC_hM_RUVY_matrices_mat_level '!J151</f>
        <v>-3913838.4541223943</v>
      </c>
      <c r="F54" s="14"/>
      <c r="G54" s="271">
        <f t="shared" si="37"/>
        <v>2108004.9937028014</v>
      </c>
      <c r="H54" s="315">
        <f>Ore_to_PI!BR74</f>
        <v>0.79422021199461379</v>
      </c>
      <c r="I54" s="314"/>
    </row>
    <row r="55" spans="2:9">
      <c r="B55" s="134" t="s">
        <v>514</v>
      </c>
      <c r="C55" s="408">
        <f>'MCC_hM_RUVY_matrices_mat_level '!F152</f>
        <v>-1358344.6214274834</v>
      </c>
      <c r="D55" s="252" t="s">
        <v>378</v>
      </c>
      <c r="E55" s="408">
        <f>'MCC_hM_RUVY_matrices_mat_level '!J152</f>
        <v>-1358344.6214274834</v>
      </c>
      <c r="F55" s="252" t="s">
        <v>374</v>
      </c>
      <c r="G55" s="271">
        <f t="shared" si="37"/>
        <v>0</v>
      </c>
      <c r="H55" s="315">
        <f>Ore_to_PI!BT118</f>
        <v>0</v>
      </c>
      <c r="I55" s="314"/>
    </row>
    <row r="56" spans="2:9">
      <c r="B56" s="134" t="s">
        <v>344</v>
      </c>
      <c r="C56" s="408">
        <f>'MCC_hM_RUVY_matrices_mat_level '!F153</f>
        <v>9908021.6894580107</v>
      </c>
      <c r="D56" s="14"/>
      <c r="E56" s="408">
        <f>'MCC_hM_RUVY_matrices_mat_level '!J153</f>
        <v>9908021.6894580107</v>
      </c>
      <c r="F56" s="14"/>
      <c r="G56" s="271">
        <f t="shared" si="37"/>
        <v>0</v>
      </c>
      <c r="H56" s="315">
        <f>Ore_to_PI!BR227</f>
        <v>0</v>
      </c>
      <c r="I56" s="314"/>
    </row>
    <row r="57" spans="2:9">
      <c r="B57" s="134" t="s">
        <v>751</v>
      </c>
      <c r="C57" s="408">
        <f>'MCC_hM_RUVY_matrices_mat_level '!F154</f>
        <v>-1533326.955015453</v>
      </c>
      <c r="D57" s="14"/>
      <c r="E57" s="408">
        <f>'MCC_hM_RUVY_matrices_mat_level '!J154</f>
        <v>-2257839.5086602536</v>
      </c>
      <c r="F57" s="14"/>
      <c r="G57" s="271">
        <f t="shared" si="37"/>
        <v>724512.55364480056</v>
      </c>
      <c r="H57" s="315">
        <f>Ore_to_PI!CL155</f>
        <v>0.74598303712227765</v>
      </c>
      <c r="I57" s="314"/>
    </row>
    <row r="58" spans="2:9">
      <c r="B58" s="134" t="s">
        <v>351</v>
      </c>
      <c r="C58" s="408">
        <f>'MCC_hM_RUVY_matrices_mat_level '!F155</f>
        <v>8958815.2639773358</v>
      </c>
      <c r="D58" s="14"/>
      <c r="E58" s="408">
        <f>'MCC_hM_RUVY_matrices_mat_level '!J155</f>
        <v>2642057.9522365406</v>
      </c>
      <c r="F58" s="14"/>
      <c r="G58" s="271">
        <f t="shared" si="37"/>
        <v>6316757.3117407952</v>
      </c>
      <c r="H58" s="315">
        <f>Ore_to_PI!CN293</f>
        <v>0.81057114706162792</v>
      </c>
      <c r="I58" s="314"/>
    </row>
    <row r="59" spans="2:9">
      <c r="B59" s="134" t="s">
        <v>325</v>
      </c>
      <c r="C59" s="408">
        <f>'MCC_hM_RUVY_matrices_mat_level '!F156</f>
        <v>-1963.2609195270718</v>
      </c>
      <c r="D59" s="14"/>
      <c r="E59" s="408">
        <f>'MCC_hM_RUVY_matrices_mat_level '!J156</f>
        <v>-2496.3536922330641</v>
      </c>
      <c r="F59" s="14"/>
      <c r="G59" s="271">
        <f t="shared" si="37"/>
        <v>533.09277270599227</v>
      </c>
      <c r="H59" s="315">
        <f>Ore_to_PI!DG250</f>
        <v>0.87442850220171509</v>
      </c>
      <c r="I59" s="314"/>
    </row>
    <row r="60" spans="2:9">
      <c r="B60" s="134" t="s">
        <v>455</v>
      </c>
      <c r="C60" s="408">
        <f>'MCC_hM_RUVY_matrices_mat_level '!F157</f>
        <v>-2496.3536922330641</v>
      </c>
      <c r="D60" s="14"/>
      <c r="E60" s="408">
        <f>'MCC_hM_RUVY_matrices_mat_level '!J157</f>
        <v>-2496.3536922330641</v>
      </c>
      <c r="F60" s="14"/>
      <c r="G60" s="271">
        <f t="shared" si="37"/>
        <v>0</v>
      </c>
      <c r="H60" s="315" t="s">
        <v>378</v>
      </c>
      <c r="I60" s="314"/>
    </row>
    <row r="61" spans="2:9">
      <c r="B61" s="134" t="s">
        <v>348</v>
      </c>
      <c r="C61" s="408">
        <f>'MCC_hM_RUVY_matrices_mat_level '!F158</f>
        <v>1003670.5749347778</v>
      </c>
      <c r="D61" s="14"/>
      <c r="E61" s="408">
        <f>'MCC_hM_RUVY_matrices_mat_level '!J158</f>
        <v>25724654.599848557</v>
      </c>
      <c r="F61" s="14"/>
      <c r="G61" s="271">
        <f t="shared" si="37"/>
        <v>-24720984.02491378</v>
      </c>
      <c r="H61" s="315" t="s">
        <v>378</v>
      </c>
      <c r="I61" s="314"/>
    </row>
    <row r="62" spans="2:9">
      <c r="B62" s="134" t="s">
        <v>326</v>
      </c>
      <c r="C62" s="408">
        <f>'MCC_hM_RUVY_matrices_mat_level '!F159</f>
        <v>25708122.169891011</v>
      </c>
      <c r="D62" s="252"/>
      <c r="E62" s="408">
        <f>'MCC_hM_RUVY_matrices_mat_level '!J159</f>
        <v>-2508650.408571145</v>
      </c>
      <c r="F62" s="14"/>
      <c r="G62" s="271">
        <f t="shared" si="37"/>
        <v>28216772.578462157</v>
      </c>
      <c r="H62" s="315">
        <f>Ore_to_PI!FC161</f>
        <v>0.73956990581694204</v>
      </c>
      <c r="I62" s="314"/>
    </row>
    <row r="63" spans="2:9">
      <c r="B63" s="134" t="s">
        <v>435</v>
      </c>
      <c r="C63" s="409"/>
      <c r="E63" s="409"/>
    </row>
    <row r="64" spans="2:9">
      <c r="B64" s="134" t="s">
        <v>752</v>
      </c>
      <c r="C64" s="409"/>
      <c r="E64" s="409"/>
    </row>
    <row r="65" spans="2:9">
      <c r="B65" s="134" t="s">
        <v>753</v>
      </c>
      <c r="C65" s="409"/>
      <c r="E65" s="409"/>
    </row>
    <row r="66" spans="2:9">
      <c r="B66" s="134" t="s">
        <v>754</v>
      </c>
      <c r="C66" s="409"/>
      <c r="E66" s="409"/>
    </row>
    <row r="67" spans="2:9">
      <c r="B67" s="134" t="s">
        <v>755</v>
      </c>
      <c r="C67" s="409"/>
      <c r="E67" s="409"/>
    </row>
    <row r="68" spans="2:9">
      <c r="B68" s="134" t="s">
        <v>756</v>
      </c>
      <c r="C68" s="409"/>
      <c r="E68" s="409"/>
    </row>
    <row r="69" spans="2:9">
      <c r="B69" s="134" t="s">
        <v>757</v>
      </c>
      <c r="C69" s="409"/>
      <c r="E69" s="409"/>
    </row>
    <row r="70" spans="2:9">
      <c r="B70" s="134" t="s">
        <v>76</v>
      </c>
      <c r="C70" s="409"/>
      <c r="E70" s="409"/>
    </row>
    <row r="71" spans="2:9">
      <c r="B71" s="134" t="s">
        <v>758</v>
      </c>
      <c r="C71" s="409"/>
      <c r="E71" s="409"/>
    </row>
    <row r="72" spans="2:9">
      <c r="B72" s="134" t="s">
        <v>759</v>
      </c>
      <c r="C72" s="409"/>
      <c r="E72" s="409"/>
    </row>
    <row r="73" spans="2:9">
      <c r="B73" s="134" t="s">
        <v>760</v>
      </c>
      <c r="C73" s="409"/>
      <c r="E73" s="409"/>
    </row>
    <row r="74" spans="2:9">
      <c r="B74" s="134" t="s">
        <v>761</v>
      </c>
      <c r="C74" s="409"/>
      <c r="E74" s="409"/>
    </row>
    <row r="75" spans="2:9">
      <c r="B75" s="134" t="s">
        <v>349</v>
      </c>
      <c r="C75" s="409"/>
      <c r="E75" s="409"/>
    </row>
    <row r="76" spans="2:9">
      <c r="B76" s="134" t="s">
        <v>762</v>
      </c>
      <c r="C76" s="409"/>
      <c r="E76" s="409"/>
    </row>
    <row r="77" spans="2:9" ht="16.8">
      <c r="C77" s="14" t="s">
        <v>577</v>
      </c>
      <c r="D77" s="252"/>
      <c r="E77" s="52" t="s">
        <v>365</v>
      </c>
      <c r="F77" s="14"/>
      <c r="G77" s="252" t="s">
        <v>578</v>
      </c>
      <c r="I77" s="311" t="s">
        <v>798</v>
      </c>
    </row>
  </sheetData>
  <mergeCells count="2">
    <mergeCell ref="C2:K2"/>
    <mergeCell ref="C45:I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422</vt:i4>
      </vt:variant>
    </vt:vector>
  </HeadingPairs>
  <TitlesOfParts>
    <vt:vector size="438" baseType="lpstr">
      <vt:lpstr>Constants</vt:lpstr>
      <vt:lpstr>Calculators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Waste</vt:lpstr>
      <vt:lpstr>Tables for Paper</vt:lpstr>
      <vt:lpstr>Appx_exergy_account</vt:lpstr>
      <vt:lpstr>B</vt:lpstr>
      <vt:lpstr>X</vt:lpstr>
      <vt:lpstr>BX</vt:lpstr>
      <vt:lpstr>Ore_to_PI</vt:lpstr>
      <vt:lpstr>BXCC Q loss</vt:lpstr>
      <vt:lpstr>Ash_in_coal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COG_out_coke_oven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R__B</vt:lpstr>
      <vt:lpstr>R__BX</vt:lpstr>
      <vt:lpstr>R__MCC_B_RUVY_matrices_mat_level</vt:lpstr>
      <vt:lpstr>R__MCC_h_RUVY_matrices_mat_level</vt:lpstr>
      <vt:lpstr>R__MCC_M_RUVY_matrices_mat_level</vt:lpstr>
      <vt:lpstr>R__X</vt:lpstr>
      <vt:lpstr>r_EIOU__B</vt:lpstr>
      <vt:lpstr>r_EIOU__BX</vt:lpstr>
      <vt:lpstr>r_EIOU__MCC_B_RUVY_matrices_mat_level</vt:lpstr>
      <vt:lpstr>r_EIOU__MCC_h_RUVY_matrices_mat_level</vt:lpstr>
      <vt:lpstr>r_EIOU__MCC_M_RUVY_matrices_mat_level</vt:lpstr>
      <vt:lpstr>r_EIOU__X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S_units__B</vt:lpstr>
      <vt:lpstr>S_units__BX</vt:lpstr>
      <vt:lpstr>S_units__MCC_B_RUVY_matrices_mat_level</vt:lpstr>
      <vt:lpstr>S_units__X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U__B</vt:lpstr>
      <vt:lpstr>U__BX</vt:lpstr>
      <vt:lpstr>U__MCC_B_RUVY_matrices_mat_level</vt:lpstr>
      <vt:lpstr>U__MCC_h_RUVY_matrices_mat_level</vt:lpstr>
      <vt:lpstr>U__MCC_M_RUVY_matrices_mat_level</vt:lpstr>
      <vt:lpstr>U__X</vt:lpstr>
      <vt:lpstr>U_EIOU__B</vt:lpstr>
      <vt:lpstr>U_EIOU__BX</vt:lpstr>
      <vt:lpstr>U_EIOU__MCC_B_RUVY_matrices_mat_level</vt:lpstr>
      <vt:lpstr>U_EIOU__MCC_h_RUVY_matrices_mat_level</vt:lpstr>
      <vt:lpstr>U_EIOU__MCC_M_RUVY_matrices_mat_level</vt:lpstr>
      <vt:lpstr>U_EIOU__X</vt:lpstr>
      <vt:lpstr>U_feed__B</vt:lpstr>
      <vt:lpstr>U_feed__BX</vt:lpstr>
      <vt:lpstr>U_feed__MCC_B_RUVY_matrices_mat_level</vt:lpstr>
      <vt:lpstr>U_feed__MCC_h_RUVY_matrices_mat_level</vt:lpstr>
      <vt:lpstr>U_feed__MCC_M_RUVY_matrices_mat_level</vt:lpstr>
      <vt:lpstr>U_feed__X</vt:lpstr>
      <vt:lpstr>V__B</vt:lpstr>
      <vt:lpstr>V__BX</vt:lpstr>
      <vt:lpstr>V__MCC_B_RUVY_matrices_mat_level</vt:lpstr>
      <vt:lpstr>V__MCC_h_RUVY_matrices_mat_level</vt:lpstr>
      <vt:lpstr>V__MCC_M_RUVY_matrices_mat_level</vt:lpstr>
      <vt:lpstr>V__X</vt:lpstr>
      <vt:lpstr>Y__B</vt:lpstr>
      <vt:lpstr>Y__BX</vt:lpstr>
      <vt:lpstr>Y__MCC_B_RUVY_matrices_mat_level</vt:lpstr>
      <vt:lpstr>Y__MCC_h_RUVY_matrices_mat_level</vt:lpstr>
      <vt:lpstr>Y__MCC_M_RUVY_matrices_mat_level</vt:lpstr>
      <vt:lpstr>Y__X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2025-08-18T04:46:26Z</dcterms:modified>
  <cp:category/>
  <cp:contentStatus/>
</cp:coreProperties>
</file>