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B6E1202-470D-6A41-856F-ECE49572EF47}" xr6:coauthVersionLast="47" xr6:coauthVersionMax="47" xr10:uidLastSave="{00000000-0000-0000-0000-000000000000}"/>
  <bookViews>
    <workbookView xWindow="0" yWindow="0" windowWidth="51200" windowHeight="28800" activeTab="10" xr2:uid="{B56C0490-30AA-4047-9BD3-68F16EDF25FC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P131" i="9" l="1"/>
  <c r="EO131" i="9"/>
  <c r="AZ100" i="22"/>
  <c r="AW96" i="22"/>
  <c r="P125" i="22"/>
  <c r="T128" i="22"/>
  <c r="BO46" i="23"/>
  <c r="AI218" i="9" a="1"/>
  <c r="AI218" i="9"/>
  <c r="AG218" i="9"/>
  <c r="AZ218" i="9"/>
  <c r="BS218" i="9"/>
  <c r="BD39" i="23" s="1"/>
  <c r="J102" i="23"/>
  <c r="H102" i="23" a="1"/>
  <c r="H102" i="23" s="1"/>
  <c r="F102" i="23" a="1"/>
  <c r="F102" i="23" s="1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3" i="23"/>
  <c r="H86" i="23"/>
  <c r="F84" i="23"/>
  <c r="BM111" i="22"/>
  <c r="X131" i="22"/>
  <c r="BB104" i="22"/>
  <c r="BH50" i="23"/>
  <c r="AV20" i="23"/>
  <c r="BD21" i="23"/>
  <c r="AE133" i="22"/>
  <c r="AF68" i="24"/>
  <c r="AG68" i="24"/>
  <c r="AH68" i="24"/>
  <c r="AP68" i="24" s="1"/>
  <c r="AI68" i="24"/>
  <c r="AE68" i="24"/>
  <c r="AH67" i="23"/>
  <c r="AG67" i="23"/>
  <c r="AF67" i="23"/>
  <c r="AE67" i="23"/>
  <c r="AF111" i="14"/>
  <c r="AG111" i="14" s="1"/>
  <c r="AH111" i="14" s="1"/>
  <c r="AF110" i="14"/>
  <c r="AG110" i="14" s="1"/>
  <c r="AH110" i="14" s="1"/>
  <c r="AF109" i="14"/>
  <c r="AG109" i="14" s="1"/>
  <c r="AH109" i="14" s="1"/>
  <c r="AF108" i="14"/>
  <c r="AG108" i="14" s="1"/>
  <c r="AH108" i="14" s="1"/>
  <c r="AF107" i="14"/>
  <c r="AG107" i="14" s="1"/>
  <c r="AH107" i="14" s="1"/>
  <c r="AF106" i="14"/>
  <c r="AG106" i="14" s="1"/>
  <c r="AH106" i="14" s="1"/>
  <c r="AF105" i="14"/>
  <c r="AG105" i="14" s="1"/>
  <c r="AH105" i="14" s="1"/>
  <c r="AF104" i="14"/>
  <c r="AG104" i="14" s="1"/>
  <c r="AH104" i="14" s="1"/>
  <c r="AF103" i="14"/>
  <c r="AG103" i="14" s="1"/>
  <c r="AH103" i="14" s="1"/>
  <c r="AF71" i="14"/>
  <c r="AG71" i="14" s="1"/>
  <c r="AH71" i="14" s="1"/>
  <c r="AF72" i="14"/>
  <c r="AG72" i="14" s="1"/>
  <c r="AH72" i="14" s="1"/>
  <c r="AF73" i="14"/>
  <c r="AG73" i="14" s="1"/>
  <c r="AH73" i="14" s="1"/>
  <c r="AF74" i="14"/>
  <c r="AG74" i="14" s="1"/>
  <c r="AH74" i="14" s="1"/>
  <c r="AF75" i="14"/>
  <c r="AG75" i="14" s="1"/>
  <c r="AH75" i="14" s="1"/>
  <c r="AF76" i="14"/>
  <c r="AG76" i="14" s="1"/>
  <c r="AH76" i="14" s="1"/>
  <c r="AF77" i="14"/>
  <c r="AG77" i="14" s="1"/>
  <c r="AH77" i="14" s="1"/>
  <c r="AF78" i="14"/>
  <c r="AG78" i="14" s="1"/>
  <c r="AH78" i="14" s="1"/>
  <c r="AF79" i="14"/>
  <c r="AG79" i="14" s="1"/>
  <c r="AH79" i="14" s="1"/>
  <c r="AF80" i="14"/>
  <c r="AG80" i="14"/>
  <c r="AH80" i="14" s="1"/>
  <c r="AF81" i="14"/>
  <c r="AG81" i="14" s="1"/>
  <c r="AH81" i="14" s="1"/>
  <c r="AF82" i="14"/>
  <c r="AG82" i="14"/>
  <c r="AH82" i="14" s="1"/>
  <c r="AF83" i="14"/>
  <c r="AG83" i="14" s="1"/>
  <c r="AH83" i="14" s="1"/>
  <c r="AF84" i="14"/>
  <c r="AG84" i="14"/>
  <c r="AH84" i="14" s="1"/>
  <c r="AF85" i="14"/>
  <c r="AG85" i="14" s="1"/>
  <c r="AH85" i="14" s="1"/>
  <c r="AF86" i="14"/>
  <c r="AG86" i="14" s="1"/>
  <c r="AH86" i="14" s="1"/>
  <c r="AF87" i="14"/>
  <c r="AG87" i="14" s="1"/>
  <c r="AH87" i="14" s="1"/>
  <c r="AF88" i="14"/>
  <c r="AG88" i="14"/>
  <c r="AH88" i="14"/>
  <c r="AF89" i="14"/>
  <c r="AG89" i="14" s="1"/>
  <c r="AH89" i="14" s="1"/>
  <c r="AF90" i="14"/>
  <c r="AG90" i="14"/>
  <c r="AH90" i="14" s="1"/>
  <c r="AF91" i="14"/>
  <c r="AG91" i="14" s="1"/>
  <c r="AH91" i="14" s="1"/>
  <c r="AF92" i="14"/>
  <c r="AG92" i="14"/>
  <c r="AH92" i="14" s="1"/>
  <c r="AF93" i="14"/>
  <c r="AG93" i="14" s="1"/>
  <c r="AH93" i="14" s="1"/>
  <c r="AF94" i="14"/>
  <c r="AG94" i="14"/>
  <c r="AH94" i="14" s="1"/>
  <c r="AF95" i="14"/>
  <c r="AG95" i="14" s="1"/>
  <c r="AH95" i="14" s="1"/>
  <c r="AF96" i="14"/>
  <c r="AG96" i="14"/>
  <c r="AH96" i="14"/>
  <c r="AF97" i="14"/>
  <c r="AG97" i="14"/>
  <c r="AH97" i="14" s="1"/>
  <c r="AF98" i="14"/>
  <c r="AG98" i="14" s="1"/>
  <c r="AH98" i="14" s="1"/>
  <c r="AF99" i="14"/>
  <c r="AG99" i="14" s="1"/>
  <c r="AH99" i="14" s="1"/>
  <c r="AF100" i="14"/>
  <c r="AG100" i="14" s="1"/>
  <c r="AH100" i="14" s="1"/>
  <c r="AF101" i="14"/>
  <c r="AG101" i="14" s="1"/>
  <c r="AH101" i="14" s="1"/>
  <c r="AF102" i="14"/>
  <c r="AG102" i="14"/>
  <c r="AH102" i="14" s="1"/>
  <c r="AG51" i="14"/>
  <c r="AH51" i="14" s="1"/>
  <c r="AG52" i="14"/>
  <c r="AH52" i="14" s="1"/>
  <c r="AG53" i="14"/>
  <c r="AH53" i="14" s="1"/>
  <c r="AG54" i="14"/>
  <c r="AH54" i="14" s="1"/>
  <c r="AG55" i="14"/>
  <c r="AH55" i="14" s="1"/>
  <c r="AG56" i="14"/>
  <c r="AH56" i="14" s="1"/>
  <c r="AF4" i="14"/>
  <c r="AG4" i="14" s="1"/>
  <c r="AH4" i="14" s="1"/>
  <c r="AF5" i="14"/>
  <c r="AG5" i="14" s="1"/>
  <c r="AH5" i="14" s="1"/>
  <c r="AF6" i="14"/>
  <c r="AG6" i="14" s="1"/>
  <c r="AH6" i="14" s="1"/>
  <c r="AF7" i="14"/>
  <c r="AG7" i="14" s="1"/>
  <c r="AH7" i="14" s="1"/>
  <c r="AF8" i="14"/>
  <c r="AG8" i="14" s="1"/>
  <c r="AH8" i="14" s="1"/>
  <c r="AF9" i="14"/>
  <c r="AG9" i="14" s="1"/>
  <c r="AH9" i="14" s="1"/>
  <c r="AF10" i="14"/>
  <c r="AG10" i="14" s="1"/>
  <c r="AH10" i="14" s="1"/>
  <c r="AF11" i="14"/>
  <c r="AG11" i="14" s="1"/>
  <c r="AH11" i="14" s="1"/>
  <c r="AF12" i="14"/>
  <c r="AG12" i="14" s="1"/>
  <c r="AH12" i="14" s="1"/>
  <c r="AF13" i="14"/>
  <c r="AG13" i="14" s="1"/>
  <c r="AH13" i="14" s="1"/>
  <c r="AF14" i="14"/>
  <c r="AG14" i="14" s="1"/>
  <c r="AH14" i="14" s="1"/>
  <c r="AF15" i="14"/>
  <c r="AG15" i="14" s="1"/>
  <c r="AH15" i="14" s="1"/>
  <c r="AF16" i="14"/>
  <c r="AG16" i="14" s="1"/>
  <c r="AH16" i="14" s="1"/>
  <c r="AF17" i="14"/>
  <c r="AG17" i="14" s="1"/>
  <c r="AH17" i="14" s="1"/>
  <c r="AF18" i="14"/>
  <c r="AG18" i="14" s="1"/>
  <c r="AH18" i="14" s="1"/>
  <c r="AF19" i="14"/>
  <c r="AG19" i="14" s="1"/>
  <c r="AH19" i="14" s="1"/>
  <c r="AF20" i="14"/>
  <c r="AG20" i="14" s="1"/>
  <c r="AH20" i="14" s="1"/>
  <c r="AF21" i="14"/>
  <c r="AG21" i="14" s="1"/>
  <c r="AH21" i="14" s="1"/>
  <c r="AF22" i="14"/>
  <c r="AG22" i="14" s="1"/>
  <c r="AH22" i="14" s="1"/>
  <c r="AF23" i="14"/>
  <c r="AG23" i="14" s="1"/>
  <c r="AH23" i="14" s="1"/>
  <c r="AF24" i="14"/>
  <c r="AG24" i="14" s="1"/>
  <c r="AH24" i="14" s="1"/>
  <c r="AF25" i="14"/>
  <c r="AG25" i="14" s="1"/>
  <c r="AH25" i="14" s="1"/>
  <c r="AF26" i="14"/>
  <c r="AG26" i="14" s="1"/>
  <c r="AH26" i="14" s="1"/>
  <c r="AF27" i="14"/>
  <c r="AG27" i="14" s="1"/>
  <c r="AH27" i="14" s="1"/>
  <c r="AF28" i="14"/>
  <c r="AG28" i="14" s="1"/>
  <c r="AH28" i="14" s="1"/>
  <c r="AF29" i="14"/>
  <c r="AG29" i="14" s="1"/>
  <c r="AH29" i="14" s="1"/>
  <c r="AF30" i="14"/>
  <c r="AG30" i="14" s="1"/>
  <c r="AH30" i="14" s="1"/>
  <c r="AF31" i="14"/>
  <c r="AG31" i="14" s="1"/>
  <c r="AH31" i="14" s="1"/>
  <c r="AF32" i="14"/>
  <c r="AG32" i="14" s="1"/>
  <c r="AH32" i="14" s="1"/>
  <c r="AF33" i="14"/>
  <c r="AG33" i="14" s="1"/>
  <c r="AH33" i="14" s="1"/>
  <c r="AF34" i="14"/>
  <c r="AG34" i="14" s="1"/>
  <c r="AH34" i="14" s="1"/>
  <c r="AF35" i="14"/>
  <c r="AG35" i="14" s="1"/>
  <c r="AH35" i="14" s="1"/>
  <c r="AF36" i="14"/>
  <c r="AG36" i="14" s="1"/>
  <c r="AH36" i="14" s="1"/>
  <c r="AF37" i="14"/>
  <c r="AG37" i="14" s="1"/>
  <c r="AH37" i="14" s="1"/>
  <c r="AF38" i="14"/>
  <c r="AG38" i="14" s="1"/>
  <c r="AH38" i="14" s="1"/>
  <c r="AF39" i="14"/>
  <c r="AG39" i="14" s="1"/>
  <c r="AH39" i="14" s="1"/>
  <c r="AF40" i="14"/>
  <c r="AG40" i="14" s="1"/>
  <c r="AH40" i="14" s="1"/>
  <c r="AF41" i="14"/>
  <c r="AG41" i="14" s="1"/>
  <c r="AH41" i="14" s="1"/>
  <c r="AF42" i="14"/>
  <c r="AG42" i="14" s="1"/>
  <c r="AH42" i="14" s="1"/>
  <c r="AF43" i="14"/>
  <c r="AG43" i="14" s="1"/>
  <c r="AH43" i="14" s="1"/>
  <c r="AF44" i="14"/>
  <c r="AG44" i="14" s="1"/>
  <c r="AH44" i="14" s="1"/>
  <c r="AF45" i="14"/>
  <c r="AG45" i="14" s="1"/>
  <c r="AH45" i="14" s="1"/>
  <c r="AF46" i="14"/>
  <c r="AG46" i="14" s="1"/>
  <c r="AH46" i="14" s="1"/>
  <c r="AF47" i="14"/>
  <c r="AG47" i="14" s="1"/>
  <c r="AH47" i="14" s="1"/>
  <c r="AF48" i="14"/>
  <c r="AG48" i="14" s="1"/>
  <c r="AH48" i="14" s="1"/>
  <c r="AF49" i="14"/>
  <c r="AG49" i="14" s="1"/>
  <c r="AH49" i="14" s="1"/>
  <c r="AF50" i="14"/>
  <c r="AG50" i="14" s="1"/>
  <c r="AH50" i="14" s="1"/>
  <c r="AF51" i="14"/>
  <c r="AF52" i="14"/>
  <c r="AF53" i="14"/>
  <c r="AF54" i="14"/>
  <c r="AF55" i="14"/>
  <c r="AF56" i="14"/>
  <c r="AF57" i="14"/>
  <c r="AG57" i="14" s="1"/>
  <c r="AH57" i="14" s="1"/>
  <c r="AF58" i="14"/>
  <c r="AG58" i="14" s="1"/>
  <c r="AH58" i="14" s="1"/>
  <c r="AF59" i="14"/>
  <c r="AG59" i="14" s="1"/>
  <c r="AH59" i="14" s="1"/>
  <c r="AF60" i="14"/>
  <c r="AG60" i="14" s="1"/>
  <c r="AH60" i="14" s="1"/>
  <c r="AF61" i="14"/>
  <c r="AG61" i="14" s="1"/>
  <c r="AH61" i="14" s="1"/>
  <c r="AF62" i="14"/>
  <c r="AG62" i="14" s="1"/>
  <c r="AH62" i="14" s="1"/>
  <c r="AF63" i="14"/>
  <c r="AG63" i="14" s="1"/>
  <c r="AH63" i="14" s="1"/>
  <c r="AF64" i="14"/>
  <c r="AG64" i="14" s="1"/>
  <c r="AH64" i="14" s="1"/>
  <c r="AF65" i="14"/>
  <c r="AG65" i="14" s="1"/>
  <c r="AH65" i="14" s="1"/>
  <c r="AF66" i="14"/>
  <c r="AG66" i="14" s="1"/>
  <c r="AH66" i="14" s="1"/>
  <c r="AF67" i="14"/>
  <c r="AG67" i="14" s="1"/>
  <c r="AH67" i="14" s="1"/>
  <c r="AF68" i="14"/>
  <c r="AG68" i="14" s="1"/>
  <c r="AH68" i="14" s="1"/>
  <c r="AF69" i="14"/>
  <c r="AG69" i="14" s="1"/>
  <c r="AH69" i="14" s="1"/>
  <c r="AF70" i="14"/>
  <c r="AG70" i="14" s="1"/>
  <c r="AH70" i="14" s="1"/>
  <c r="AF3" i="14"/>
  <c r="AG3" i="14" s="1"/>
  <c r="AH3" i="14" s="1"/>
  <c r="EA133" i="9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L102" i="23" s="1" a="1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J104" i="23" s="1"/>
  <c r="BI19" i="23"/>
  <c r="BI18" i="23"/>
  <c r="L102" i="23" l="1"/>
  <c r="N118" i="23"/>
  <c r="N128" i="23"/>
  <c r="N108" i="23"/>
  <c r="BD55" i="23"/>
  <c r="BI39" i="23"/>
  <c r="J123" i="23" s="1"/>
  <c r="N102" i="23"/>
  <c r="N119" i="23"/>
  <c r="N111" i="23"/>
  <c r="N121" i="23"/>
  <c r="N131" i="23"/>
  <c r="N109" i="23"/>
  <c r="N110" i="23"/>
  <c r="N112" i="23"/>
  <c r="N122" i="23"/>
  <c r="N132" i="23"/>
  <c r="N129" i="23"/>
  <c r="N103" i="23"/>
  <c r="N113" i="23"/>
  <c r="N123" i="23"/>
  <c r="N104" i="23"/>
  <c r="N114" i="23"/>
  <c r="N124" i="23"/>
  <c r="N134" i="23"/>
  <c r="N115" i="23"/>
  <c r="N125" i="23"/>
  <c r="N135" i="23"/>
  <c r="N116" i="23"/>
  <c r="N126" i="23"/>
  <c r="N136" i="23"/>
  <c r="N120" i="23"/>
  <c r="N130" i="23"/>
  <c r="N117" i="23"/>
  <c r="N127" i="23"/>
  <c r="N137" i="23"/>
  <c r="AP67" i="23"/>
  <c r="AH73" i="23"/>
  <c r="G31" i="25"/>
  <c r="G33" i="25" s="1"/>
  <c r="H31" i="25"/>
  <c r="BP35" i="24"/>
  <c r="BP48" i="24"/>
  <c r="N138" i="23" l="1"/>
  <c r="E49" i="3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E18" i="3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AI51" i="9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E33" i="25" l="1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S6" i="3"/>
  <c r="R7" i="3"/>
  <c r="R6" i="3"/>
  <c r="S5" i="3"/>
  <c r="R5" i="3"/>
  <c r="S7" i="3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Y64" i="24" l="1"/>
  <c r="Y74" i="24" s="1"/>
  <c r="CN229" i="9"/>
  <c r="AG132" i="9"/>
  <c r="BS146" i="9"/>
  <c r="BZ63" i="9"/>
  <c r="AY52" i="9"/>
  <c r="BR48" i="9"/>
  <c r="G12" i="11"/>
  <c r="G14" i="11" l="1"/>
  <c r="F14" i="11"/>
  <c r="H13" i="11" s="1"/>
  <c r="F42" i="11" s="1"/>
  <c r="F43" i="11" l="1"/>
  <c r="H12" i="11"/>
  <c r="I12" i="11" l="1"/>
  <c r="J12" i="11" s="1"/>
  <c r="G42" i="11" s="1"/>
  <c r="I42" i="11" s="1"/>
  <c r="F29" i="11"/>
  <c r="F41" i="1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I37" i="11" l="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AR46" i="9"/>
  <c r="R49" i="9"/>
  <c r="S49" i="9" s="1"/>
  <c r="T49" i="9" s="1"/>
  <c r="U49" i="9" s="1"/>
  <c r="V49" i="9" s="1"/>
  <c r="R48" i="9"/>
  <c r="S48" i="9" s="1"/>
  <c r="T48" i="9" s="1"/>
  <c r="U48" i="9" s="1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B74" i="11"/>
  <c r="C89" i="11" s="1"/>
  <c r="C190" i="11" s="1"/>
  <c r="F190" i="11" s="1"/>
  <c r="V48" i="9"/>
  <c r="CA46" i="9"/>
  <c r="BH46" i="9"/>
  <c r="BG52" i="9"/>
  <c r="AN52" i="9"/>
  <c r="AO46" i="9"/>
  <c r="FL131" i="9"/>
  <c r="FM130" i="9"/>
  <c r="G7" i="17" l="1"/>
  <c r="I7" i="17" s="1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F7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D74" i="11"/>
  <c r="U132" i="9"/>
  <c r="V130" i="9"/>
  <c r="Q117" i="9" s="1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7" i="9"/>
  <c r="AX96" i="20"/>
  <c r="AX51" i="20" s="1"/>
  <c r="X133" i="20"/>
  <c r="BH105" i="20"/>
  <c r="BM46" i="9"/>
  <c r="U130" i="20"/>
  <c r="BJ46" i="9"/>
  <c r="AT46" i="9"/>
  <c r="O127" i="20"/>
  <c r="O143" i="20" s="1"/>
  <c r="AQ46" i="9"/>
  <c r="BM47" i="9"/>
  <c r="AM141" i="20"/>
  <c r="AM143" i="20" s="1"/>
  <c r="BO120" i="20"/>
  <c r="BQ120" i="20" s="1"/>
  <c r="V132" i="9"/>
  <c r="V126" i="9" s="1"/>
  <c r="L64" i="9"/>
  <c r="U59" i="9" s="1"/>
  <c r="N63" i="9"/>
  <c r="H52" i="25" l="1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C57" i="14"/>
  <c r="F8" i="14"/>
  <c r="C54" i="14"/>
  <c r="F9" i="14"/>
  <c r="D54" i="14"/>
  <c r="G9" i="14"/>
  <c r="D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N64" i="9"/>
  <c r="Q63" i="9" s="1"/>
  <c r="R63" i="9" s="1"/>
  <c r="S63" i="9" s="1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AM131" i="22"/>
  <c r="BB63" i="22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H8" i="17" l="1"/>
  <c r="G8" i="17"/>
  <c r="I8" i="17" s="1"/>
  <c r="Z138" i="9"/>
  <c r="AA138" i="9" s="1"/>
  <c r="BT130" i="9"/>
  <c r="BF115" i="22"/>
  <c r="BF74" i="22" s="1"/>
  <c r="Y46" i="9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S140" i="15"/>
  <c r="AY120" i="15"/>
  <c r="EE118" i="9"/>
  <c r="EC119" i="9"/>
  <c r="EL114" i="9" s="1"/>
  <c r="L144" i="9"/>
  <c r="K145" i="9"/>
  <c r="CA126" i="9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BH132" i="9"/>
  <c r="BD132" i="9"/>
  <c r="I162" i="22"/>
  <c r="J162" i="22"/>
  <c r="H17" i="17"/>
  <c r="AK132" i="9"/>
  <c r="AO132" i="9"/>
  <c r="K274" i="11"/>
  <c r="I274" i="11" s="1"/>
  <c r="C284" i="11"/>
  <c r="E280" i="11" s="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1" i="9" s="1"/>
  <c r="D58" i="14" s="1"/>
  <c r="V131" i="20"/>
  <c r="AU130" i="9"/>
  <c r="AR130" i="9"/>
  <c r="Q128" i="20"/>
  <c r="Q143" i="20" s="1"/>
  <c r="AU131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G172" i="15"/>
  <c r="D17" i="14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D55" i="14"/>
  <c r="F17" i="14"/>
  <c r="C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0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CW118" i="9"/>
  <c r="CW119" i="9" s="1"/>
  <c r="CW114" i="9" s="1"/>
  <c r="CV119" i="9"/>
  <c r="AC74" i="24" l="1"/>
  <c r="K276" i="11"/>
  <c r="G17" i="14"/>
  <c r="C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59" i="22" l="1"/>
  <c r="AM128" i="22"/>
  <c r="AW55" i="22" l="1"/>
  <c r="AZ120" i="22" l="1"/>
  <c r="BG100" i="22"/>
  <c r="G187" i="22" s="1"/>
  <c r="T139" i="22"/>
  <c r="G24" i="14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AD74" i="24" l="1"/>
  <c r="AP67" i="24"/>
  <c r="J154" i="24" s="1"/>
  <c r="BN107" i="15"/>
  <c r="BO42" i="24"/>
  <c r="BP42" i="24" s="1"/>
  <c r="BD90" i="20"/>
  <c r="CG131" i="9"/>
  <c r="AA139" i="22"/>
  <c r="AA140" i="15"/>
  <c r="AM133" i="15"/>
  <c r="E222" i="15" s="1"/>
  <c r="D60" i="14" l="1"/>
  <c r="H18" i="14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0" i="9"/>
  <c r="AD136" i="20"/>
  <c r="AD143" i="20" s="1"/>
  <c r="CC130" i="9"/>
  <c r="O12" i="13" s="1"/>
  <c r="BP111" i="20"/>
  <c r="BQ111" i="20" s="1"/>
  <c r="H17" i="14" l="1"/>
  <c r="C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1" i="9"/>
  <c r="DU131" i="9"/>
  <c r="DX132" i="9" l="1"/>
  <c r="AB133" i="22"/>
  <c r="BE108" i="22"/>
  <c r="BG43" i="24" s="1"/>
  <c r="BI119" i="20"/>
  <c r="AL140" i="20"/>
  <c r="D34" i="14"/>
  <c r="C64" i="14"/>
  <c r="BH67" i="20"/>
  <c r="BJ112" i="20"/>
  <c r="J199" i="20" s="1"/>
  <c r="BH124" i="20"/>
  <c r="D64" i="14"/>
  <c r="D35" i="14"/>
  <c r="BI43" i="24" l="1"/>
  <c r="J127" i="24" s="1"/>
  <c r="BG55" i="24"/>
  <c r="AB139" i="22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G175" i="15" s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CL255" i="9"/>
  <c r="BQ236" i="9"/>
  <c r="AC133" i="22" l="1"/>
  <c r="BG109" i="15"/>
  <c r="G197" i="15" s="1"/>
  <c r="BE44" i="24"/>
  <c r="AD140" i="15"/>
  <c r="AG74" i="24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74" i="24" l="1"/>
  <c r="BN111" i="15"/>
  <c r="BO46" i="24"/>
  <c r="BP46" i="24" s="1"/>
  <c r="AE140" i="15"/>
  <c r="AH74" i="24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G202" i="15" s="1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1" i="9"/>
  <c r="D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DL238" i="9"/>
  <c r="DM238" i="9" s="1"/>
  <c r="DN238" i="9" s="1"/>
  <c r="DO238" i="9" s="1"/>
  <c r="DP238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0" i="9"/>
  <c r="W132" i="20"/>
  <c r="BN211" i="9"/>
  <c r="D59" i="14" s="1"/>
  <c r="BN210" i="9"/>
  <c r="C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C56" i="14"/>
  <c r="F25" i="14"/>
  <c r="EH237" i="9"/>
  <c r="EI237" i="9" s="1"/>
  <c r="EJ237" i="9" s="1"/>
  <c r="EK237" i="9" s="1"/>
  <c r="EG241" i="9"/>
  <c r="BE90" i="20"/>
  <c r="CH211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8" i="9"/>
  <c r="D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6" i="14"/>
  <c r="D61" i="14"/>
  <c r="AD108" i="11"/>
  <c r="BE45" i="20"/>
  <c r="BE124" i="20"/>
  <c r="BM112" i="15"/>
  <c r="AF134" i="15"/>
  <c r="CF210" i="9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7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J155" i="24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D26" i="14"/>
  <c r="AW89" i="20"/>
  <c r="H158" i="20"/>
  <c r="H166" i="20" s="1"/>
  <c r="Q194" i="9"/>
  <c r="D24" i="14"/>
  <c r="L226" i="9"/>
  <c r="F13" i="17"/>
  <c r="F19" i="17" s="1"/>
  <c r="C42" i="14" s="1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7" i="9"/>
  <c r="C63" i="14" s="1"/>
  <c r="AK139" i="20"/>
  <c r="DW238" i="9"/>
  <c r="D63" i="14" s="1"/>
  <c r="AJ138" i="20"/>
  <c r="DT237" i="9"/>
  <c r="BG117" i="20"/>
  <c r="C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0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D25" i="14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5" i="14"/>
  <c r="C61" i="14"/>
  <c r="EM156" i="9"/>
  <c r="EM160" i="9" s="1"/>
  <c r="EM152" i="9" s="1"/>
  <c r="EL160" i="9"/>
  <c r="EH160" i="9"/>
  <c r="C225" i="11" l="1"/>
  <c r="K216" i="11"/>
  <c r="K215" i="11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C223" i="11" l="1"/>
  <c r="G225" i="11" s="1"/>
  <c r="G224" i="11" s="1"/>
  <c r="G223" i="11" s="1"/>
  <c r="C224" i="11"/>
  <c r="E225" i="11" s="1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E223" i="11" l="1"/>
  <c r="E224" i="11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P63" i="9" s="1"/>
  <c r="T63" i="9" s="1"/>
  <c r="U63" i="9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AE234" i="9"/>
  <c r="P144" i="9" l="1"/>
  <c r="T144" i="9" s="1"/>
  <c r="U144" i="9" s="1"/>
  <c r="P226" i="9"/>
  <c r="T226" i="9" s="1"/>
  <c r="U226" i="9" s="1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Q28" i="9"/>
  <c r="K161" i="20"/>
  <c r="K166" i="20" s="1"/>
  <c r="AU92" i="20"/>
  <c r="Q29" i="9"/>
  <c r="X46" i="9"/>
  <c r="AA46" i="9"/>
  <c r="AA47" i="9"/>
  <c r="AV92" i="20"/>
  <c r="AA131" i="9"/>
  <c r="X130" i="9"/>
  <c r="AA130" i="9"/>
  <c r="AW92" i="20"/>
  <c r="F24" i="17"/>
  <c r="G24" i="17" s="1"/>
  <c r="Y210" i="9"/>
  <c r="AB211" i="9"/>
  <c r="AB210" i="9"/>
  <c r="AF234" i="9"/>
  <c r="BM97" i="15"/>
  <c r="Q126" i="15"/>
  <c r="Q125" i="22"/>
  <c r="AM125" i="22" s="1"/>
  <c r="BM97" i="22"/>
  <c r="BN97" i="22" s="1"/>
  <c r="T60" i="24" l="1"/>
  <c r="T74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C53" i="14"/>
  <c r="E25" i="14"/>
  <c r="C52" i="14"/>
  <c r="E17" i="14"/>
  <c r="AW47" i="20"/>
  <c r="AW124" i="20"/>
  <c r="E26" i="14"/>
  <c r="D53" i="14"/>
  <c r="AV124" i="20"/>
  <c r="AV47" i="20"/>
  <c r="C51" i="14"/>
  <c r="E8" i="14"/>
  <c r="D51" i="14"/>
  <c r="E9" i="14"/>
  <c r="E16" i="14"/>
  <c r="E18" i="14"/>
  <c r="D52" i="14"/>
  <c r="D9" i="14"/>
  <c r="AU47" i="20"/>
  <c r="BJ92" i="20"/>
  <c r="J179" i="20" s="1"/>
  <c r="AU124" i="20"/>
  <c r="AM126" i="15"/>
  <c r="E215" i="15" s="1"/>
  <c r="Q140" i="15"/>
  <c r="D8" i="14"/>
  <c r="Q139" i="22"/>
  <c r="E7" i="14"/>
  <c r="AP60" i="24" l="1"/>
  <c r="J147" i="24" s="1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2" i="9"/>
  <c r="FC149" i="9"/>
  <c r="G174" i="15"/>
  <c r="BF45" i="15"/>
  <c r="BF120" i="15"/>
  <c r="C213" i="15" s="1" a="1"/>
  <c r="AK138" i="15"/>
  <c r="AN72" i="24" s="1"/>
  <c r="BM117" i="15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I171" i="15" s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BH55" i="24"/>
  <c r="F145" i="24" s="1" a="1"/>
  <c r="BI21" i="24"/>
  <c r="J105" i="24" s="1"/>
  <c r="G215" i="15"/>
  <c r="G225" i="15"/>
  <c r="G226" i="15"/>
  <c r="D65" i="14"/>
  <c r="E35" i="14"/>
  <c r="BJ90" i="20"/>
  <c r="J177" i="20" s="1"/>
  <c r="BI45" i="20"/>
  <c r="BI124" i="20"/>
  <c r="F216" i="20" s="1" a="1"/>
  <c r="J217" i="20" s="1"/>
  <c r="M52" i="14" s="1"/>
  <c r="AK139" i="22"/>
  <c r="E170" i="22" s="1" a="1"/>
  <c r="AK140" i="15"/>
  <c r="E171" i="15" s="1" a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4" i="24" l="1"/>
  <c r="K202" i="15"/>
  <c r="N114" i="2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N52" i="14" s="1"/>
  <c r="L151" i="24"/>
  <c r="N57" i="14" s="1"/>
  <c r="L152" i="24"/>
  <c r="N58" i="14" s="1"/>
  <c r="L157" i="24"/>
  <c r="N63" i="14" s="1"/>
  <c r="L159" i="24"/>
  <c r="N65" i="14" s="1"/>
  <c r="L153" i="24"/>
  <c r="N59" i="14" s="1"/>
  <c r="L156" i="24"/>
  <c r="N62" i="14" s="1"/>
  <c r="L158" i="24"/>
  <c r="N64" i="14" s="1"/>
  <c r="L155" i="24"/>
  <c r="N61" i="14" s="1"/>
  <c r="L148" i="24"/>
  <c r="N54" i="14" s="1"/>
  <c r="F145" i="24"/>
  <c r="L145" i="24" s="1"/>
  <c r="N51" i="14" s="1"/>
  <c r="L150" i="24"/>
  <c r="N56" i="14" s="1"/>
  <c r="L154" i="24"/>
  <c r="N60" i="14" s="1"/>
  <c r="L149" i="24"/>
  <c r="N55" i="14" s="1"/>
  <c r="L147" i="24"/>
  <c r="N53" i="14" s="1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M64" i="14" s="1"/>
  <c r="J225" i="20"/>
  <c r="M60" i="14" s="1"/>
  <c r="J220" i="20"/>
  <c r="M55" i="14" s="1"/>
  <c r="F216" i="20"/>
  <c r="J216" i="20" s="1"/>
  <c r="M51" i="14" s="1"/>
  <c r="J218" i="20"/>
  <c r="M53" i="14" s="1"/>
  <c r="J219" i="20"/>
  <c r="M54" i="14" s="1"/>
  <c r="J227" i="20"/>
  <c r="M62" i="14" s="1"/>
  <c r="J221" i="20"/>
  <c r="M56" i="14" s="1"/>
  <c r="J226" i="20"/>
  <c r="M61" i="14" s="1"/>
  <c r="J222" i="20"/>
  <c r="M57" i="14" s="1"/>
  <c r="J228" i="20"/>
  <c r="M63" i="14" s="1"/>
  <c r="J223" i="20"/>
  <c r="M58" i="14" s="1"/>
  <c r="J224" i="20"/>
  <c r="M59" i="14" s="1"/>
  <c r="K178" i="15"/>
  <c r="FL149" i="9"/>
  <c r="FM145" i="9"/>
  <c r="FM149" i="9" s="1"/>
  <c r="FM141" i="9" s="1"/>
  <c r="ES131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M22" i="13"/>
  <c r="T5" i="13"/>
  <c r="L174" i="20" l="1"/>
  <c r="AN143" i="20"/>
  <c r="H174" i="20" s="1" a="1"/>
  <c r="N205" i="20" s="1"/>
  <c r="AP141" i="20"/>
  <c r="H230" i="20" s="1"/>
  <c r="J230" i="20" s="1"/>
  <c r="M65" i="14" s="1"/>
  <c r="C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<sst xmlns="http://schemas.openxmlformats.org/spreadsheetml/2006/main" count="5827" uniqueCount="626">
  <si>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</si>
  <si>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</si>
  <si>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</si>
  <si>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</si>
  <si>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</si>
  <si>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</si>
  <si>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</si>
  <si>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</si>
  <si>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</si>
  <si>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</si>
  <si>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</si>
  <si>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</si>
  <si>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</si>
  <si>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</si>
  <si>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</si>
  <si>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</si>
  <si>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</si>
  <si>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</si>
  <si>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</si>
  <si>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</si>
  <si>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</si>
  <si>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</si>
  <si>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</si>
  <si>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</si>
  <si>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</si>
  <si>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</si>
  <si>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</si>
  <si>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</si>
  <si>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</si>
  <si>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</si>
  <si>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</si>
  <si>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</si>
  <si>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</si>
  <si>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</si>
  <si>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</si>
  <si>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</si>
  <si>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</si>
  <si>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</si>
  <si>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</si>
  <si>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</si>
  <si>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</si>
  <si>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</si>
  <si>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</si>
  <si>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</si>
  <si>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</si>
  <si>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</si>
  <si>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</si>
  <si>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</si>
  <si>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</si>
  <si>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</si>
  <si>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</si>
  <si>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</si>
  <si>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</si>
  <si>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</si>
  <si>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</si>
  <si>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</si>
  <si>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</si>
  <si>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</si>
  <si>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</si>
  <si>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</si>
  <si>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</si>
  <si>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</si>
  <si>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</si>
  <si>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</si>
  <si>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</si>
  <si>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</si>
  <si>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</si>
  <si>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</si>
  <si>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</si>
  <si>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</si>
  <si>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</si>
  <si>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</si>
  <si>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</si>
  <si>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</si>
  <si>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</si>
  <si>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</si>
  <si>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</si>
  <si>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</si>
  <si>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</si>
  <si>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</si>
  <si>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</si>
  <si>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</si>
  <si>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</si>
  <si>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</si>
  <si>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</si>
  <si>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</si>
  <si>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</si>
  <si>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</si>
  <si>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</si>
  <si>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</si>
  <si>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</si>
  <si>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</si>
  <si>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</si>
  <si>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</si>
  <si>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</si>
  <si>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</si>
  <si>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</si>
  <si>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</si>
  <si>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</si>
  <si>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</si>
  <si>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</si>
  <si>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</si>
  <si>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</si>
  <si>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</si>
  <si>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</si>
  <si>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</si>
  <si>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</si>
  <si>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</si>
  <si>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</si>
  <si>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</si>
  <si>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</si>
  <si>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</si>
  <si>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</si>
  <si>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</si>
  <si>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</si>
  <si>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</si>
  <si>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</si>
  <si>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</si>
  <si>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</si>
  <si>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</si>
  <si>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</si>
  <si>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</si>
  <si>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</si>
  <si>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</si>
  <si>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</si>
  <si>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</si>
  <si>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</si>
  <si>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</si>
  <si>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</si>
  <si>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</si>
  <si>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</si>
  <si>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</si>
  <si>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</si>
  <si>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</si>
  <si>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</si>
  <si>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</si>
  <si>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</si>
  <si>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</si>
  <si>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</si>
  <si>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</si>
  <si>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</si>
  <si>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</si>
  <si>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</si>
  <si>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</si>
  <si>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</si>
  <si>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</si>
  <si>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</si>
  <si>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</si>
  <si>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</si>
  <si>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</si>
  <si>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</si>
  <si>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</si>
  <si>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</si>
  <si>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</si>
  <si>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</si>
  <si>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</si>
  <si>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</si>
  <si>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</si>
  <si>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</si>
  <si>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</si>
  <si>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</si>
  <si>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</si>
  <si>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</si>
  <si>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</si>
  <si>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</si>
  <si>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</si>
  <si>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</si>
  <si>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</si>
  <si>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</si>
  <si>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</si>
  <si>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</si>
  <si>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</si>
  <si>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</si>
  <si>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</si>
  <si>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</si>
  <si>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</si>
  <si>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</si>
  <si>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</si>
  <si>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</si>
  <si>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</si>
  <si>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</si>
  <si>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</si>
  <si>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</si>
  <si>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</si>
  <si>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</si>
  <si>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</si>
  <si>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</si>
  <si>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</si>
  <si>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</si>
  <si>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</si>
  <si>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</si>
  <si>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</si>
  <si>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</si>
  <si>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</si>
  <si>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</si>
  <si>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</si>
  <si>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</si>
  <si>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</si>
  <si>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</si>
  <si>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</si>
  <si>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</si>
  <si>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</si>
  <si>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</si>
  <si>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</si>
  <si>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</si>
  <si>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</si>
  <si>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</si>
  <si>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</si>
  <si>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</si>
  <si>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</si>
  <si>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</si>
  <si>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</si>
  <si>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</si>
  <si>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</si>
  <si>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</si>
  <si>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</si>
  <si>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</si>
  <si>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</si>
  <si>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</si>
  <si>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</si>
  <si>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</si>
  <si>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</si>
  <si>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</si>
  <si>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</si>
  <si>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</si>
  <si>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</si>
  <si>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</si>
  <si>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</si>
  <si>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</si>
  <si>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</si>
  <si>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</si>
  <si>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</si>
  <si>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</si>
  <si>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</si>
  <si>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</si>
  <si>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</si>
  <si>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</si>
  <si>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</si>
  <si>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</si>
  <si>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</si>
  <si>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</si>
  <si>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</si>
  <si>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</si>
  <si>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</si>
  <si>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</si>
  <si>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</si>
  <si>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</si>
  <si>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</si>
  <si>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</si>
  <si>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</si>
  <si>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</si>
  <si>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</si>
  <si>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</si>
  <si>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</si>
  <si>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</si>
  <si>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</si>
  <si>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</si>
  <si>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</si>
  <si>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</si>
  <si>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</si>
  <si>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</si>
  <si>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</si>
  <si>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</si>
  <si>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</si>
  <si>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</si>
  <si>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</si>
  <si>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</si>
  <si>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</si>
  <si>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</si>
  <si>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</si>
  <si>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</si>
  <si>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</si>
  <si>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</si>
  <si>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</si>
  <si>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</si>
  <si>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</si>
  <si>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</si>
  <si>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</si>
  <si>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</si>
  <si>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</si>
  <si>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</si>
  <si>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</si>
  <si>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</si>
  <si>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</si>
  <si>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</si>
  <si>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</si>
  <si>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</si>
  <si>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</si>
  <si>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</si>
  <si>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</si>
  <si>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</si>
  <si>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</si>
  <si>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</si>
  <si>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</si>
  <si>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</si>
  <si>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</si>
  <si>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</si>
  <si>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</si>
  <si>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</si>
  <si>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</si>
  <si>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</si>
  <si>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</si>
  <si>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</si>
  <si>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</si>
  <si>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</si>
  <si>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</si>
  <si>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</si>
  <si>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</si>
  <si>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</si>
  <si>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</si>
  <si>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</si>
  <si>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</si>
  <si>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</si>
  <si>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</si>
  <si>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</si>
  <si>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</si>
  <si>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</si>
  <si>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</si>
  <si>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</si>
  <si>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</si>
  <si>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</si>
  <si>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</si>
  <si>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</si>
  <si>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</si>
  <si>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</si>
  <si>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</si>
  <si>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</si>
  <si>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</si>
  <si>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</si>
  <si>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</si>
  <si>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</si>
  <si>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</si>
  <si>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</si>
  <si>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</si>
  <si>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</si>
  <si>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</si>
  <si>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</si>
  <si>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</si>
  <si>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</si>
  <si>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</si>
  <si>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</si>
  <si>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</si>
  <si>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</si>
  <si>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</si>
  <si>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</si>
  <si>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</si>
  <si>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</si>
  <si>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</si>
  <si>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</si>
  <si>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</si>
  <si>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</si>
  <si>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</si>
  <si>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</si>
  <si>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</si>
  <si>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</si>
  <si>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</si>
  <si>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</si>
  <si>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</si>
  <si>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</si>
  <si>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</si>
  <si>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</si>
  <si>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</si>
  <si>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</si>
  <si>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</si>
  <si>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</si>
  <si>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</si>
  <si>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</si>
  <si>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</si>
  <si>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</si>
  <si>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</si>
  <si>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</si>
  <si>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</si>
  <si>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</si>
  <si>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</si>
  <si>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</si>
  <si>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</si>
  <si>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</si>
  <si>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</si>
  <si>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</si>
  <si>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</si>
  <si>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</si>
  <si>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</si>
  <si>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</si>
  <si>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</si>
  <si>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</si>
  <si>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</si>
  <si>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</si>
  <si>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</si>
  <si>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</si>
  <si>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</si>
  <si>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</si>
  <si>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</si>
  <si>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</si>
  <si>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</si>
  <si>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</si>
  <si>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</si>
  <si>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</si>
  <si>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</si>
  <si>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</si>
  <si>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</si>
  <si>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</si>
  <si>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</si>
  <si>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</si>
  <si>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</si>
  <si>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</si>
  <si>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</si>
  <si>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</si>
  <si>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</si>
  <si>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</si>
  <si>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</si>
  <si>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</si>
  <si>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</si>
  <si>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</si>
  <si>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</si>
  <si>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</si>
  <si>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</si>
  <si>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</si>
  <si>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</si>
  <si>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</si>
  <si>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</si>
  <si>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</si>
  <si>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</si>
  <si>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</si>
  <si>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</si>
  <si>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</si>
  <si>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</si>
  <si>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</si>
  <si>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</si>
  <si>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</si>
  <si>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</si>
  <si>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</si>
  <si>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</si>
  <si>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</si>
  <si>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</si>
  <si>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</si>
  <si>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</si>
  <si>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</si>
  <si>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</si>
  <si>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</si>
  <si>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</si>
  <si>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</si>
  <si>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</si>
  <si>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</si>
  <si>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</si>
  <si>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</si>
  <si>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</si>
  <si>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</si>
  <si>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</si>
  <si>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</si>
  <si>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</si>
  <si>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</si>
  <si>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</si>
  <si>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</si>
  <si>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</si>
  <si>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</si>
  <si>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</si>
  <si>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</si>
  <si>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</si>
  <si>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</si>
  <si>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</si>
  <si>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</si>
  <si>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</si>
  <si>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</si>
  <si>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</si>
  <si>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</si>
  <si>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</si>
  <si>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</si>
  <si>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</si>
  <si>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</si>
  <si>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</si>
  <si>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</si>
  <si>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</si>
  <si>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</si>
  <si>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</si>
  <si>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</si>
  <si>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</si>
  <si>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</si>
  <si>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</si>
  <si>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</si>
  <si>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</si>
  <si>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</si>
  <si>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</si>
  <si>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</si>
  <si>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</si>
  <si>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</si>
  <si>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</si>
  <si>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</si>
  <si>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</si>
  <si>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</si>
  <si>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</si>
  <si>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</si>
  <si>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</si>
  <si>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</si>
  <si>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</si>
  <si>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</si>
  <si>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</si>
  <si>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</si>
  <si>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</si>
  <si>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</si>
  <si>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</si>
  <si>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</si>
  <si>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</si>
  <si>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</si>
  <si>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</si>
  <si>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</si>
  <si>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</si>
  <si>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</si>
  <si>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</si>
  <si>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</si>
  <si>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</si>
  <si>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</si>
  <si>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</si>
  <si>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</si>
  <si>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</si>
  <si>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</si>
  <si>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</si>
  <si>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</si>
  <si>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</si>
  <si>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</si>
  <si>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</si>
  <si>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</si>
  <si>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</si>
  <si>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</si>
  <si>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</si>
  <si>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</si>
  <si>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</si>
  <si>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</si>
  <si>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</si>
  <si>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</si>
  <si>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</si>
  <si>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</si>
  <si>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</si>
  <si>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</si>
  <si>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</si>
  <si>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</si>
  <si>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</si>
  <si>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</si>
  <si>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</si>
  <si>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</si>
  <si>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</si>
  <si>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</si>
  <si>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</si>
  <si>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</si>
  <si>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</si>
  <si>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</si>
  <si>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</si>
  <si>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</si>
  <si>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</si>
  <si>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</si>
  <si>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</si>
  <si>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</si>
  <si>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</si>
  <si>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</si>
  <si>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</si>
  <si>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</si>
  <si>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</si>
  <si>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</si>
  <si>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</si>
  <si>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</si>
  <si>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</si>
  <si>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</si>
  <si>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</si>
  <si>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</si>
  <si>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</si>
  <si>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</si>
  <si>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</si>
  <si>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</si>
  <si>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</si>
  <si>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</si>
  <si>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</si>
  <si>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</si>
  <si>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</si>
  <si>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</si>
  <si>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</si>
  <si>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</si>
  <si>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</si>
  <si>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</si>
  <si>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</si>
  <si>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</si>
  <si>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</si>
  <si>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</si>
  <si>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</si>
  <si>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</si>
  <si>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</si>
  <si>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</si>
  <si>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</si>
  <si>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</si>
  <si>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</si>
  <si>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</si>
  <si>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</si>
  <si>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</si>
  <si>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</si>
  <si>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</si>
  <si>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</si>
  <si>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</si>
  <si>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</si>
  <si>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</si>
  <si>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</si>
  <si>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</si>
  <si>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</si>
  <si>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</si>
  <si>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</si>
  <si>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</si>
  <si>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</si>
  <si>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</si>
  <si>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</si>
  <si>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</si>
  <si>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</si>
  <si>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</si>
  <si>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</si>
  <si>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</si>
  <si>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</si>
  <si>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</si>
  <si>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</si>
  <si>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</si>
  <si>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</si>
  <si>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</si>
  <si>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</si>
  <si>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</si>
  <si>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</si>
  <si>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</si>
  <si>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</si>
  <si>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</si>
  <si>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</si>
  <si>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t>$Q_{loss}$</t>
  </si>
  <si>
    <t>$I$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</si>
</sst>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443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3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6" fillId="0" borderId="0" xfId="0" applyFont="1" applyAlignment="1">
      <alignment horizontal="center" vertical="center" textRotation="90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4" fillId="0" borderId="0" xfId="0" applyFont="1" applyAlignment="1">
      <alignment horizontal="center"/>
    </xf>
    <xf numFmtId="0" fontId="21" fillId="0" borderId="2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6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9" fillId="0" borderId="8" xfId="0" applyFont="1" applyBorder="1" applyAlignment="1">
      <alignment horizontal="center"/>
    </xf>
    <xf numFmtId="0" fontId="0" fillId="7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9" fillId="8" borderId="6" xfId="0" applyFon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9" fillId="7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8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0" borderId="29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4" borderId="17" xfId="0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7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35" fillId="0" borderId="25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35" fillId="0" borderId="27" xfId="0" applyFont="1" applyBorder="1" applyAlignment="1">
      <alignment horizontal="center"/>
    </xf>
    <xf numFmtId="0" fontId="35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1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1" fillId="0" borderId="0" xfId="0" applyFont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29" xfId="0" applyFont="1" applyBorder="1" applyAlignment="1">
      <alignment horizontal="center" vertical="center" textRotation="90"/>
    </xf>
    <xf numFmtId="0" fontId="9" fillId="0" borderId="29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13" borderId="18" xfId="0" applyFill="1" applyBorder="1" applyAlignment="1">
      <alignment horizontal="center"/>
    </xf>
    <xf numFmtId="0" fontId="0" fillId="13" borderId="15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35" fillId="0" borderId="26" xfId="0" applyFont="1" applyBorder="1" applyAlignment="1">
      <alignment horizontal="center"/>
    </xf>
    <xf numFmtId="0" fontId="31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4" borderId="0" xfId="0" applyFill="1"/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42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3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6" fillId="0" borderId="0" xfId="0" applyFont="1" applyAlignment="1">
      <alignment horizontal="center"/>
    </xf>
    <xf numFmtId="0" fontId="31" fillId="0" borderId="40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18" borderId="6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38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4" borderId="2" xfId="0" applyFill="1" applyBorder="1" applyAlignment="1">
      <alignment horizontal="center"/>
    </xf>
    <xf numFmtId="0" fontId="31" fillId="4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28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2" fillId="0" borderId="0" xfId="0" applyFont="1"/>
    <xf numFmtId="0" fontId="52" fillId="20" borderId="7" xfId="0" applyFont="1" applyFill="1" applyBorder="1" applyAlignment="1">
      <alignment horizontal="center"/>
    </xf>
    <xf numFmtId="0" fontId="52" fillId="20" borderId="34" xfId="0" applyFont="1" applyFill="1" applyBorder="1" applyAlignment="1">
      <alignment horizontal="center"/>
    </xf>
    <xf numFmtId="0" fontId="52" fillId="20" borderId="32" xfId="0" applyFont="1" applyFill="1" applyBorder="1" applyAlignment="1">
      <alignment horizontal="center"/>
    </xf>
    <xf numFmtId="0" fontId="52" fillId="18" borderId="38" xfId="0" applyFont="1" applyFill="1" applyBorder="1" applyAlignment="1">
      <alignment horizontal="center"/>
    </xf>
    <xf numFmtId="0" fontId="52" fillId="18" borderId="35" xfId="0" applyFont="1" applyFill="1" applyBorder="1" applyAlignment="1">
      <alignment horizontal="center"/>
    </xf>
    <xf numFmtId="0" fontId="52" fillId="18" borderId="6" xfId="0" applyFont="1" applyFill="1" applyBorder="1" applyAlignment="1">
      <alignment horizontal="center"/>
    </xf>
    <xf numFmtId="0" fontId="52" fillId="15" borderId="22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21" fillId="18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/>
    </xf>
    <xf numFmtId="0" fontId="21" fillId="13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21" borderId="0" xfId="0" applyFill="1" applyAlignment="1">
      <alignment horizontal="center"/>
    </xf>
    <xf numFmtId="0" fontId="14" fillId="0" borderId="0" xfId="0" applyFont="1" applyAlignment="1">
      <alignment horizontal="center" textRotation="90"/>
    </xf>
    <xf numFmtId="0" fontId="28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1" borderId="0" xfId="0" applyNumberFormat="1" applyFill="1" applyAlignment="1">
      <alignment horizontal="center"/>
    </xf>
    <xf numFmtId="0" fontId="0" fillId="14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1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4" borderId="0" xfId="0" applyNumberFormat="1" applyFill="1" applyAlignment="1">
      <alignment horizontal="center"/>
    </xf>
    <xf numFmtId="0" fontId="48" fillId="0" borderId="0" xfId="0" applyFont="1" applyAlignment="1">
      <alignment vertical="center" textRotation="90"/>
    </xf>
    <xf numFmtId="0" fontId="0" fillId="22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31" fillId="0" borderId="39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43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3" fillId="0" borderId="18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41" xfId="0" applyFont="1" applyBorder="1" applyAlignment="1">
      <alignment horizontal="center"/>
    </xf>
    <xf numFmtId="0" fontId="44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2" fillId="0" borderId="0" xfId="0" applyFont="1"/>
    <xf numFmtId="0" fontId="15" fillId="0" borderId="17" xfId="0" applyFont="1" applyBorder="1" applyAlignment="1">
      <alignment horizontal="center"/>
    </xf>
    <xf numFmtId="0" fontId="52" fillId="20" borderId="8" xfId="0" applyFont="1" applyFill="1" applyBorder="1" applyAlignment="1">
      <alignment horizontal="center"/>
    </xf>
    <xf numFmtId="0" fontId="52" fillId="18" borderId="0" xfId="0" applyFont="1" applyFill="1" applyAlignment="1">
      <alignment horizontal="center"/>
    </xf>
    <xf numFmtId="0" fontId="52" fillId="15" borderId="23" xfId="0" applyFont="1" applyFill="1" applyBorder="1" applyAlignment="1">
      <alignment horizontal="center"/>
    </xf>
    <xf numFmtId="0" fontId="52" fillId="15" borderId="6" xfId="0" applyFont="1" applyFill="1" applyBorder="1" applyAlignment="1">
      <alignment horizontal="center"/>
    </xf>
    <xf numFmtId="0" fontId="54" fillId="18" borderId="6" xfId="0" applyFont="1" applyFill="1" applyBorder="1" applyAlignment="1">
      <alignment horizontal="center"/>
    </xf>
    <xf numFmtId="0" fontId="54" fillId="15" borderId="33" xfId="0" applyFont="1" applyFill="1" applyBorder="1" applyAlignment="1">
      <alignment horizontal="center"/>
    </xf>
    <xf numFmtId="0" fontId="52" fillId="15" borderId="35" xfId="0" applyFont="1" applyFill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44" fillId="0" borderId="0" xfId="0" applyFont="1" applyAlignment="1">
      <alignment horizontal="right"/>
    </xf>
    <xf numFmtId="0" fontId="45" fillId="0" borderId="0" xfId="0" applyFont="1" applyAlignment="1">
      <alignment horizontal="right"/>
    </xf>
    <xf numFmtId="0" fontId="0" fillId="16" borderId="0" xfId="0" applyFill="1" applyAlignment="1">
      <alignment horizontal="center"/>
    </xf>
    <xf numFmtId="0" fontId="45" fillId="0" borderId="0" xfId="0" applyFont="1" applyAlignment="1">
      <alignment horizontal="center" vertical="center"/>
    </xf>
    <xf numFmtId="0" fontId="12" fillId="8" borderId="0" xfId="0" applyFont="1" applyFill="1" applyAlignment="1">
      <alignment horizontal="center"/>
    </xf>
    <xf numFmtId="0" fontId="45" fillId="8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8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1" fillId="0" borderId="0" xfId="0" applyFont="1" applyAlignment="1">
      <alignment horizontal="center" vertical="center"/>
    </xf>
    <xf numFmtId="0" fontId="63" fillId="0" borderId="0" xfId="0" applyFont="1" applyAlignment="1">
      <alignment horizontal="center"/>
    </xf>
    <xf numFmtId="0" fontId="0" fillId="20" borderId="0" xfId="0" applyFill="1" applyAlignment="1">
      <alignment horizontal="center"/>
    </xf>
    <xf numFmtId="0" fontId="0" fillId="0" borderId="43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right"/>
    </xf>
    <xf numFmtId="0" fontId="31" fillId="2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0" fontId="0" fillId="25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45" fillId="0" borderId="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1" xfId="0" applyNumberFormat="1" applyBorder="1" applyAlignment="1">
      <alignment horizontal="center"/>
    </xf>
    <xf numFmtId="0" fontId="62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2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2" fontId="12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68" fillId="0" borderId="0" xfId="0" applyFont="1"/>
    <xf numFmtId="0" fontId="69" fillId="0" borderId="0" xfId="0" applyFont="1"/>
    <xf numFmtId="0" fontId="70" fillId="0" borderId="0" xfId="0" applyFont="1"/>
    <xf numFmtId="0" fontId="31" fillId="26" borderId="0" xfId="0" applyFont="1" applyFill="1" applyAlignment="1">
      <alignment horizontal="center"/>
    </xf>
    <xf numFmtId="0" fontId="31" fillId="27" borderId="0" xfId="0" applyFont="1" applyFill="1" applyAlignment="1">
      <alignment horizontal="center"/>
    </xf>
    <xf numFmtId="0" fontId="31" fillId="25" borderId="0" xfId="0" applyFont="1" applyFill="1" applyAlignment="1">
      <alignment horizontal="center"/>
    </xf>
    <xf numFmtId="0" fontId="71" fillId="28" borderId="0" xfId="0" applyFont="1" applyFill="1" applyAlignment="1">
      <alignment horizontal="center"/>
    </xf>
    <xf numFmtId="0" fontId="7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73" fillId="28" borderId="0" xfId="0" applyFont="1" applyFill="1" applyAlignment="1">
      <alignment horizontal="center"/>
    </xf>
    <xf numFmtId="2" fontId="31" fillId="26" borderId="0" xfId="0" applyNumberFormat="1" applyFont="1" applyFill="1" applyAlignment="1">
      <alignment horizontal="center"/>
    </xf>
    <xf numFmtId="2" fontId="31" fillId="27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74" fillId="29" borderId="0" xfId="0" applyFont="1" applyFill="1"/>
    <xf numFmtId="0" fontId="74" fillId="29" borderId="0" xfId="0" applyFont="1" applyFill="1" applyAlignment="1">
      <alignment horizontal="center"/>
    </xf>
    <xf numFmtId="0" fontId="73" fillId="0" borderId="0" xfId="0" applyFont="1" applyAlignment="1">
      <alignment horizontal="right"/>
    </xf>
    <xf numFmtId="0" fontId="73" fillId="14" borderId="0" xfId="0" applyFont="1" applyFill="1"/>
    <xf numFmtId="0" fontId="0" fillId="29" borderId="0" xfId="0" applyFill="1"/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3" fillId="25" borderId="0" xfId="0" applyFont="1" applyFill="1" applyAlignment="1">
      <alignment horizontal="center"/>
    </xf>
    <xf numFmtId="0" fontId="18" fillId="0" borderId="0" xfId="0" applyFont="1" applyAlignment="1">
      <alignment horizontal="center" textRotation="90"/>
    </xf>
    <xf numFmtId="0" fontId="31" fillId="0" borderId="0" xfId="0" applyFont="1" applyAlignment="1">
      <alignment horizontal="center" textRotation="90"/>
    </xf>
    <xf numFmtId="0" fontId="74" fillId="26" borderId="0" xfId="0" applyFont="1" applyFill="1" applyAlignment="1">
      <alignment horizontal="center"/>
    </xf>
    <xf numFmtId="0" fontId="31" fillId="23" borderId="0" xfId="0" applyFont="1" applyFill="1" applyAlignment="1">
      <alignment horizontal="center"/>
    </xf>
    <xf numFmtId="2" fontId="31" fillId="23" borderId="0" xfId="0" applyNumberFormat="1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31" fillId="30" borderId="0" xfId="0" applyFont="1" applyFill="1" applyAlignment="1">
      <alignment horizontal="center"/>
    </xf>
    <xf numFmtId="0" fontId="78" fillId="0" borderId="0" xfId="0" applyFont="1" applyAlignment="1">
      <alignment horizontal="center"/>
    </xf>
    <xf numFmtId="0" fontId="31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0" fillId="0" borderId="6" xfId="0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31" fillId="0" borderId="48" xfId="0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12" fillId="0" borderId="49" xfId="0" applyFont="1" applyBorder="1" applyAlignment="1">
      <alignment horizontal="center"/>
    </xf>
    <xf numFmtId="0" fontId="31" fillId="0" borderId="49" xfId="0" applyFont="1" applyBorder="1" applyAlignment="1">
      <alignment horizontal="center"/>
    </xf>
    <xf numFmtId="0" fontId="31" fillId="0" borderId="50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0" xfId="0" applyAlignment="1">
      <alignment wrapText="1"/>
    </xf>
    <xf numFmtId="0" fontId="43" fillId="0" borderId="19" xfId="0" applyFont="1" applyBorder="1" applyAlignment="1">
      <alignment horizontal="center"/>
    </xf>
    <xf numFmtId="0" fontId="81" fillId="0" borderId="0" xfId="0" applyFont="1"/>
    <xf numFmtId="0" fontId="82" fillId="0" borderId="0" xfId="0" applyFont="1" applyAlignment="1">
      <alignment wrapText="1"/>
    </xf>
    <xf numFmtId="0" fontId="12" fillId="0" borderId="35" xfId="0" applyFont="1" applyBorder="1" applyAlignment="1">
      <alignment horizontal="center"/>
    </xf>
    <xf numFmtId="0" fontId="82" fillId="0" borderId="0" xfId="0" applyFont="1"/>
    <xf numFmtId="0" fontId="0" fillId="0" borderId="0" xfId="0" applyAlignment="1">
      <alignment vertical="center" wrapText="1"/>
    </xf>
    <xf numFmtId="0" fontId="83" fillId="0" borderId="0" xfId="0" applyFont="1" applyAlignment="1">
      <alignment horizontal="center"/>
    </xf>
    <xf numFmtId="0" fontId="85" fillId="0" borderId="0" xfId="0" applyFont="1"/>
    <xf numFmtId="0" fontId="80" fillId="4" borderId="0" xfId="0" applyFont="1" applyFill="1" applyAlignment="1">
      <alignment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6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48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48" fillId="0" borderId="13" xfId="0" applyFont="1" applyBorder="1" applyAlignment="1">
      <alignment horizontal="center" vertical="center"/>
    </xf>
    <xf numFmtId="0" fontId="56" fillId="0" borderId="38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12" xfId="0" applyBorder="1" applyAlignment="1">
      <alignment horizontal="center" wrapText="1"/>
    </xf>
    <xf numFmtId="0" fontId="48" fillId="0" borderId="38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7" borderId="16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6" fillId="0" borderId="1" xfId="0" applyFont="1" applyBorder="1" applyAlignment="1">
      <alignment horizontal="center"/>
    </xf>
    <xf numFmtId="0" fontId="19" fillId="0" borderId="12" xfId="1" applyBorder="1" applyAlignment="1">
      <alignment horizontal="center" wrapText="1"/>
    </xf>
    <xf numFmtId="0" fontId="44" fillId="0" borderId="0" xfId="0" applyFont="1" applyAlignment="1">
      <alignment horizontal="center" vertical="center" textRotation="90" wrapText="1"/>
    </xf>
    <xf numFmtId="0" fontId="32" fillId="12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0" fillId="14" borderId="0" xfId="0" applyFont="1" applyFill="1" applyAlignment="1">
      <alignment horizontal="center" vertical="center"/>
    </xf>
    <xf numFmtId="0" fontId="62" fillId="23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textRotation="90" wrapText="1"/>
    </xf>
    <xf numFmtId="0" fontId="57" fillId="14" borderId="0" xfId="0" applyFont="1" applyFill="1" applyAlignment="1">
      <alignment horizontal="center" vertical="center"/>
    </xf>
    <xf numFmtId="0" fontId="58" fillId="14" borderId="0" xfId="0" applyFont="1" applyFill="1" applyAlignment="1">
      <alignment horizontal="center" vertical="center"/>
    </xf>
    <xf numFmtId="0" fontId="12" fillId="9" borderId="1" xfId="0" applyFont="1" applyFill="1" applyBorder="1" applyAlignment="1">
      <alignment horizontal="center"/>
    </xf>
    <xf numFmtId="0" fontId="28" fillId="0" borderId="0" xfId="0" applyFont="1" applyAlignment="1">
      <alignment horizontal="center" vertical="center" textRotation="90"/>
    </xf>
    <xf numFmtId="0" fontId="10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32" fillId="12" borderId="29" xfId="0" applyFont="1" applyFill="1" applyBorder="1" applyAlignment="1">
      <alignment horizontal="center" vertical="center"/>
    </xf>
    <xf numFmtId="0" fontId="62" fillId="23" borderId="1" xfId="0" applyFont="1" applyFill="1" applyBorder="1" applyAlignment="1">
      <alignment horizontal="center" vertical="center"/>
    </xf>
    <xf numFmtId="0" fontId="43" fillId="14" borderId="0" xfId="0" applyFont="1" applyFill="1" applyAlignment="1">
      <alignment horizontal="center" vertical="center"/>
    </xf>
    <xf numFmtId="0" fontId="48" fillId="16" borderId="0" xfId="0" applyFont="1" applyFill="1" applyAlignment="1">
      <alignment horizontal="center" vertical="center"/>
    </xf>
    <xf numFmtId="0" fontId="48" fillId="16" borderId="29" xfId="0" applyFont="1" applyFill="1" applyBorder="1" applyAlignment="1">
      <alignment horizontal="center" vertical="center"/>
    </xf>
    <xf numFmtId="0" fontId="43" fillId="0" borderId="18" xfId="0" applyFont="1" applyBorder="1" applyAlignment="1">
      <alignment horizontal="center"/>
    </xf>
    <xf numFmtId="0" fontId="43" fillId="0" borderId="15" xfId="0" applyFont="1" applyBorder="1" applyAlignment="1">
      <alignment horizontal="center"/>
    </xf>
    <xf numFmtId="0" fontId="41" fillId="6" borderId="0" xfId="0" applyFont="1" applyFill="1" applyAlignment="1">
      <alignment horizontal="center" vertical="center"/>
    </xf>
    <xf numFmtId="0" fontId="41" fillId="6" borderId="29" xfId="0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/>
    </xf>
    <xf numFmtId="0" fontId="34" fillId="11" borderId="0" xfId="0" applyFont="1" applyFill="1" applyAlignment="1">
      <alignment horizontal="center" vertical="center"/>
    </xf>
    <xf numFmtId="0" fontId="34" fillId="11" borderId="29" xfId="0" applyFont="1" applyFill="1" applyBorder="1" applyAlignment="1">
      <alignment horizontal="center" vertical="center"/>
    </xf>
    <xf numFmtId="0" fontId="32" fillId="10" borderId="0" xfId="0" applyFont="1" applyFill="1" applyAlignment="1">
      <alignment horizontal="center" vertical="center"/>
    </xf>
    <xf numFmtId="0" fontId="14" fillId="9" borderId="19" xfId="0" applyFont="1" applyFill="1" applyBorder="1" applyAlignment="1">
      <alignment horizontal="center"/>
    </xf>
    <xf numFmtId="0" fontId="41" fillId="13" borderId="0" xfId="0" applyFont="1" applyFill="1" applyAlignment="1">
      <alignment horizontal="center" vertical="center"/>
    </xf>
    <xf numFmtId="0" fontId="41" fillId="13" borderId="29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 textRotation="90"/>
    </xf>
    <xf numFmtId="0" fontId="32" fillId="10" borderId="29" xfId="0" applyFont="1" applyFill="1" applyBorder="1" applyAlignment="1">
      <alignment horizontal="center" vertical="center"/>
    </xf>
    <xf numFmtId="0" fontId="9" fillId="0" borderId="42" xfId="0" applyFont="1" applyBorder="1" applyAlignment="1">
      <alignment horizontal="center" vertical="center" wrapText="1"/>
    </xf>
    <xf numFmtId="0" fontId="53" fillId="6" borderId="7" xfId="0" applyFont="1" applyFill="1" applyBorder="1" applyAlignment="1">
      <alignment horizontal="center" vertical="center"/>
    </xf>
    <xf numFmtId="0" fontId="53" fillId="6" borderId="9" xfId="0" applyFont="1" applyFill="1" applyBorder="1" applyAlignment="1">
      <alignment horizontal="center" vertical="center"/>
    </xf>
    <xf numFmtId="0" fontId="53" fillId="13" borderId="7" xfId="0" applyFont="1" applyFill="1" applyBorder="1" applyAlignment="1">
      <alignment horizontal="center" vertical="center"/>
    </xf>
    <xf numFmtId="0" fontId="53" fillId="13" borderId="8" xfId="0" applyFont="1" applyFill="1" applyBorder="1" applyAlignment="1">
      <alignment horizontal="center" vertical="center"/>
    </xf>
    <xf numFmtId="0" fontId="53" fillId="13" borderId="9" xfId="0" applyFont="1" applyFill="1" applyBorder="1" applyAlignment="1">
      <alignment horizontal="center" vertical="center"/>
    </xf>
    <xf numFmtId="0" fontId="53" fillId="17" borderId="7" xfId="0" applyFont="1" applyFill="1" applyBorder="1" applyAlignment="1">
      <alignment horizontal="center" vertical="center"/>
    </xf>
    <xf numFmtId="0" fontId="53" fillId="17" borderId="8" xfId="0" applyFont="1" applyFill="1" applyBorder="1" applyAlignment="1">
      <alignment horizontal="center" vertical="center"/>
    </xf>
    <xf numFmtId="0" fontId="53" fillId="17" borderId="9" xfId="0" applyFont="1" applyFill="1" applyBorder="1" applyAlignment="1">
      <alignment horizontal="center" vertical="center"/>
    </xf>
    <xf numFmtId="0" fontId="53" fillId="19" borderId="4" xfId="0" applyFont="1" applyFill="1" applyBorder="1" applyAlignment="1">
      <alignment horizontal="center" vertical="center"/>
    </xf>
    <xf numFmtId="0" fontId="53" fillId="19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1" fillId="16" borderId="0" xfId="0" applyFont="1" applyFill="1" applyAlignment="1">
      <alignment horizontal="center" vertical="center" textRotation="90"/>
    </xf>
    <xf numFmtId="0" fontId="43" fillId="0" borderId="0" xfId="0" applyFont="1" applyAlignment="1">
      <alignment horizontal="center"/>
    </xf>
    <xf numFmtId="0" fontId="21" fillId="6" borderId="0" xfId="0" applyFont="1" applyFill="1" applyAlignment="1">
      <alignment horizontal="center" vertical="center" textRotation="90"/>
    </xf>
    <xf numFmtId="0" fontId="21" fillId="13" borderId="0" xfId="0" applyFont="1" applyFill="1" applyAlignment="1">
      <alignment horizontal="center" vertical="center" textRotation="90"/>
    </xf>
    <xf numFmtId="0" fontId="80" fillId="4" borderId="0" xfId="0" applyFont="1" applyFill="1" applyAlignment="1">
      <alignment horizontal="center"/>
    </xf>
    <xf numFmtId="0" fontId="79" fillId="25" borderId="0" xfId="0" applyFont="1" applyFill="1" applyAlignment="1">
      <alignment horizontal="center" vertical="center"/>
    </xf>
    <xf numFmtId="0" fontId="21" fillId="18" borderId="0" xfId="0" applyFont="1" applyFill="1" applyAlignment="1">
      <alignment horizontal="center" vertical="center" textRotation="90"/>
    </xf>
    <xf numFmtId="0" fontId="85" fillId="0" borderId="0" xfId="0" applyFont="1" applyAlignment="1">
      <alignment horizontal="center"/>
    </xf>
    <xf numFmtId="0" fontId="4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45" t="s">
        <v>95</v>
      </c>
      <c r="S2" s="346"/>
      <c r="T2" s="345" t="s">
        <v>100</v>
      </c>
      <c r="U2" s="346"/>
      <c r="W2" s="345" t="s">
        <v>164</v>
      </c>
      <c r="X2" s="349"/>
      <c r="Y2" s="346"/>
      <c r="Z2" s="9" t="s">
        <v>51</v>
      </c>
      <c r="AB2" s="9" t="s">
        <v>93</v>
      </c>
      <c r="AC2" s="9" t="s">
        <v>270</v>
      </c>
      <c r="AF2" s="9" t="s">
        <v>573</v>
      </c>
      <c r="AG2" s="9" t="s">
        <v>573</v>
      </c>
      <c r="AI2" s="347" t="s">
        <v>305</v>
      </c>
      <c r="AJ2" s="347"/>
    </row>
    <row r="3" spans="2:41" ht="18" x14ac:dyDescent="0.25">
      <c r="C3" s="9" t="s">
        <v>53</v>
      </c>
      <c r="D3" s="15" t="s">
        <v>5</v>
      </c>
      <c r="E3" s="28" t="s">
        <v>6</v>
      </c>
      <c r="F3" s="14" t="s">
        <v>39</v>
      </c>
      <c r="G3" s="14" t="s">
        <v>39</v>
      </c>
      <c r="H3" s="14" t="s">
        <v>580</v>
      </c>
      <c r="J3" s="9" t="s">
        <v>54</v>
      </c>
      <c r="K3" s="14" t="s">
        <v>55</v>
      </c>
      <c r="M3" s="9" t="s">
        <v>56</v>
      </c>
      <c r="N3" s="9" t="s">
        <v>92</v>
      </c>
      <c r="O3" s="9" t="s">
        <v>102</v>
      </c>
      <c r="Q3" s="9" t="s">
        <v>93</v>
      </c>
      <c r="R3" s="9" t="s">
        <v>39</v>
      </c>
      <c r="S3" s="9" t="s">
        <v>94</v>
      </c>
      <c r="T3" s="9" t="s">
        <v>96</v>
      </c>
      <c r="U3" s="9" t="s">
        <v>97</v>
      </c>
      <c r="W3" s="9" t="s">
        <v>163</v>
      </c>
      <c r="X3" s="9" t="s">
        <v>170</v>
      </c>
      <c r="Y3" s="9" t="s">
        <v>363</v>
      </c>
      <c r="Z3" s="9" t="s">
        <v>52</v>
      </c>
      <c r="AB3" s="9" t="s">
        <v>40</v>
      </c>
      <c r="AC3" s="9" t="s">
        <v>271</v>
      </c>
      <c r="AF3" s="9" t="s">
        <v>271</v>
      </c>
      <c r="AG3" s="9" t="s">
        <v>574</v>
      </c>
      <c r="AI3" s="104" t="s">
        <v>250</v>
      </c>
      <c r="AJ3" s="9" t="s">
        <v>306</v>
      </c>
      <c r="AK3" s="9" t="s">
        <v>32</v>
      </c>
      <c r="AL3" s="9" t="s">
        <v>33</v>
      </c>
      <c r="AM3" s="9" t="s">
        <v>34</v>
      </c>
      <c r="AN3" s="9" t="s">
        <v>569</v>
      </c>
      <c r="AO3" s="9" t="s">
        <v>35</v>
      </c>
    </row>
    <row r="4" spans="2:41" ht="18" x14ac:dyDescent="0.25">
      <c r="C4" s="9" t="s">
        <v>57</v>
      </c>
      <c r="D4" s="15" t="s">
        <v>58</v>
      </c>
      <c r="E4" s="28" t="s">
        <v>13</v>
      </c>
      <c r="F4" s="14" t="s">
        <v>57</v>
      </c>
      <c r="G4" s="14" t="s">
        <v>271</v>
      </c>
      <c r="H4" s="14" t="s">
        <v>483</v>
      </c>
      <c r="J4" s="9" t="s">
        <v>59</v>
      </c>
      <c r="K4" s="14" t="s">
        <v>60</v>
      </c>
      <c r="M4" s="9" t="s">
        <v>61</v>
      </c>
      <c r="N4" s="9" t="s">
        <v>62</v>
      </c>
      <c r="O4" s="9" t="s">
        <v>57</v>
      </c>
      <c r="Q4" s="9" t="s">
        <v>40</v>
      </c>
      <c r="R4" s="4" t="s">
        <v>98</v>
      </c>
      <c r="S4" s="44" t="s">
        <v>101</v>
      </c>
      <c r="T4" s="4" t="s">
        <v>98</v>
      </c>
      <c r="U4" s="44" t="s">
        <v>101</v>
      </c>
      <c r="W4" s="9">
        <v>1.0550600000000001</v>
      </c>
      <c r="X4" s="9">
        <v>3600</v>
      </c>
      <c r="Y4" s="9">
        <f>4.184/1000</f>
        <v>4.1840000000000002E-3</v>
      </c>
      <c r="Z4" s="9">
        <v>1000</v>
      </c>
      <c r="AB4" s="9" t="s">
        <v>64</v>
      </c>
      <c r="AC4" s="9">
        <f>1000*50</f>
        <v>50000</v>
      </c>
      <c r="AE4" s="27" t="s">
        <v>64</v>
      </c>
      <c r="AF4" s="9">
        <v>9496.4</v>
      </c>
      <c r="AG4" s="318">
        <f>AF4/LHV_CH4</f>
        <v>0.18992799999999999</v>
      </c>
      <c r="AI4" s="9" t="s">
        <v>91</v>
      </c>
      <c r="AJ4" s="9" t="s">
        <v>271</v>
      </c>
      <c r="AK4" s="9" t="s">
        <v>91</v>
      </c>
      <c r="AL4" s="9" t="s">
        <v>91</v>
      </c>
      <c r="AM4" s="9" t="s">
        <v>91</v>
      </c>
      <c r="AN4" s="9" t="s">
        <v>271</v>
      </c>
      <c r="AO4" s="9" t="s">
        <v>91</v>
      </c>
    </row>
    <row r="5" spans="2:41" ht="17" x14ac:dyDescent="0.25">
      <c r="B5" s="1" t="s">
        <v>17</v>
      </c>
      <c r="C5" s="9">
        <v>0</v>
      </c>
      <c r="D5" s="11">
        <f>12.011/1000</f>
        <v>1.2010999999999999E-2</v>
      </c>
      <c r="E5" s="28">
        <f>K5</f>
        <v>410.3</v>
      </c>
      <c r="F5" s="14">
        <v>0</v>
      </c>
      <c r="G5" s="14">
        <f>F5/MW_C</f>
        <v>0</v>
      </c>
      <c r="H5" s="14" t="s">
        <v>606</v>
      </c>
      <c r="J5" s="9" t="s">
        <v>17</v>
      </c>
      <c r="K5" s="9">
        <v>410.3</v>
      </c>
      <c r="M5" s="9">
        <f>8.314/1000</f>
        <v>8.3140000000000002E-3</v>
      </c>
      <c r="N5" s="9">
        <v>298</v>
      </c>
      <c r="O5" s="9">
        <f>M5*N5</f>
        <v>2.4775719999999999</v>
      </c>
      <c r="Q5" s="9" t="s">
        <v>22</v>
      </c>
      <c r="R5" s="9">
        <f>115131.4/1000</f>
        <v>115.1314</v>
      </c>
      <c r="S5" s="9">
        <f>315.97/1000</f>
        <v>0.31597000000000003</v>
      </c>
      <c r="T5" s="9">
        <v>9.3640000000000008</v>
      </c>
      <c r="U5" s="9">
        <v>0.21368500000000001</v>
      </c>
      <c r="AB5" s="44" t="s">
        <v>388</v>
      </c>
      <c r="AC5" s="9">
        <v>43400</v>
      </c>
      <c r="AI5" s="9">
        <v>1.0437000000000001</v>
      </c>
      <c r="AJ5" s="9">
        <v>30080</v>
      </c>
      <c r="AK5" s="9">
        <v>0.18820000000000001</v>
      </c>
      <c r="AL5" s="9">
        <v>6.0999999999999999E-2</v>
      </c>
      <c r="AM5" s="9">
        <v>4.0399999999999998E-2</v>
      </c>
      <c r="AN5" s="9">
        <v>2442</v>
      </c>
      <c r="AO5" s="9">
        <v>9417</v>
      </c>
    </row>
    <row r="6" spans="2:41" ht="18" x14ac:dyDescent="0.25">
      <c r="B6" s="1" t="s">
        <v>20</v>
      </c>
      <c r="C6" s="9">
        <v>-1128.8432</v>
      </c>
      <c r="D6" s="11">
        <f>(40.078+12.011+(3*15.9994))/1000</f>
        <v>0.1000872</v>
      </c>
      <c r="E6" s="29">
        <f>K6+K5+((3/2)*K9)+C6</f>
        <v>11.256799999999885</v>
      </c>
      <c r="F6" s="15">
        <v>-1207.5999999999999</v>
      </c>
      <c r="G6" s="14">
        <f>F6/MW_CaCO3</f>
        <v>-12065.478902397108</v>
      </c>
      <c r="H6" s="14">
        <f>0.76*MW_CaCO3</f>
        <v>7.6066272000000004E-2</v>
      </c>
      <c r="J6" s="9" t="s">
        <v>30</v>
      </c>
      <c r="K6" s="9">
        <v>723.8</v>
      </c>
      <c r="Q6" s="9" t="s">
        <v>67</v>
      </c>
      <c r="R6" s="9">
        <f>94827.84/1000</f>
        <v>94.827839999999995</v>
      </c>
      <c r="S6" s="9">
        <f>270.35/1000</f>
        <v>0.27035000000000003</v>
      </c>
      <c r="T6" s="9">
        <v>9.9039999999999999</v>
      </c>
      <c r="U6" s="9">
        <v>0.18872</v>
      </c>
      <c r="AB6" s="44" t="s">
        <v>402</v>
      </c>
      <c r="AC6" s="9">
        <v>39500</v>
      </c>
      <c r="AI6" s="348" t="s">
        <v>548</v>
      </c>
      <c r="AJ6" s="348"/>
    </row>
    <row r="7" spans="2:41" ht="18" x14ac:dyDescent="0.25">
      <c r="B7" s="1" t="s">
        <v>21</v>
      </c>
      <c r="C7" s="9">
        <v>-1549.7117599999999</v>
      </c>
      <c r="D7" s="11">
        <f>(40.078+(3*15.9994)+28.0855)/1000</f>
        <v>0.11616169999999999</v>
      </c>
      <c r="E7" s="29">
        <f>C7+K10+K6+ ((3/2)*K9)</f>
        <v>34.288240000000087</v>
      </c>
      <c r="F7" s="15">
        <f>-89.61</f>
        <v>-89.61</v>
      </c>
      <c r="G7" s="14">
        <f>F7/MW_CaSiO3</f>
        <v>-771.42466062394067</v>
      </c>
      <c r="H7" s="14" t="s">
        <v>606</v>
      </c>
      <c r="J7" s="9" t="s">
        <v>15</v>
      </c>
      <c r="K7" s="9">
        <v>376.8</v>
      </c>
      <c r="Q7" s="32" t="s">
        <v>66</v>
      </c>
      <c r="R7" s="9">
        <f>73347.52/1000</f>
        <v>73.347520000000003</v>
      </c>
      <c r="S7" s="9">
        <f>256/1000</f>
        <v>0.25600000000000001</v>
      </c>
      <c r="T7" s="9">
        <f>8669/1000</f>
        <v>8.6690000000000005</v>
      </c>
      <c r="U7" s="9">
        <f>191.502/1000</f>
        <v>0.19150200000000001</v>
      </c>
      <c r="AB7" s="44" t="s">
        <v>389</v>
      </c>
      <c r="AC7" s="9">
        <v>42600</v>
      </c>
      <c r="AI7" s="9" t="s">
        <v>306</v>
      </c>
    </row>
    <row r="8" spans="2:41" ht="18" x14ac:dyDescent="0.25">
      <c r="B8" s="6" t="s">
        <v>63</v>
      </c>
      <c r="C8" s="9">
        <v>-394.4</v>
      </c>
      <c r="D8" s="11">
        <f>MW_C+(2*MW_O)</f>
        <v>4.4009800000000002E-2</v>
      </c>
      <c r="E8" s="28">
        <f>C8+K5+K9</f>
        <v>19.900000000000034</v>
      </c>
      <c r="F8" s="14">
        <v>-393.5</v>
      </c>
      <c r="G8" s="14">
        <f>F8/MW_CO2</f>
        <v>-8941.1903712354979</v>
      </c>
      <c r="H8" s="14" t="s">
        <v>606</v>
      </c>
      <c r="J8" s="9" t="s">
        <v>65</v>
      </c>
      <c r="K8" s="9">
        <v>236.1</v>
      </c>
      <c r="Q8" s="45"/>
      <c r="AI8" s="9" t="s">
        <v>271</v>
      </c>
    </row>
    <row r="9" spans="2:41" ht="18" x14ac:dyDescent="0.25">
      <c r="B9" s="6" t="s">
        <v>15</v>
      </c>
      <c r="C9" s="9">
        <v>0</v>
      </c>
      <c r="D9" s="16">
        <f>55.845/1000</f>
        <v>5.5844999999999999E-2</v>
      </c>
      <c r="E9" s="29">
        <f>C9+K7</f>
        <v>376.8</v>
      </c>
      <c r="F9" s="15">
        <v>0</v>
      </c>
      <c r="G9" s="14">
        <f>F9/MW_Fe</f>
        <v>0</v>
      </c>
      <c r="H9" s="14" t="s">
        <v>606</v>
      </c>
      <c r="J9" s="15" t="s">
        <v>23</v>
      </c>
      <c r="K9" s="9">
        <v>4</v>
      </c>
      <c r="Q9" s="6"/>
      <c r="AI9" s="9">
        <v>33412</v>
      </c>
    </row>
    <row r="10" spans="2:41" ht="18" x14ac:dyDescent="0.25">
      <c r="B10" s="1" t="s">
        <v>14</v>
      </c>
      <c r="C10" s="9">
        <v>-742.24159999999995</v>
      </c>
      <c r="D10" s="11">
        <f>((2*55.845)+(3*15.9994))/1000</f>
        <v>0.1596882</v>
      </c>
      <c r="E10" s="28">
        <f>C10+(2*K7)+((3/2)*K9)</f>
        <v>17.358400000000074</v>
      </c>
      <c r="F10" s="14">
        <v>-824.2</v>
      </c>
      <c r="G10" s="14">
        <f>F10/MW_Fe2O3</f>
        <v>-5161.3080991582347</v>
      </c>
      <c r="H10" s="14" t="s">
        <v>606</v>
      </c>
      <c r="J10" s="9" t="s">
        <v>29</v>
      </c>
      <c r="K10" s="9">
        <v>854.2</v>
      </c>
    </row>
    <row r="11" spans="2:41" ht="18" x14ac:dyDescent="0.25">
      <c r="B11" s="6" t="s">
        <v>28</v>
      </c>
      <c r="C11" s="9">
        <v>231.74757600000001</v>
      </c>
      <c r="D11" s="16">
        <f>15.9994/1000</f>
        <v>1.59994E-2</v>
      </c>
      <c r="E11" s="29">
        <f>C11+(0.5*K9)</f>
        <v>233.74757600000001</v>
      </c>
      <c r="F11" s="15">
        <v>249.2</v>
      </c>
      <c r="G11" s="14">
        <f>F11/MW_O</f>
        <v>15575.584084403165</v>
      </c>
      <c r="H11" s="14" t="s">
        <v>606</v>
      </c>
      <c r="J11" s="15" t="s">
        <v>66</v>
      </c>
      <c r="K11" s="9">
        <v>0.7</v>
      </c>
    </row>
    <row r="12" spans="2:41" ht="18" x14ac:dyDescent="0.25">
      <c r="B12" s="6" t="s">
        <v>23</v>
      </c>
      <c r="C12" s="9">
        <v>0</v>
      </c>
      <c r="D12" s="11">
        <f>2*MW_O</f>
        <v>3.1998800000000001E-2</v>
      </c>
      <c r="E12" s="28">
        <f>C12+K9</f>
        <v>4</v>
      </c>
      <c r="F12" s="14">
        <v>0</v>
      </c>
      <c r="G12" s="14">
        <f>F12/MW_O2</f>
        <v>0</v>
      </c>
      <c r="H12" s="14" t="s">
        <v>606</v>
      </c>
      <c r="J12" s="9" t="s">
        <v>239</v>
      </c>
      <c r="K12" s="9">
        <v>794.3</v>
      </c>
    </row>
    <row r="13" spans="2:41" ht="18" x14ac:dyDescent="0.25">
      <c r="B13" s="6" t="s">
        <v>29</v>
      </c>
      <c r="C13" s="9">
        <v>0</v>
      </c>
      <c r="D13" s="16">
        <f>28.0855/1000</f>
        <v>2.8085499999999999E-2</v>
      </c>
      <c r="E13" s="29">
        <f>C13+K10</f>
        <v>854.2</v>
      </c>
      <c r="F13" s="15">
        <v>0</v>
      </c>
      <c r="G13" s="14">
        <f>F13/MW_Si</f>
        <v>0</v>
      </c>
      <c r="H13" s="14" t="s">
        <v>606</v>
      </c>
      <c r="J13" s="69" t="s">
        <v>242</v>
      </c>
      <c r="K13" s="9">
        <v>124.2</v>
      </c>
    </row>
    <row r="14" spans="2:41" ht="18" x14ac:dyDescent="0.25">
      <c r="B14" s="1" t="s">
        <v>16</v>
      </c>
      <c r="C14" s="9">
        <v>-856.67399999999998</v>
      </c>
      <c r="D14" s="11">
        <f>(28.0855+(2*15.9994))/1000</f>
        <v>6.00843E-2</v>
      </c>
      <c r="E14" s="28">
        <f>C14+K10+K9</f>
        <v>1.5260000000000673</v>
      </c>
      <c r="F14" s="14">
        <v>-910.7</v>
      </c>
      <c r="G14" s="14">
        <f>F14/MW_SIO2</f>
        <v>-15157.037695371337</v>
      </c>
      <c r="H14" s="14" t="s">
        <v>606</v>
      </c>
      <c r="J14" s="9" t="s">
        <v>240</v>
      </c>
      <c r="K14" s="9">
        <v>629.6</v>
      </c>
    </row>
    <row r="15" spans="2:41" ht="16" x14ac:dyDescent="0.2">
      <c r="B15" s="49" t="s">
        <v>112</v>
      </c>
      <c r="C15" s="9">
        <v>-137.27704</v>
      </c>
      <c r="D15" s="9">
        <f>MW_C + MW_O</f>
        <v>2.8010399999999998E-2</v>
      </c>
      <c r="E15" s="9">
        <f>C15+K5+(0.5*K9)</f>
        <v>275.02296000000001</v>
      </c>
      <c r="F15" s="9">
        <v>-110.5</v>
      </c>
      <c r="G15" s="14">
        <f>F15/MW_CO</f>
        <v>-3944.9632993459577</v>
      </c>
      <c r="H15" s="14" t="s">
        <v>606</v>
      </c>
      <c r="J15" s="9" t="s">
        <v>241</v>
      </c>
      <c r="K15" s="9">
        <v>336.6</v>
      </c>
    </row>
    <row r="16" spans="2:41" ht="16" x14ac:dyDescent="0.2">
      <c r="B16" s="49" t="s">
        <v>113</v>
      </c>
      <c r="C16" s="9">
        <v>-603.54200000000003</v>
      </c>
      <c r="D16" s="9">
        <f>(40.078+15.9994)/1000</f>
        <v>5.6077400000000006E-2</v>
      </c>
      <c r="E16" s="9">
        <f>C16+(0.5*K9)+(b_ch_Ca)</f>
        <v>122.25799999999992</v>
      </c>
      <c r="F16" s="9">
        <v>-634.9</v>
      </c>
      <c r="G16" s="14">
        <f>F16/MW_CaO</f>
        <v>-11321.85158370395</v>
      </c>
      <c r="H16" s="14" t="s">
        <v>606</v>
      </c>
      <c r="J16" s="9" t="s">
        <v>133</v>
      </c>
      <c r="K16" s="9">
        <v>607.29999999999995</v>
      </c>
    </row>
    <row r="17" spans="2:11" ht="17" x14ac:dyDescent="0.25">
      <c r="B17" s="3" t="s">
        <v>64</v>
      </c>
      <c r="C17" s="9">
        <v>-50.7</v>
      </c>
      <c r="D17" s="9">
        <f>MW_C + (4*MW_H)</f>
        <v>1.604276E-2</v>
      </c>
      <c r="E17" s="9">
        <f>C17+K5+(2*K8)</f>
        <v>831.8</v>
      </c>
      <c r="F17" s="9">
        <v>-74.599999999999994</v>
      </c>
      <c r="G17" s="14">
        <f>MW_CH4</f>
        <v>1.604276E-2</v>
      </c>
      <c r="H17" s="14" t="s">
        <v>606</v>
      </c>
      <c r="J17" s="9" t="s">
        <v>246</v>
      </c>
      <c r="K17" s="9">
        <v>366.5</v>
      </c>
    </row>
    <row r="18" spans="2:11" ht="18" x14ac:dyDescent="0.25">
      <c r="B18" s="6" t="s">
        <v>66</v>
      </c>
      <c r="C18" s="9">
        <v>0</v>
      </c>
      <c r="D18" s="9">
        <f>(2*14.00674)/1000</f>
        <v>2.801348E-2</v>
      </c>
      <c r="E18" s="9">
        <f>C18+K11</f>
        <v>0.7</v>
      </c>
      <c r="F18" s="9">
        <v>0</v>
      </c>
      <c r="G18" s="14">
        <f>F18/MW_N2</f>
        <v>0</v>
      </c>
      <c r="H18" s="14" t="s">
        <v>606</v>
      </c>
      <c r="J18" s="9" t="s">
        <v>134</v>
      </c>
      <c r="K18" s="9">
        <v>861.6</v>
      </c>
    </row>
    <row r="19" spans="2:11" ht="17" x14ac:dyDescent="0.25">
      <c r="B19" s="3" t="s">
        <v>67</v>
      </c>
      <c r="C19" s="9">
        <v>-228.58865599999999</v>
      </c>
      <c r="D19" s="9">
        <f>(15.9994+(2*1.00794))/1000</f>
        <v>1.8015280000000002E-2</v>
      </c>
      <c r="E19" s="9">
        <f>b_ch_H2+(0.5*K9)+C19</f>
        <v>9.5113440000000082</v>
      </c>
      <c r="F19" s="9">
        <v>-241.8</v>
      </c>
      <c r="G19" s="14">
        <f>F19/MW_H2O</f>
        <v>-13421.939597941302</v>
      </c>
      <c r="H19" s="14" t="s">
        <v>606</v>
      </c>
    </row>
    <row r="20" spans="2:11" ht="16" x14ac:dyDescent="0.2">
      <c r="B20" s="4" t="s">
        <v>135</v>
      </c>
      <c r="C20" s="9">
        <v>0</v>
      </c>
      <c r="D20" s="9">
        <f>1.00794/1000</f>
        <v>1.0079400000000001E-3</v>
      </c>
      <c r="E20" s="9">
        <f>C20+(0.5*b_ch_H2)</f>
        <v>118.05</v>
      </c>
      <c r="F20" s="9">
        <v>1536.3</v>
      </c>
      <c r="G20" s="14">
        <f>F20/MW_H</f>
        <v>1524197.8689207688</v>
      </c>
      <c r="H20" s="14" t="s">
        <v>606</v>
      </c>
    </row>
    <row r="21" spans="2:11" ht="16" x14ac:dyDescent="0.2">
      <c r="B21" s="4" t="s">
        <v>133</v>
      </c>
      <c r="C21" s="9">
        <v>0</v>
      </c>
      <c r="D21" s="9">
        <f>32.066/1000</f>
        <v>3.2066000000000004E-2</v>
      </c>
      <c r="E21" s="9">
        <f>C21+K16</f>
        <v>607.29999999999995</v>
      </c>
      <c r="F21" s="9">
        <v>0</v>
      </c>
      <c r="G21" s="14">
        <f>F21/MW_S</f>
        <v>0</v>
      </c>
      <c r="H21" s="14" t="s">
        <v>606</v>
      </c>
    </row>
    <row r="22" spans="2:11" ht="16" x14ac:dyDescent="0.2">
      <c r="B22" s="4" t="s">
        <v>136</v>
      </c>
      <c r="C22" s="9">
        <v>-131.05000000000001</v>
      </c>
      <c r="D22" s="9">
        <f>35.4527/1000</f>
        <v>3.5452699999999997E-2</v>
      </c>
      <c r="E22" s="9">
        <f>C22+(0.5*K13)</f>
        <v>-68.950000000000017</v>
      </c>
      <c r="F22" s="9">
        <v>121.3</v>
      </c>
      <c r="G22" s="14">
        <f>F22/MW_Cl</f>
        <v>3421.4601426689646</v>
      </c>
      <c r="H22" s="14" t="s">
        <v>606</v>
      </c>
    </row>
    <row r="23" spans="2:11" ht="17" x14ac:dyDescent="0.25">
      <c r="B23" s="4" t="s">
        <v>237</v>
      </c>
      <c r="C23" s="9">
        <v>-1562.7239999999999</v>
      </c>
      <c r="D23" s="9">
        <f>((2*26.981539)+(3*15.9994))/1000</f>
        <v>0.10196127799999999</v>
      </c>
      <c r="E23" s="9">
        <f>C23+(2*K12)+(1.5*K9)</f>
        <v>31.875999999999976</v>
      </c>
      <c r="F23" s="9">
        <v>-1675.7</v>
      </c>
      <c r="G23" s="14">
        <f>F23/MW_Al2O3</f>
        <v>-16434.670424590011</v>
      </c>
      <c r="H23" s="14" t="s">
        <v>606</v>
      </c>
    </row>
    <row r="24" spans="2:11" ht="16" x14ac:dyDescent="0.2">
      <c r="B24" s="4" t="s">
        <v>132</v>
      </c>
      <c r="C24" s="9">
        <v>-569.024</v>
      </c>
      <c r="D24" s="9">
        <f>(15.9994+24.305)/1000</f>
        <v>4.0304400000000004E-2</v>
      </c>
      <c r="E24" s="9">
        <f>C24+(K14)+(0.5*K9)</f>
        <v>62.576000000000022</v>
      </c>
      <c r="F24" s="9">
        <v>-601.6</v>
      </c>
      <c r="G24" s="14">
        <f>F24/MW_MgO</f>
        <v>-14926.410019749705</v>
      </c>
      <c r="H24" s="14" t="s">
        <v>606</v>
      </c>
    </row>
    <row r="25" spans="2:11" ht="17" x14ac:dyDescent="0.25">
      <c r="B25" s="4" t="s">
        <v>238</v>
      </c>
      <c r="C25" s="9">
        <v>-376.56</v>
      </c>
      <c r="D25" s="9">
        <f>((22.989768*2)+15.9994)/1000</f>
        <v>6.1978936000000005E-2</v>
      </c>
      <c r="E25" s="9">
        <f>C25+(2*K15)+(0.5*K9)</f>
        <v>298.64000000000004</v>
      </c>
      <c r="F25" s="9">
        <v>-414.2</v>
      </c>
      <c r="G25" s="14">
        <f>F25/MW_Na2O</f>
        <v>-6682.9156279804474</v>
      </c>
      <c r="H25" s="14" t="s">
        <v>606</v>
      </c>
    </row>
    <row r="26" spans="2:11" ht="17" x14ac:dyDescent="0.25">
      <c r="B26" s="4" t="s">
        <v>243</v>
      </c>
      <c r="C26" s="9">
        <v>-322.16800000000001</v>
      </c>
      <c r="D26" s="9">
        <f>(15.9994+(2*39.0983))/1000</f>
        <v>9.4196000000000002E-2</v>
      </c>
      <c r="E26" s="9">
        <f>C26+(2*K17)+(0.5*K9)</f>
        <v>412.83199999999999</v>
      </c>
      <c r="F26" s="9">
        <v>-284.89999999999998</v>
      </c>
      <c r="G26" s="14">
        <f>F26/MW_K2O</f>
        <v>-3024.5445666482651</v>
      </c>
      <c r="H26" s="14" t="s">
        <v>606</v>
      </c>
    </row>
    <row r="27" spans="2:11" ht="16" x14ac:dyDescent="0.2">
      <c r="B27" s="4" t="s">
        <v>134</v>
      </c>
      <c r="C27" s="9">
        <f>12.00808</f>
        <v>12.00808</v>
      </c>
      <c r="D27" s="9">
        <f>30.973762/1000</f>
        <v>3.0973762000000002E-2</v>
      </c>
      <c r="E27" s="9">
        <f>C27+K18</f>
        <v>873.60807999999997</v>
      </c>
      <c r="F27" s="9">
        <v>0</v>
      </c>
      <c r="G27" s="14">
        <f>F27/MW_P</f>
        <v>0</v>
      </c>
      <c r="H27" s="14" t="s">
        <v>606</v>
      </c>
    </row>
    <row r="28" spans="2:11" ht="17" x14ac:dyDescent="0.25">
      <c r="B28" s="4" t="s">
        <v>251</v>
      </c>
      <c r="C28" s="9">
        <v>-1012.1096</v>
      </c>
      <c r="D28" s="9">
        <f>(12.011+(3*15.9994)+24.305)/1000</f>
        <v>8.4314200000000006E-2</v>
      </c>
      <c r="E28" s="9">
        <f>C28+K14+K5+((3/2)*K9)</f>
        <v>33.790400000000034</v>
      </c>
      <c r="F28" s="9">
        <v>-1095.8</v>
      </c>
      <c r="G28" s="14">
        <f>F28/MW_MgCO3</f>
        <v>-12996.624530624733</v>
      </c>
      <c r="H28" s="14">
        <f>(76.19/1000)*MW_MgCO3</f>
        <v>6.4238988979999998E-3</v>
      </c>
    </row>
    <row r="29" spans="2:11" ht="16" x14ac:dyDescent="0.2">
      <c r="B29" s="4" t="s">
        <v>284</v>
      </c>
      <c r="C29" s="14">
        <v>455.579024</v>
      </c>
      <c r="D29" s="9">
        <f>MW_N2/2</f>
        <v>1.400674E-2</v>
      </c>
      <c r="E29" s="9">
        <f>C29+(0.5*b_ch_N2)</f>
        <v>455.92902400000003</v>
      </c>
      <c r="F29" s="9">
        <v>427.7</v>
      </c>
      <c r="G29" s="14">
        <f>F29/D29</f>
        <v>30535.299434415145</v>
      </c>
      <c r="H29" s="14" t="s">
        <v>606</v>
      </c>
    </row>
    <row r="30" spans="2:11" ht="17" x14ac:dyDescent="0.25">
      <c r="B30" s="4" t="s">
        <v>288</v>
      </c>
      <c r="C30" s="14">
        <v>-31.95</v>
      </c>
      <c r="D30" s="9">
        <f>((2*12.011)+(6*1.00794))/1000</f>
        <v>3.0069639999999998E-2</v>
      </c>
      <c r="E30" s="9">
        <f>C30+(2*b_ch_C)+(3*b_ch_H2)</f>
        <v>1496.9499999999998</v>
      </c>
      <c r="F30" s="9">
        <v>-84.68</v>
      </c>
      <c r="G30" s="14">
        <f>F30/MW_C2H6</f>
        <v>-2816.1294914072805</v>
      </c>
      <c r="H30" s="14" t="s">
        <v>606</v>
      </c>
    </row>
    <row r="31" spans="2:11" ht="17" x14ac:dyDescent="0.25">
      <c r="B31" s="3" t="s">
        <v>65</v>
      </c>
      <c r="C31" s="14">
        <v>0</v>
      </c>
      <c r="D31" s="9">
        <f>MW_H*2</f>
        <v>2.0158800000000003E-3</v>
      </c>
      <c r="E31" s="9">
        <f>b_ch_H2</f>
        <v>236.1</v>
      </c>
      <c r="F31" s="9">
        <v>0</v>
      </c>
      <c r="G31" s="14">
        <f>F31/D31</f>
        <v>0</v>
      </c>
      <c r="H31" s="14" t="s">
        <v>606</v>
      </c>
    </row>
    <row r="32" spans="2:11" ht="17" x14ac:dyDescent="0.25">
      <c r="B32" s="3" t="s">
        <v>289</v>
      </c>
      <c r="C32" s="14">
        <v>-33.053600000000003</v>
      </c>
      <c r="D32" s="9">
        <f>((1.00794*2)+(32.066))/1000</f>
        <v>3.4081880000000002E-2</v>
      </c>
      <c r="E32" s="9">
        <f>C32+b_ch_H2+b_ch_S</f>
        <v>810.3463999999999</v>
      </c>
      <c r="F32" s="9">
        <v>-20.6</v>
      </c>
      <c r="G32" s="14">
        <f>F32/MW_H2S</f>
        <v>-604.42675110645303</v>
      </c>
      <c r="H32" s="14" t="s">
        <v>606</v>
      </c>
    </row>
    <row r="33" spans="1:8" ht="17" x14ac:dyDescent="0.25">
      <c r="B33" s="4" t="s">
        <v>290</v>
      </c>
      <c r="C33" s="14">
        <v>129.66216</v>
      </c>
      <c r="D33" s="9">
        <f>((6*12.011)+(6*1.00794))/1000</f>
        <v>7.8113639999999998E-2</v>
      </c>
      <c r="E33" s="9">
        <f>C33+(6*b_ch_C)+(3*b_ch_H2)</f>
        <v>3299.7621600000002</v>
      </c>
      <c r="F33" s="9">
        <v>49.1</v>
      </c>
      <c r="G33" s="14">
        <f>F33/MW_C6H6</f>
        <v>628.57139931003087</v>
      </c>
      <c r="H33" s="14" t="s">
        <v>606</v>
      </c>
    </row>
    <row r="34" spans="1:8" ht="17" x14ac:dyDescent="0.25">
      <c r="B34" s="3" t="s">
        <v>291</v>
      </c>
      <c r="C34" s="14">
        <v>-16.48</v>
      </c>
      <c r="D34" s="9">
        <f>(14.00674+(3*1.00794))/1000</f>
        <v>1.703056E-2</v>
      </c>
      <c r="E34" s="9">
        <f>C34+(0.5*b_ch_N2)+((3/2)*b_ch_H2)</f>
        <v>338.02</v>
      </c>
      <c r="F34" s="9">
        <v>-80.290000000000006</v>
      </c>
      <c r="G34" s="14">
        <f>F34/MW_NH3</f>
        <v>-4714.4662301180942</v>
      </c>
      <c r="H34" s="14" t="s">
        <v>606</v>
      </c>
    </row>
    <row r="35" spans="1:8" ht="17" x14ac:dyDescent="0.25">
      <c r="B35" s="4" t="s">
        <v>292</v>
      </c>
      <c r="C35" s="14">
        <v>68.430000000000007</v>
      </c>
      <c r="D35" s="140">
        <f>(2*MW_C)+(4*MW_H)</f>
        <v>2.8053759999999997E-2</v>
      </c>
      <c r="E35" s="9">
        <f>C35+(2*b_ch_C)+(2*b_ch_H2)</f>
        <v>1361.23</v>
      </c>
      <c r="F35" s="9">
        <v>52.4</v>
      </c>
      <c r="G35" s="14">
        <f>F35/MW_C2H4</f>
        <v>1867.8423141853357</v>
      </c>
      <c r="H35" s="14" t="s">
        <v>606</v>
      </c>
    </row>
    <row r="36" spans="1:8" ht="16" x14ac:dyDescent="0.2">
      <c r="B36" s="4" t="s">
        <v>293</v>
      </c>
      <c r="C36" s="9">
        <v>124.6832</v>
      </c>
      <c r="D36" s="9">
        <f>(1.00794+12.011+14.00674)/1000</f>
        <v>2.702568E-2</v>
      </c>
      <c r="E36" s="9">
        <f>C36+(0.5*b_ch_H2)+b_ch_C+(b_ch_N2*0.5)</f>
        <v>653.3832000000001</v>
      </c>
      <c r="F36" s="9">
        <v>135.1</v>
      </c>
      <c r="G36" s="14">
        <f>F36/MW_HCN</f>
        <v>4998.9491476255171</v>
      </c>
      <c r="H36" s="14" t="s">
        <v>606</v>
      </c>
    </row>
    <row r="37" spans="1:8" ht="17" x14ac:dyDescent="0.25">
      <c r="B37" s="4" t="s">
        <v>294</v>
      </c>
      <c r="C37" s="9">
        <v>66.902159999999995</v>
      </c>
      <c r="D37" s="9">
        <f>((12.011)+(2*32.066))/1000</f>
        <v>7.6143000000000002E-2</v>
      </c>
      <c r="E37" s="9">
        <f>C37+b_ch_C + 2*b_ch_S</f>
        <v>1691.80216</v>
      </c>
      <c r="F37" s="9">
        <v>116.7</v>
      </c>
      <c r="G37" s="14">
        <f>F37/MW_CS2</f>
        <v>1532.6425278751822</v>
      </c>
      <c r="H37" s="14" t="s">
        <v>606</v>
      </c>
    </row>
    <row r="38" spans="1:8" ht="17" x14ac:dyDescent="0.25">
      <c r="B38" s="4" t="s">
        <v>388</v>
      </c>
      <c r="C38" s="9">
        <v>7.4056800000000003</v>
      </c>
      <c r="D38" s="9">
        <f>(MW_C*8)+(MW_H*18)</f>
        <v>0.11423092</v>
      </c>
      <c r="E38" s="9">
        <f>C38+(8*K5)+(9*b_ch_H2)</f>
        <v>5414.70568</v>
      </c>
      <c r="F38" s="9">
        <v>-250.1</v>
      </c>
      <c r="G38" s="14">
        <f>F38/MW_C8H18</f>
        <v>-2189.4247196818515</v>
      </c>
      <c r="H38" s="14" t="s">
        <v>606</v>
      </c>
    </row>
    <row r="39" spans="1:8" ht="17" x14ac:dyDescent="0.25">
      <c r="B39" s="4" t="s">
        <v>389</v>
      </c>
      <c r="C39" s="9" t="s">
        <v>91</v>
      </c>
      <c r="D39" s="9">
        <f>(MW_C*12)+(MW_H*23)</f>
        <v>0.16731462</v>
      </c>
      <c r="E39" s="9" t="s">
        <v>91</v>
      </c>
      <c r="F39" s="9" t="s">
        <v>91</v>
      </c>
      <c r="G39" s="14">
        <f>LHV_Diesel</f>
        <v>42600</v>
      </c>
      <c r="H39" s="14" t="s">
        <v>606</v>
      </c>
    </row>
    <row r="40" spans="1:8" ht="17" x14ac:dyDescent="0.25">
      <c r="B40" s="4" t="s">
        <v>402</v>
      </c>
      <c r="C40" s="9" t="s">
        <v>91</v>
      </c>
      <c r="D40" s="9">
        <f>(10*MW_C) + (20*MW_H)</f>
        <v>0.1402688</v>
      </c>
      <c r="E40" s="9" t="s">
        <v>91</v>
      </c>
      <c r="F40" s="9" t="s">
        <v>91</v>
      </c>
      <c r="G40" s="14">
        <f>LHV_Oil</f>
        <v>39500</v>
      </c>
      <c r="H40" s="14" t="s">
        <v>606</v>
      </c>
    </row>
    <row r="41" spans="1:8" ht="17" x14ac:dyDescent="0.25">
      <c r="B41" s="3" t="s">
        <v>525</v>
      </c>
      <c r="C41" s="9">
        <v>223.7</v>
      </c>
      <c r="D41" s="9">
        <f>MW_C*10 + MW_H*8</f>
        <v>0.12817351999999999</v>
      </c>
      <c r="E41" s="9">
        <f>C41+(8*b_ch_H2)+(10*K5)</f>
        <v>6215.5</v>
      </c>
      <c r="F41" s="9">
        <v>78.5</v>
      </c>
      <c r="G41" s="14">
        <f>F41/D41</f>
        <v>612.45099611838714</v>
      </c>
      <c r="H41" s="14" t="s">
        <v>606</v>
      </c>
    </row>
    <row r="42" spans="1:8" ht="17" x14ac:dyDescent="0.25">
      <c r="A42" s="3" t="s">
        <v>535</v>
      </c>
      <c r="B42" s="3" t="s">
        <v>526</v>
      </c>
      <c r="C42" s="9">
        <v>383.08</v>
      </c>
      <c r="D42" s="9">
        <f>MW_C*14 + MW_H*10</f>
        <v>0.17823339999999999</v>
      </c>
      <c r="E42" s="9">
        <f>C42+(10*b_ch_H2)+(14*$K$5)</f>
        <v>8488.2799999999988</v>
      </c>
      <c r="F42" s="9">
        <v>207</v>
      </c>
      <c r="G42" s="14">
        <f t="shared" ref="G42:G49" si="0">F42/D42</f>
        <v>1161.3984808683447</v>
      </c>
      <c r="H42" s="14" t="s">
        <v>606</v>
      </c>
    </row>
    <row r="43" spans="1:8" ht="17" x14ac:dyDescent="0.25">
      <c r="A43" s="3" t="s">
        <v>538</v>
      </c>
      <c r="B43" s="3" t="s">
        <v>527</v>
      </c>
      <c r="C43" s="9">
        <v>491.18</v>
      </c>
      <c r="D43" s="9">
        <f>MW_C*16 + MW_H*10</f>
        <v>0.20225539999999997</v>
      </c>
      <c r="E43" s="9">
        <f>C43+(10*b_ch_H2)+(16*$K$5)</f>
        <v>9416.98</v>
      </c>
      <c r="F43" s="9">
        <v>-7917.8</v>
      </c>
      <c r="G43" s="14">
        <f t="shared" si="0"/>
        <v>-39147.533267344166</v>
      </c>
      <c r="H43" s="14" t="s">
        <v>606</v>
      </c>
    </row>
    <row r="44" spans="1:8" ht="17" x14ac:dyDescent="0.25">
      <c r="A44" s="3" t="s">
        <v>539</v>
      </c>
      <c r="B44" s="3" t="s">
        <v>536</v>
      </c>
      <c r="C44" s="9">
        <v>544.96</v>
      </c>
      <c r="D44" s="9">
        <f>MW_C*24 + MW_H*26</f>
        <v>0.31447043999999996</v>
      </c>
      <c r="E44" s="9">
        <f>C44+(26*b_ch_H2)+(24*$K$5)</f>
        <v>16530.760000000002</v>
      </c>
      <c r="F44" s="9">
        <v>162.21</v>
      </c>
      <c r="G44" s="14">
        <f t="shared" si="0"/>
        <v>515.81954729989889</v>
      </c>
      <c r="H44" s="14" t="s">
        <v>606</v>
      </c>
    </row>
    <row r="45" spans="1:8" ht="17" x14ac:dyDescent="0.25">
      <c r="A45" s="3" t="s">
        <v>537</v>
      </c>
      <c r="B45" s="3" t="s">
        <v>543</v>
      </c>
      <c r="C45" s="9">
        <v>330.52</v>
      </c>
      <c r="D45" s="9">
        <f>MW_C*12 + MW_H*10</f>
        <v>0.1542114</v>
      </c>
      <c r="E45" s="9">
        <f>C45+(10*b_ch_H2)+(12*$K$5)</f>
        <v>7615.1200000000008</v>
      </c>
      <c r="F45" s="9">
        <v>71</v>
      </c>
      <c r="G45" s="14">
        <f t="shared" si="0"/>
        <v>460.40694786507356</v>
      </c>
      <c r="H45" s="14" t="s">
        <v>606</v>
      </c>
    </row>
    <row r="46" spans="1:8" ht="17" x14ac:dyDescent="0.25">
      <c r="A46" s="3" t="s">
        <v>540</v>
      </c>
      <c r="B46" s="3" t="s">
        <v>545</v>
      </c>
      <c r="C46" s="9">
        <v>356.8</v>
      </c>
      <c r="D46" s="9">
        <f>MW_C*13 + MW_H*10</f>
        <v>0.16622239999999999</v>
      </c>
      <c r="E46" s="9">
        <f>C46+(10*b_ch_H2)+(13*$K$5)</f>
        <v>8051.7000000000007</v>
      </c>
      <c r="F46" s="9">
        <v>166.9</v>
      </c>
      <c r="G46" s="14">
        <f t="shared" si="0"/>
        <v>1004.0764662283784</v>
      </c>
      <c r="H46" s="14" t="s">
        <v>606</v>
      </c>
    </row>
    <row r="47" spans="1:8" ht="17" x14ac:dyDescent="0.25">
      <c r="A47" s="3" t="s">
        <v>541</v>
      </c>
      <c r="B47" s="4" t="s">
        <v>546</v>
      </c>
      <c r="C47" s="9">
        <v>513.78</v>
      </c>
      <c r="D47" s="9">
        <f>MW_C*18 + MW_H*12</f>
        <v>0.22829327999999999</v>
      </c>
      <c r="E47" s="9">
        <f>C47+(12*b_ch_H2)+(18*$K$5)</f>
        <v>10732.380000000001</v>
      </c>
      <c r="F47" s="9">
        <v>268.7</v>
      </c>
      <c r="G47" s="14">
        <f t="shared" si="0"/>
        <v>1176.9947849538103</v>
      </c>
      <c r="H47" s="14" t="s">
        <v>606</v>
      </c>
    </row>
    <row r="48" spans="1:8" ht="18" x14ac:dyDescent="0.25">
      <c r="A48" s="3" t="s">
        <v>542</v>
      </c>
      <c r="B48" s="1" t="s">
        <v>562</v>
      </c>
      <c r="C48" s="9">
        <v>-300.10000000000002</v>
      </c>
      <c r="D48" s="9">
        <f>MW_S+MW_O2</f>
        <v>6.4064800000000005E-2</v>
      </c>
      <c r="E48" s="9">
        <f>C48+(K16+K9)</f>
        <v>311.19999999999993</v>
      </c>
      <c r="F48" s="9">
        <v>-296.8</v>
      </c>
      <c r="G48" s="14">
        <f t="shared" si="0"/>
        <v>-4632.8092806033892</v>
      </c>
      <c r="H48" s="14" t="s">
        <v>606</v>
      </c>
    </row>
    <row r="49" spans="2:8" ht="17" x14ac:dyDescent="0.25">
      <c r="B49" s="3" t="s">
        <v>572</v>
      </c>
      <c r="C49" s="9">
        <v>-23.4</v>
      </c>
      <c r="D49" s="9">
        <f>MW_C*3 + MW_H*8</f>
        <v>4.409652E-2</v>
      </c>
      <c r="E49" s="9">
        <f>C49+(3*K5)+(4*b_ch_H2)</f>
        <v>2151.9</v>
      </c>
      <c r="F49" s="9">
        <f>-103.85</f>
        <v>-103.85</v>
      </c>
      <c r="G49" s="14">
        <f t="shared" si="0"/>
        <v>-2355.0611250048755</v>
      </c>
      <c r="H49" s="14" t="s">
        <v>606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99</v>
      </c>
    </row>
    <row r="55" spans="2:8" ht="17" x14ac:dyDescent="0.25">
      <c r="B55" s="9" t="s">
        <v>53</v>
      </c>
      <c r="C55" s="3" t="s">
        <v>114</v>
      </c>
    </row>
    <row r="56" spans="2:8" ht="17" x14ac:dyDescent="0.25">
      <c r="B56" s="9" t="s">
        <v>53</v>
      </c>
      <c r="C56" s="12" t="s">
        <v>295</v>
      </c>
    </row>
    <row r="57" spans="2:8" ht="18" x14ac:dyDescent="0.25">
      <c r="B57" s="14" t="s">
        <v>6</v>
      </c>
      <c r="C57" s="12" t="s">
        <v>283</v>
      </c>
    </row>
    <row r="58" spans="2:8" ht="18" x14ac:dyDescent="0.25">
      <c r="B58" s="14" t="s">
        <v>6</v>
      </c>
      <c r="C58" s="3" t="s">
        <v>118</v>
      </c>
    </row>
    <row r="59" spans="2:8" ht="17" x14ac:dyDescent="0.25">
      <c r="B59" s="9" t="s">
        <v>125</v>
      </c>
      <c r="C59" s="3" t="s">
        <v>126</v>
      </c>
    </row>
    <row r="60" spans="2:8" x14ac:dyDescent="0.2">
      <c r="B60" s="9" t="s">
        <v>270</v>
      </c>
      <c r="C60" s="12" t="s">
        <v>272</v>
      </c>
    </row>
    <row r="61" spans="2:8" x14ac:dyDescent="0.2">
      <c r="B61" s="9" t="s">
        <v>5</v>
      </c>
      <c r="C61" s="12" t="s">
        <v>282</v>
      </c>
    </row>
    <row r="62" spans="2:8" x14ac:dyDescent="0.2">
      <c r="B62" s="9" t="s">
        <v>306</v>
      </c>
      <c r="C62" s="12" t="s">
        <v>513</v>
      </c>
    </row>
    <row r="63" spans="2:8" x14ac:dyDescent="0.2">
      <c r="B63" s="104" t="s">
        <v>311</v>
      </c>
      <c r="C63" s="3" t="s">
        <v>313</v>
      </c>
    </row>
    <row r="64" spans="2:8" x14ac:dyDescent="0.2">
      <c r="B64" s="9" t="s">
        <v>570</v>
      </c>
      <c r="C64" s="288" t="s">
        <v>571</v>
      </c>
    </row>
    <row r="65" spans="2:3" x14ac:dyDescent="0.2">
      <c r="B65" s="9" t="s">
        <v>396</v>
      </c>
      <c r="C65" s="3" t="s">
        <v>397</v>
      </c>
    </row>
    <row r="66" spans="2:3" ht="17" x14ac:dyDescent="0.25">
      <c r="B66" s="9" t="s">
        <v>391</v>
      </c>
      <c r="C66" s="3" t="s">
        <v>390</v>
      </c>
    </row>
    <row r="67" spans="2:3" x14ac:dyDescent="0.2">
      <c r="B67" s="9" t="s">
        <v>39</v>
      </c>
      <c r="C67" s="3" t="s">
        <v>508</v>
      </c>
    </row>
    <row r="68" spans="2:3" x14ac:dyDescent="0.2">
      <c r="B68" s="9" t="s">
        <v>511</v>
      </c>
      <c r="C68" s="12" t="s">
        <v>568</v>
      </c>
    </row>
    <row r="69" spans="2:3" x14ac:dyDescent="0.2">
      <c r="B69" s="9" t="s">
        <v>524</v>
      </c>
      <c r="C69" s="3" t="s">
        <v>544</v>
      </c>
    </row>
    <row r="75" spans="2:3" ht="20" x14ac:dyDescent="0.2">
      <c r="C75" s="287"/>
    </row>
    <row r="76" spans="2:3" ht="20" x14ac:dyDescent="0.2">
      <c r="C76" s="286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0" t="s">
        <v>50</v>
      </c>
    </row>
    <row r="2" spans="1:28" x14ac:dyDescent="0.2">
      <c r="A2" s="12" t="s">
        <v>116</v>
      </c>
      <c r="B2" s="3" t="s">
        <v>117</v>
      </c>
      <c r="C2" s="3" t="s">
        <v>127</v>
      </c>
    </row>
    <row r="10" spans="1:28" ht="17" x14ac:dyDescent="0.25">
      <c r="B10" s="9"/>
      <c r="C10" s="9" t="s">
        <v>46</v>
      </c>
      <c r="D10" s="9" t="s">
        <v>1</v>
      </c>
      <c r="E10" s="9" t="s">
        <v>46</v>
      </c>
      <c r="F10" s="9" t="s">
        <v>5</v>
      </c>
      <c r="G10" s="9" t="s">
        <v>31</v>
      </c>
      <c r="H10" s="9" t="s">
        <v>38</v>
      </c>
      <c r="I10" s="9" t="s">
        <v>108</v>
      </c>
      <c r="J10" s="9" t="s">
        <v>110</v>
      </c>
      <c r="O10" s="353" t="s">
        <v>115</v>
      </c>
      <c r="P10" s="353"/>
      <c r="Q10" s="353"/>
      <c r="R10" s="353"/>
      <c r="S10" s="353"/>
      <c r="T10" s="353"/>
      <c r="U10" s="353"/>
      <c r="V10" s="353" t="s">
        <v>115</v>
      </c>
      <c r="W10" s="353"/>
      <c r="X10" s="353"/>
      <c r="Y10" s="353"/>
      <c r="Z10" s="353"/>
      <c r="AA10" s="353"/>
      <c r="AB10" s="353"/>
    </row>
    <row r="11" spans="1:28" ht="18" x14ac:dyDescent="0.25">
      <c r="B11" s="9"/>
      <c r="C11" s="9" t="s">
        <v>171</v>
      </c>
      <c r="D11" s="9" t="s">
        <v>44</v>
      </c>
      <c r="E11" s="9" t="s">
        <v>10</v>
      </c>
      <c r="F11" s="9" t="s">
        <v>11</v>
      </c>
      <c r="G11" s="9" t="s">
        <v>12</v>
      </c>
      <c r="H11" s="9" t="s">
        <v>107</v>
      </c>
      <c r="I11" s="9" t="s">
        <v>109</v>
      </c>
      <c r="J11" s="9" t="s">
        <v>106</v>
      </c>
      <c r="O11" s="353" t="s">
        <v>236</v>
      </c>
      <c r="P11" s="353"/>
      <c r="Q11" s="353"/>
      <c r="R11" s="345"/>
      <c r="S11" s="346"/>
      <c r="T11" s="365" t="s">
        <v>235</v>
      </c>
      <c r="U11" s="352"/>
      <c r="V11" s="353" t="str">
        <f>_xlfn.CONCAT(E19," ",C19," ","+"," ",E21," ",C21," ","--&gt;"," ",E22," ",C22," ","+"," ",E20*E21," ",C20)</f>
        <v>1.5 C + 1.5 O2 --&gt; 1.5 CO2 + 5.64 N2</v>
      </c>
      <c r="W11" s="353"/>
      <c r="X11" s="353"/>
      <c r="Y11" s="353"/>
      <c r="Z11" s="353"/>
      <c r="AA11" s="353"/>
      <c r="AB11" s="353"/>
    </row>
    <row r="12" spans="1:28" ht="18" x14ac:dyDescent="0.25">
      <c r="B12" s="14" t="s">
        <v>14</v>
      </c>
      <c r="C12" s="14">
        <v>0.88105999999999995</v>
      </c>
      <c r="D12" s="14">
        <f>C12*D14</f>
        <v>0.88105999999999995</v>
      </c>
      <c r="E12" s="9">
        <f>D12*kg_to_ton</f>
        <v>881.06</v>
      </c>
      <c r="F12" s="9">
        <f>MW_Fe2O3</f>
        <v>0.1596882</v>
      </c>
      <c r="G12" s="9">
        <f>E12/F12</f>
        <v>5517.3769884061558</v>
      </c>
      <c r="H12" s="9">
        <f>G12/$F$14</f>
        <v>0.73595160775903656</v>
      </c>
      <c r="I12" s="9">
        <f>(F12*H12)+(F13*H13)</f>
        <v>0.13338795034407031</v>
      </c>
      <c r="J12" s="9">
        <f>(E12+E13)/I12</f>
        <v>7496.929051091417</v>
      </c>
      <c r="N12" s="4"/>
      <c r="O12" s="353" t="s">
        <v>156</v>
      </c>
      <c r="P12" s="353"/>
      <c r="Q12" s="353"/>
      <c r="R12" s="345"/>
      <c r="S12" s="346"/>
      <c r="T12" s="353" t="s">
        <v>155</v>
      </c>
      <c r="U12" s="353"/>
      <c r="V12" s="353" t="str">
        <f>_xlfn.CONCAT(E25," ",C25," ","+"," ",E26," ",C26," ","--&gt;"," ",E27," ",C27)</f>
        <v>1.5 CO2 + 1.5 C --&gt; 3 CO</v>
      </c>
      <c r="W12" s="353"/>
      <c r="X12" s="353"/>
      <c r="Y12" s="353"/>
      <c r="Z12" s="353"/>
      <c r="AA12" s="353"/>
      <c r="AB12" s="353"/>
    </row>
    <row r="13" spans="1:28" ht="18" x14ac:dyDescent="0.25">
      <c r="B13" s="14" t="s">
        <v>16</v>
      </c>
      <c r="C13" s="14">
        <v>0.11894</v>
      </c>
      <c r="D13" s="14">
        <f>C13*D14</f>
        <v>0.11894</v>
      </c>
      <c r="E13" s="9">
        <f>D13*kg_to_ton</f>
        <v>118.94</v>
      </c>
      <c r="F13" s="9">
        <f>MW_SIO2</f>
        <v>6.00843E-2</v>
      </c>
      <c r="G13" s="9">
        <f>E13/F13</f>
        <v>1979.5520626852606</v>
      </c>
      <c r="H13" s="9">
        <f>G13/$F$14</f>
        <v>0.26404839224096349</v>
      </c>
      <c r="I13" s="9"/>
      <c r="J13" s="9"/>
      <c r="O13" s="353" t="s">
        <v>157</v>
      </c>
      <c r="P13" s="353"/>
      <c r="Q13" s="353"/>
      <c r="R13" s="345"/>
      <c r="S13" s="346"/>
      <c r="T13" s="365" t="s">
        <v>158</v>
      </c>
      <c r="U13" s="352"/>
      <c r="V13" s="353" t="str">
        <f>_xlfn.CONCAT(E29," ",C29," ","+"," ",E30," ",C30," ","--&gt;"," ",E31," ",C31," ","+"," ",E32," ",C32)</f>
        <v>1 Fe2O3 + 3 CO --&gt; 2 Fe + 3 CO2</v>
      </c>
      <c r="W13" s="353"/>
      <c r="X13" s="353"/>
      <c r="Y13" s="353"/>
      <c r="Z13" s="353"/>
      <c r="AA13" s="353"/>
      <c r="AB13" s="353"/>
    </row>
    <row r="14" spans="1:28" x14ac:dyDescent="0.2">
      <c r="B14" s="3" t="s">
        <v>18</v>
      </c>
      <c r="D14" s="10">
        <v>1</v>
      </c>
      <c r="F14" s="3">
        <f>SUM(G12:G13)</f>
        <v>7496.9290510914161</v>
      </c>
      <c r="G14" s="3">
        <f>SUM(G12:G13)</f>
        <v>7496.9290510914161</v>
      </c>
      <c r="O14" s="353"/>
      <c r="P14" s="353"/>
      <c r="Q14" s="353"/>
      <c r="R14" s="345"/>
      <c r="S14" s="346"/>
      <c r="T14" s="353"/>
      <c r="U14" s="353"/>
      <c r="V14" s="353" t="str">
        <f>_xlfn.CONCAT(E36," ",C36," ","--&gt;"," ",E37," ",C37," ","+"," ",E39," ",C39)</f>
        <v>1 CaCO3 --&gt; 1 CaO + 0.0624775822865075 MgO</v>
      </c>
      <c r="W14" s="353"/>
      <c r="X14" s="353"/>
      <c r="Y14" s="353"/>
      <c r="Z14" s="353"/>
      <c r="AA14" s="353"/>
      <c r="AB14" s="353"/>
    </row>
    <row r="15" spans="1:28" ht="17" x14ac:dyDescent="0.25">
      <c r="O15" s="353" t="s">
        <v>159</v>
      </c>
      <c r="P15" s="353"/>
      <c r="Q15" s="353"/>
      <c r="R15" s="345"/>
      <c r="S15" s="346"/>
      <c r="T15" s="353" t="s">
        <v>160</v>
      </c>
      <c r="U15" s="353"/>
      <c r="V15" s="353" t="str">
        <f>_xlfn.CONCAT(E41," ",C41," ","+"," ",E42," ",C42," ","--&gt;"," ",E43," ",C43)</f>
        <v>1 CaO + 1 SiO2 --&gt; 1 CaSiO3</v>
      </c>
      <c r="W15" s="353"/>
      <c r="X15" s="353"/>
      <c r="Y15" s="353"/>
      <c r="Z15" s="353"/>
      <c r="AA15" s="353"/>
      <c r="AB15" s="353"/>
    </row>
    <row r="16" spans="1:28" x14ac:dyDescent="0.2">
      <c r="L16" s="54" t="s">
        <v>323</v>
      </c>
      <c r="M16" s="60" t="s">
        <v>324</v>
      </c>
    </row>
    <row r="17" spans="1:28" x14ac:dyDescent="0.2">
      <c r="D17" s="3" t="s">
        <v>43</v>
      </c>
      <c r="E17" s="3" t="s">
        <v>111</v>
      </c>
      <c r="F17" s="3" t="s">
        <v>38</v>
      </c>
      <c r="G17" s="3" t="s">
        <v>31</v>
      </c>
      <c r="H17" s="23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53" t="s">
        <v>261</v>
      </c>
      <c r="P17" s="353"/>
      <c r="Q17" s="353"/>
      <c r="R17" s="353"/>
      <c r="S17" s="353"/>
      <c r="T17" s="353"/>
      <c r="U17" s="353"/>
      <c r="V17" s="353" t="s">
        <v>115</v>
      </c>
      <c r="W17" s="353"/>
      <c r="X17" s="353"/>
      <c r="Y17" s="353"/>
      <c r="Z17" s="353"/>
      <c r="AA17" s="353"/>
      <c r="AB17" s="353"/>
    </row>
    <row r="18" spans="1:28" ht="17" x14ac:dyDescent="0.25">
      <c r="C18" s="25" t="s">
        <v>40</v>
      </c>
      <c r="D18" s="25"/>
      <c r="E18" s="9"/>
      <c r="F18" s="9" t="s">
        <v>107</v>
      </c>
      <c r="G18" s="9" t="s">
        <v>75</v>
      </c>
      <c r="H18" s="30" t="s">
        <v>11</v>
      </c>
      <c r="I18" s="9" t="s">
        <v>105</v>
      </c>
      <c r="J18" s="9" t="s">
        <v>44</v>
      </c>
      <c r="L18" s="9" t="s">
        <v>10</v>
      </c>
      <c r="M18" s="9" t="s">
        <v>10</v>
      </c>
      <c r="O18" s="353" t="s">
        <v>262</v>
      </c>
      <c r="P18" s="353"/>
      <c r="Q18" s="353"/>
      <c r="R18" s="353"/>
      <c r="S18" s="353"/>
      <c r="T18" s="353" t="s">
        <v>263</v>
      </c>
      <c r="U18" s="345"/>
      <c r="V18" s="36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4"/>
      <c r="X18" s="364"/>
      <c r="Y18" s="364"/>
      <c r="Z18" s="364"/>
      <c r="AA18" s="364"/>
      <c r="AB18" s="364"/>
    </row>
    <row r="19" spans="1:28" ht="16" x14ac:dyDescent="0.2">
      <c r="B19" s="366" t="s">
        <v>103</v>
      </c>
      <c r="C19" s="64" t="s">
        <v>17</v>
      </c>
      <c r="D19" s="13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4">
        <f>I19+I21+I26+I29+I42+I20+Quicklime_for_BF</f>
        <v>2446.3635867610551</v>
      </c>
      <c r="M19" s="9">
        <f>I31+I32+I43+I23</f>
        <v>2446.3635867610556</v>
      </c>
      <c r="O19" s="1"/>
      <c r="V19" s="364"/>
      <c r="W19" s="364"/>
      <c r="X19" s="364"/>
      <c r="Y19" s="364"/>
      <c r="Z19" s="364"/>
      <c r="AA19" s="364"/>
      <c r="AB19" s="364"/>
    </row>
    <row r="20" spans="1:28" ht="18" x14ac:dyDescent="0.25">
      <c r="A20" s="1"/>
      <c r="B20" s="367"/>
      <c r="C20" s="68" t="s">
        <v>234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68"/>
      <c r="C21" s="65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54" t="s">
        <v>217</v>
      </c>
      <c r="M21" s="60" t="s">
        <v>22</v>
      </c>
    </row>
    <row r="22" spans="1:28" ht="17" x14ac:dyDescent="0.25">
      <c r="B22" s="369" t="s">
        <v>104</v>
      </c>
      <c r="C22" s="25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4" t="s">
        <v>10</v>
      </c>
      <c r="M22" s="9" t="s">
        <v>10</v>
      </c>
    </row>
    <row r="23" spans="1:28" ht="18" x14ac:dyDescent="0.25">
      <c r="B23" s="370"/>
      <c r="C23" s="70" t="s">
        <v>234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9">
        <f>I19+I26</f>
        <v>198.80764502323905</v>
      </c>
      <c r="M23" s="9">
        <f>I32</f>
        <v>728.45597335307195</v>
      </c>
    </row>
    <row r="24" spans="1:28" x14ac:dyDescent="0.2">
      <c r="B24" s="55"/>
      <c r="C24" s="13"/>
      <c r="D24" s="13"/>
      <c r="E24" s="13"/>
      <c r="F24" s="13"/>
      <c r="G24" s="13"/>
      <c r="H24" s="13"/>
      <c r="I24" s="13"/>
      <c r="J24" s="13"/>
    </row>
    <row r="25" spans="1:28" ht="17" x14ac:dyDescent="0.25">
      <c r="B25" s="371" t="s">
        <v>103</v>
      </c>
      <c r="C25" s="25" t="s">
        <v>22</v>
      </c>
      <c r="D25" s="13" t="s">
        <v>35</v>
      </c>
      <c r="E25" s="13">
        <f>E27/2</f>
        <v>1.5</v>
      </c>
      <c r="F25" s="13">
        <f>F27/2</f>
        <v>1.1039274116385549</v>
      </c>
      <c r="G25" s="13">
        <f>F25*$J$12</f>
        <v>8276.0654826092359</v>
      </c>
      <c r="H25" s="13">
        <f>MW_CO2</f>
        <v>4.4009800000000002E-2</v>
      </c>
      <c r="I25" s="13">
        <f t="shared" si="1"/>
        <v>364.22798667653598</v>
      </c>
      <c r="J25" s="13">
        <f>I25/kg_to_ton</f>
        <v>0.364227986676536</v>
      </c>
      <c r="L25" s="54" t="s">
        <v>216</v>
      </c>
    </row>
    <row r="26" spans="1:28" x14ac:dyDescent="0.2">
      <c r="B26" s="371"/>
      <c r="C26" s="65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9" t="s">
        <v>10</v>
      </c>
    </row>
    <row r="27" spans="1:28" ht="16" x14ac:dyDescent="0.2">
      <c r="B27" s="59" t="s">
        <v>104</v>
      </c>
      <c r="C27" s="56" t="s">
        <v>112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9">
        <f>I36</f>
        <v>198.12782320839224</v>
      </c>
    </row>
    <row r="28" spans="1:28" ht="16" x14ac:dyDescent="0.2">
      <c r="B28" s="57"/>
      <c r="C28" s="7"/>
      <c r="D28" s="13"/>
      <c r="E28" s="13"/>
      <c r="F28" s="13"/>
      <c r="G28" s="13"/>
      <c r="H28" s="13"/>
      <c r="I28" s="13"/>
      <c r="J28" s="13"/>
    </row>
    <row r="29" spans="1:28" ht="18" x14ac:dyDescent="0.25">
      <c r="B29" s="371" t="s">
        <v>103</v>
      </c>
      <c r="C29" s="64" t="s">
        <v>14</v>
      </c>
      <c r="D29" s="21" t="s">
        <v>27</v>
      </c>
      <c r="E29" s="13">
        <v>1</v>
      </c>
      <c r="F29" s="13">
        <f>H12</f>
        <v>0.73595160775903656</v>
      </c>
      <c r="G29" s="13">
        <f>F29*$J$12</f>
        <v>5517.3769884061567</v>
      </c>
      <c r="H29" s="13">
        <f>MW_Fe2O3</f>
        <v>0.1596882</v>
      </c>
      <c r="I29" s="13">
        <f t="shared" ref="I29:I32" si="3">G29*H29</f>
        <v>881.06000000000006</v>
      </c>
      <c r="J29" s="13">
        <f>I29/kg_to_ton</f>
        <v>0.88106000000000007</v>
      </c>
    </row>
    <row r="30" spans="1:28" x14ac:dyDescent="0.2">
      <c r="B30" s="371"/>
      <c r="C30" s="27" t="s">
        <v>112</v>
      </c>
      <c r="D30" s="19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72" t="s">
        <v>104</v>
      </c>
      <c r="C31" s="63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73"/>
      <c r="C32" s="62" t="s">
        <v>22</v>
      </c>
      <c r="D32" s="3" t="s">
        <v>149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321</v>
      </c>
      <c r="O32" s="3" t="s">
        <v>322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9" t="s">
        <v>17</v>
      </c>
      <c r="M34" s="9" t="s">
        <v>11</v>
      </c>
      <c r="N34" s="9" t="s">
        <v>10</v>
      </c>
      <c r="O34" s="9" t="s">
        <v>10</v>
      </c>
    </row>
    <row r="35" spans="2:23" ht="18" x14ac:dyDescent="0.25">
      <c r="B35" s="375" t="s">
        <v>320</v>
      </c>
      <c r="C35" s="11" t="s">
        <v>257</v>
      </c>
      <c r="D35" s="21" t="s">
        <v>46</v>
      </c>
      <c r="E35" s="105">
        <f>(E36*F35)/F36</f>
        <v>6.247758228650753E-2</v>
      </c>
      <c r="F35" s="13">
        <f>(F36*G35)/G36</f>
        <v>1.6497105153854812E-2</v>
      </c>
      <c r="G35" s="13">
        <f>I35/H35</f>
        <v>123.6776268868441</v>
      </c>
      <c r="H35" s="13">
        <f>MW_MgCO3</f>
        <v>8.4314200000000006E-2</v>
      </c>
      <c r="I35" s="13">
        <f>MgCO3_in</f>
        <v>10.427780168862752</v>
      </c>
      <c r="J35" s="13">
        <f>I35/kg_to_ton</f>
        <v>1.0427780168862751E-2</v>
      </c>
      <c r="L35" s="9" t="s">
        <v>240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76"/>
      <c r="C36" s="14" t="s">
        <v>20</v>
      </c>
      <c r="D36" s="3" t="s">
        <v>150</v>
      </c>
      <c r="E36" s="103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9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71" t="s">
        <v>103</v>
      </c>
      <c r="C37" s="64" t="s">
        <v>113</v>
      </c>
      <c r="D37" s="3" t="s">
        <v>151</v>
      </c>
      <c r="E37" s="103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9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66"/>
      <c r="C38" s="25" t="s">
        <v>22</v>
      </c>
      <c r="D38" s="3" t="s">
        <v>1</v>
      </c>
      <c r="E38" s="106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9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66"/>
      <c r="C39" s="25" t="s">
        <v>132</v>
      </c>
      <c r="D39" s="3" t="s">
        <v>38</v>
      </c>
      <c r="E39" s="107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3"/>
      <c r="C40" s="13"/>
      <c r="D40" s="13"/>
      <c r="E40" s="13"/>
      <c r="F40" s="13"/>
      <c r="G40" s="13"/>
      <c r="H40" s="13"/>
      <c r="I40" s="13"/>
      <c r="J40" s="13"/>
    </row>
    <row r="41" spans="2:23" ht="16" x14ac:dyDescent="0.2">
      <c r="B41" s="371" t="s">
        <v>103</v>
      </c>
      <c r="C41" s="14" t="s">
        <v>113</v>
      </c>
      <c r="D41" s="21" t="s">
        <v>31</v>
      </c>
      <c r="E41" s="13">
        <f>E43</f>
        <v>1</v>
      </c>
      <c r="F41" s="13">
        <f>F43</f>
        <v>0.26404839224096349</v>
      </c>
      <c r="G41" s="13">
        <f>F41*$J$12</f>
        <v>1979.5520626852608</v>
      </c>
      <c r="H41" s="13">
        <f>MW_CaO</f>
        <v>5.6077400000000006E-2</v>
      </c>
      <c r="I41" s="13">
        <f t="shared" ref="I41:I43" si="8">G41*H41</f>
        <v>111.00813284002646</v>
      </c>
      <c r="J41" s="13">
        <f>I41/kg_to_ton</f>
        <v>0.11100813284002646</v>
      </c>
    </row>
    <row r="42" spans="2:23" ht="18" x14ac:dyDescent="0.25">
      <c r="B42" s="371"/>
      <c r="C42" s="64" t="s">
        <v>16</v>
      </c>
      <c r="D42" s="3" t="s">
        <v>152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58" t="s">
        <v>104</v>
      </c>
      <c r="C43" s="61" t="s">
        <v>21</v>
      </c>
      <c r="D43" s="3" t="s">
        <v>153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48" t="s">
        <v>18</v>
      </c>
      <c r="C44" s="348"/>
      <c r="D44" s="13"/>
      <c r="E44" s="13"/>
      <c r="F44" s="13"/>
      <c r="G44" s="13">
        <f>SUM(G19:G43)</f>
        <v>182073.20895991358</v>
      </c>
      <c r="H44" s="13"/>
      <c r="I44" s="13">
        <f>SUM(I19:I43)</f>
        <v>6965.5579720060041</v>
      </c>
      <c r="J44" s="13">
        <f>SUM(J19:J43)</f>
        <v>6.9655579720060032</v>
      </c>
    </row>
    <row r="46" spans="2:23" ht="16" thickBot="1" x14ac:dyDescent="0.25"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</row>
    <row r="47" spans="2:23" x14ac:dyDescent="0.2">
      <c r="C47" s="359" t="s">
        <v>276</v>
      </c>
      <c r="D47" s="359"/>
      <c r="E47" s="359"/>
      <c r="F47" s="359"/>
    </row>
    <row r="48" spans="2:23" x14ac:dyDescent="0.2">
      <c r="C48" s="377"/>
      <c r="D48" s="377"/>
      <c r="E48" s="377"/>
      <c r="F48" s="377"/>
      <c r="H48" s="353" t="s">
        <v>69</v>
      </c>
      <c r="I48" s="353"/>
      <c r="J48" s="353"/>
      <c r="K48" s="353"/>
      <c r="L48" s="353"/>
      <c r="M48" s="353"/>
    </row>
    <row r="49" spans="1:17" ht="18" x14ac:dyDescent="0.25">
      <c r="B49" s="3" t="s">
        <v>19</v>
      </c>
      <c r="C49" s="9" t="s">
        <v>64</v>
      </c>
      <c r="D49" s="9" t="s">
        <v>70</v>
      </c>
      <c r="E49" s="15" t="s">
        <v>71</v>
      </c>
      <c r="F49" s="15" t="s">
        <v>72</v>
      </c>
      <c r="H49" s="353" t="s">
        <v>73</v>
      </c>
      <c r="I49" s="353"/>
      <c r="J49" s="353"/>
      <c r="K49" s="9"/>
      <c r="L49" s="365" t="s">
        <v>281</v>
      </c>
      <c r="M49" s="352"/>
    </row>
    <row r="50" spans="1:17" ht="17" x14ac:dyDescent="0.25">
      <c r="B50" s="3" t="s">
        <v>10</v>
      </c>
      <c r="C50" s="9" t="s">
        <v>10</v>
      </c>
      <c r="D50" s="9" t="s">
        <v>75</v>
      </c>
      <c r="E50" s="9" t="s">
        <v>33</v>
      </c>
      <c r="F50" s="9"/>
    </row>
    <row r="51" spans="1:17" x14ac:dyDescent="0.2">
      <c r="B51" s="3">
        <f>Limestone_for_BF</f>
        <v>198.12782320839224</v>
      </c>
      <c r="C51" s="9">
        <f>B51*Lime_to_Energy_Conversion</f>
        <v>37.630021206323519</v>
      </c>
      <c r="D51" s="9">
        <f>E59</f>
        <v>2345.6076888467769</v>
      </c>
      <c r="E51" s="9">
        <v>1</v>
      </c>
      <c r="F51" s="9">
        <v>3.76</v>
      </c>
      <c r="H51" s="37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74"/>
      <c r="J51" s="374"/>
      <c r="K51" s="374"/>
      <c r="L51" s="374"/>
      <c r="M51" s="374"/>
    </row>
    <row r="52" spans="1:17" ht="16.25" customHeight="1" x14ac:dyDescent="0.2">
      <c r="C52" s="6"/>
      <c r="H52" s="374"/>
      <c r="I52" s="374"/>
      <c r="J52" s="374"/>
      <c r="K52" s="374"/>
      <c r="L52" s="374"/>
      <c r="M52" s="374"/>
    </row>
    <row r="53" spans="1:17" ht="16.25" customHeight="1" x14ac:dyDescent="0.2"/>
    <row r="54" spans="1:17" ht="15.5" customHeight="1" x14ac:dyDescent="0.2"/>
    <row r="55" spans="1:17" ht="15.5" customHeight="1" x14ac:dyDescent="0.2">
      <c r="D55" s="266"/>
    </row>
    <row r="57" spans="1:17" x14ac:dyDescent="0.2">
      <c r="B57" s="20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0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9" t="s">
        <v>40</v>
      </c>
      <c r="C58" s="9" t="s">
        <v>10</v>
      </c>
      <c r="D58" s="14" t="s">
        <v>78</v>
      </c>
      <c r="E58" s="9" t="s">
        <v>41</v>
      </c>
      <c r="F58" s="9" t="s">
        <v>42</v>
      </c>
      <c r="G58" s="9" t="s">
        <v>68</v>
      </c>
      <c r="H58" s="27" t="s">
        <v>338</v>
      </c>
      <c r="K58" s="9" t="s">
        <v>40</v>
      </c>
      <c r="L58" s="9" t="s">
        <v>10</v>
      </c>
      <c r="M58" s="14" t="s">
        <v>78</v>
      </c>
      <c r="N58" s="9" t="s">
        <v>41</v>
      </c>
      <c r="O58" s="9" t="s">
        <v>42</v>
      </c>
      <c r="P58" s="9" t="s">
        <v>68</v>
      </c>
      <c r="Q58" s="27" t="s">
        <v>338</v>
      </c>
    </row>
    <row r="59" spans="1:17" ht="17" x14ac:dyDescent="0.25">
      <c r="A59" s="92"/>
      <c r="B59" s="9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24" t="s">
        <v>32</v>
      </c>
      <c r="H59" s="41">
        <v>1</v>
      </c>
      <c r="J59" s="378" t="s">
        <v>502</v>
      </c>
      <c r="K59" s="25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24" t="s">
        <v>34</v>
      </c>
      <c r="Q59" s="3">
        <f>H60/2</f>
        <v>0.5</v>
      </c>
    </row>
    <row r="60" spans="1:17" ht="18" x14ac:dyDescent="0.25">
      <c r="A60" s="354" t="s">
        <v>575</v>
      </c>
      <c r="B60" s="15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24" t="s">
        <v>33</v>
      </c>
      <c r="H60" s="3">
        <v>1</v>
      </c>
      <c r="J60" s="362"/>
      <c r="K60" s="259" t="s">
        <v>501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24" t="s">
        <v>35</v>
      </c>
      <c r="Q60" s="3">
        <f>0.5*Q59</f>
        <v>0.25</v>
      </c>
    </row>
    <row r="61" spans="1:17" ht="18" x14ac:dyDescent="0.25">
      <c r="A61" s="354"/>
      <c r="B61" s="32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24" t="s">
        <v>154</v>
      </c>
      <c r="H61" s="51">
        <f>H60*3.76</f>
        <v>3.76</v>
      </c>
      <c r="J61" s="362"/>
      <c r="K61" s="32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24" t="s">
        <v>36</v>
      </c>
      <c r="Q61" s="3">
        <f>H61*H60</f>
        <v>3.76</v>
      </c>
    </row>
    <row r="62" spans="1:17" x14ac:dyDescent="0.2">
      <c r="B62" s="13" t="s">
        <v>18</v>
      </c>
      <c r="C62" s="33">
        <f>SUM(C59:C61)</f>
        <v>681.87221211081669</v>
      </c>
      <c r="D62" s="34">
        <f>SUM(D59:D61)</f>
        <v>7.605503999999999E-2</v>
      </c>
      <c r="E62" s="34">
        <f>SUM(E59:E61)</f>
        <v>24675.792886668092</v>
      </c>
      <c r="F62" s="33">
        <f>SUM(F59:F61)</f>
        <v>1</v>
      </c>
      <c r="G62" s="13"/>
      <c r="H62" s="13"/>
      <c r="J62" s="362"/>
      <c r="K62" s="13" t="s">
        <v>18</v>
      </c>
      <c r="L62" s="33">
        <f>SUM(L59:L61)</f>
        <v>681.87221211081669</v>
      </c>
      <c r="M62" s="34">
        <f>SUM(M59:M61)</f>
        <v>9.0038560000000004E-2</v>
      </c>
      <c r="N62" s="34">
        <f>SUM(N59:N61)</f>
        <v>24675.792886668092</v>
      </c>
      <c r="O62" s="33">
        <f>SUM(O59:O61)</f>
        <v>1</v>
      </c>
      <c r="P62" s="24"/>
    </row>
    <row r="63" spans="1:17" ht="19.25" customHeight="1" x14ac:dyDescent="0.2">
      <c r="K63" s="72"/>
      <c r="L63" s="120"/>
      <c r="M63" s="120"/>
      <c r="N63" s="120"/>
      <c r="O63" s="120"/>
      <c r="P63" s="13"/>
      <c r="Q63" s="13"/>
    </row>
    <row r="64" spans="1:17" ht="18" x14ac:dyDescent="0.25">
      <c r="B64" s="11" t="s">
        <v>257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72"/>
      <c r="L64" s="120"/>
      <c r="M64" s="120"/>
      <c r="N64" s="120"/>
      <c r="O64" s="120"/>
    </row>
    <row r="65" spans="2:45" ht="16.25" customHeight="1" x14ac:dyDescent="0.25">
      <c r="B65" s="14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15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</row>
    <row r="69" spans="2:45" x14ac:dyDescent="0.2">
      <c r="B69" s="359" t="s">
        <v>296</v>
      </c>
      <c r="C69" s="359"/>
      <c r="D69" s="359"/>
      <c r="E69" s="359"/>
      <c r="F69" s="359"/>
      <c r="G69" s="359"/>
      <c r="Y69" s="358" t="s">
        <v>514</v>
      </c>
      <c r="Z69" s="355"/>
      <c r="AA69" s="355"/>
      <c r="AB69" s="355"/>
      <c r="AC69" s="355"/>
      <c r="AD69" s="355"/>
      <c r="AE69" s="355"/>
      <c r="AF69" s="355"/>
    </row>
    <row r="70" spans="2:45" x14ac:dyDescent="0.2">
      <c r="B70" s="360"/>
      <c r="C70" s="360"/>
      <c r="D70" s="360"/>
      <c r="E70" s="360"/>
      <c r="F70" s="360"/>
      <c r="G70" s="360"/>
      <c r="K70" s="3" t="s">
        <v>523</v>
      </c>
      <c r="Y70" s="358"/>
      <c r="Z70" s="355"/>
      <c r="AA70" s="355"/>
      <c r="AB70" s="355"/>
      <c r="AC70" s="355"/>
      <c r="AD70" s="355"/>
      <c r="AE70" s="355"/>
      <c r="AF70" s="355"/>
    </row>
    <row r="71" spans="2:45" x14ac:dyDescent="0.2">
      <c r="E71" s="9"/>
      <c r="F71" s="9" t="s">
        <v>298</v>
      </c>
      <c r="G71" s="9" t="s">
        <v>298</v>
      </c>
      <c r="Y71" s="358"/>
      <c r="Z71" s="355"/>
      <c r="AA71" s="355"/>
      <c r="AB71" s="355"/>
      <c r="AC71" s="355"/>
      <c r="AD71" s="355"/>
      <c r="AE71" s="355"/>
      <c r="AF71" s="355"/>
    </row>
    <row r="72" spans="2:45" x14ac:dyDescent="0.2">
      <c r="B72" s="9" t="s">
        <v>17</v>
      </c>
      <c r="C72" s="9" t="s">
        <v>5</v>
      </c>
      <c r="D72" s="27" t="s">
        <v>286</v>
      </c>
      <c r="E72" s="9"/>
      <c r="F72" s="9" t="s">
        <v>521</v>
      </c>
      <c r="G72" s="9" t="s">
        <v>522</v>
      </c>
      <c r="Y72" s="19"/>
    </row>
    <row r="73" spans="2:45" ht="17" x14ac:dyDescent="0.25">
      <c r="B73" s="9" t="s">
        <v>10</v>
      </c>
      <c r="C73" s="9" t="s">
        <v>11</v>
      </c>
      <c r="D73" s="27" t="s">
        <v>287</v>
      </c>
      <c r="E73" s="9" t="s">
        <v>278</v>
      </c>
      <c r="F73" s="9">
        <v>18625</v>
      </c>
      <c r="G73" s="9">
        <f>(F73*G74)/F74</f>
        <v>315.66502308395394</v>
      </c>
      <c r="Y73" s="333" t="s">
        <v>103</v>
      </c>
      <c r="Z73" s="3" t="s">
        <v>1</v>
      </c>
      <c r="AA73" s="3" t="s">
        <v>46</v>
      </c>
      <c r="AB73" s="3" t="s">
        <v>5</v>
      </c>
      <c r="AC73" s="170" t="s">
        <v>319</v>
      </c>
      <c r="AG73" s="142"/>
      <c r="AH73" s="170"/>
      <c r="AJ73" s="170"/>
      <c r="AL73" s="142"/>
      <c r="AM73" s="170"/>
      <c r="AO73" s="170"/>
    </row>
    <row r="74" spans="2:45" ht="18" x14ac:dyDescent="0.25">
      <c r="B74" s="9">
        <f>C_for_BF</f>
        <v>198.80764502323905</v>
      </c>
      <c r="C74" s="9">
        <f>MW_C</f>
        <v>1.2010999999999999E-2</v>
      </c>
      <c r="D74" s="27">
        <f>B74/C74</f>
        <v>16552.130965218472</v>
      </c>
      <c r="E74" s="9" t="s">
        <v>519</v>
      </c>
      <c r="F74" s="9">
        <v>11994</v>
      </c>
      <c r="G74" s="9">
        <f>C94</f>
        <v>203.27980063725872</v>
      </c>
      <c r="Q74" s="170"/>
      <c r="S74" s="170"/>
      <c r="Y74" s="9" t="s">
        <v>40</v>
      </c>
      <c r="Z74" s="9" t="s">
        <v>10</v>
      </c>
      <c r="AA74" s="9" t="s">
        <v>171</v>
      </c>
      <c r="AB74" s="14" t="s">
        <v>78</v>
      </c>
      <c r="AC74" s="9" t="s">
        <v>41</v>
      </c>
      <c r="AD74" s="19"/>
      <c r="AI74" s="1"/>
      <c r="AN74" s="1"/>
    </row>
    <row r="75" spans="2:45" ht="17" x14ac:dyDescent="0.25">
      <c r="E75" s="9" t="s">
        <v>520</v>
      </c>
      <c r="F75" s="9">
        <v>2720</v>
      </c>
      <c r="G75" s="9">
        <f>(G74*F75)/F74</f>
        <v>46.099804713468707</v>
      </c>
      <c r="R75" s="1"/>
      <c r="Y75" s="9" t="s">
        <v>65</v>
      </c>
      <c r="Z75" s="3">
        <f>AA75*$P$112</f>
        <v>28.443579508210192</v>
      </c>
      <c r="AA75" s="13">
        <v>0.61699999999999999</v>
      </c>
      <c r="AB75" s="13">
        <f>MW_H*2</f>
        <v>2.0158800000000003E-3</v>
      </c>
      <c r="AC75" s="13">
        <f>Z75/AB75</f>
        <v>14109.758273414185</v>
      </c>
      <c r="AD75" s="19"/>
      <c r="AG75" s="4"/>
      <c r="AH75" s="1"/>
      <c r="AI75" s="1"/>
      <c r="AJ75" s="1"/>
      <c r="AM75" s="1"/>
      <c r="AN75" s="1"/>
      <c r="AO75" s="1"/>
    </row>
    <row r="76" spans="2:45" ht="17" x14ac:dyDescent="0.25">
      <c r="E76" s="9" t="s">
        <v>297</v>
      </c>
      <c r="F76" s="9">
        <v>1490</v>
      </c>
      <c r="G76" s="9">
        <f>(G74*F76)/F74</f>
        <v>25.253201846716316</v>
      </c>
      <c r="Q76" s="1"/>
      <c r="R76" s="1"/>
      <c r="S76" s="1"/>
      <c r="Y76" s="9" t="s">
        <v>289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304</v>
      </c>
      <c r="AG76" s="4" t="s">
        <v>303</v>
      </c>
      <c r="AH76" s="1"/>
      <c r="AI76" s="4"/>
      <c r="AJ76" s="1"/>
      <c r="AL76" s="4"/>
      <c r="AM76" s="1"/>
      <c r="AO76" s="1"/>
    </row>
    <row r="77" spans="2:45" ht="16" x14ac:dyDescent="0.2">
      <c r="E77" s="9" t="s">
        <v>549</v>
      </c>
      <c r="F77" s="9">
        <v>12044</v>
      </c>
      <c r="G77" s="9">
        <f>(F77*G74)/F74</f>
        <v>204.127223518021</v>
      </c>
      <c r="Q77" s="1"/>
      <c r="R77" s="1"/>
      <c r="S77" s="1"/>
      <c r="Y77" s="9" t="s">
        <v>112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60">
        <f>(AC77+AC78+AC79)</f>
        <v>897.50495218664253</v>
      </c>
      <c r="AG77" s="248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9" t="s">
        <v>524</v>
      </c>
      <c r="F78" s="9">
        <v>1415</v>
      </c>
      <c r="G78" s="9">
        <f>(G74*F78)/F74</f>
        <v>23.982067525572877</v>
      </c>
      <c r="H78" s="347"/>
      <c r="I78" s="347"/>
      <c r="J78" s="347"/>
      <c r="K78" s="347"/>
      <c r="L78" s="347"/>
      <c r="P78" s="4"/>
      <c r="Q78" s="1"/>
      <c r="R78" s="4"/>
      <c r="S78" s="1"/>
      <c r="Y78" s="15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135</v>
      </c>
      <c r="AF78" s="60">
        <f>(2*AC75)+(2*AC76)+(4*AC79)</f>
        <v>31404.116564962875</v>
      </c>
      <c r="AG78" s="248">
        <f>(2*AC88)+(4*AC89)+(2*AC91)</f>
        <v>31404.116564962875</v>
      </c>
      <c r="AH78" s="1">
        <f t="shared" ref="AH78:AH80" si="11">AF78-AG78</f>
        <v>0</v>
      </c>
      <c r="AI78" s="1"/>
      <c r="AJ78" s="5"/>
      <c r="AL78" s="4"/>
      <c r="AM78" s="1"/>
      <c r="AO78" s="5"/>
    </row>
    <row r="79" spans="2:45" ht="17" x14ac:dyDescent="0.25">
      <c r="H79" s="170"/>
      <c r="I79" s="170"/>
      <c r="J79" s="170"/>
      <c r="K79" s="170"/>
      <c r="L79" s="170"/>
      <c r="M79" s="4"/>
      <c r="N79" s="4"/>
      <c r="O79" s="4"/>
      <c r="P79" s="4"/>
      <c r="Q79" s="1"/>
      <c r="R79" s="1"/>
      <c r="S79" s="5"/>
      <c r="Y79" s="9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133</v>
      </c>
      <c r="AF79" s="60">
        <f>AC76</f>
        <v>40.578575518840545</v>
      </c>
      <c r="AG79" s="250">
        <f>AC76</f>
        <v>40.578575518840545</v>
      </c>
      <c r="AH79" s="1">
        <f t="shared" si="11"/>
        <v>0</v>
      </c>
      <c r="AI79" s="5"/>
      <c r="AJ79" s="1"/>
      <c r="AL79" s="1"/>
      <c r="AM79" s="5"/>
      <c r="AN79" s="5"/>
      <c r="AO79" s="1"/>
    </row>
    <row r="80" spans="2:45" ht="16" x14ac:dyDescent="0.2">
      <c r="G80" s="1"/>
      <c r="O80" s="1"/>
      <c r="Q80" s="5"/>
      <c r="R80" s="5"/>
      <c r="S80" s="1"/>
      <c r="W80"/>
      <c r="X80"/>
      <c r="Y80" s="25" t="s">
        <v>18</v>
      </c>
      <c r="Z80" s="21">
        <f>SUM(Z75:Z79)</f>
        <v>46.0998047134687</v>
      </c>
      <c r="AA80" s="13">
        <f>SUM(AA75:AA79)</f>
        <v>1</v>
      </c>
      <c r="AB80" s="13">
        <f>SUM(AB75:AB79)</f>
        <v>0.12416072</v>
      </c>
      <c r="AC80" s="13">
        <f>SUM(AC75:AC79)</f>
        <v>15047.841801119668</v>
      </c>
      <c r="AE80" s="3" t="s">
        <v>28</v>
      </c>
      <c r="AF80" s="60">
        <f>AC77+(2*AC78)</f>
        <v>147.83147366020734</v>
      </c>
      <c r="AG80" s="60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34"/>
      <c r="Y81" s="19"/>
    </row>
    <row r="82" spans="1:39" ht="31" customHeight="1" x14ac:dyDescent="0.2">
      <c r="G82" s="1"/>
      <c r="O82" s="5"/>
      <c r="P82" s="334"/>
      <c r="Q82" s="335" t="s">
        <v>607</v>
      </c>
      <c r="Y82" s="19"/>
      <c r="AG82" s="5"/>
      <c r="AL82" s="5"/>
    </row>
    <row r="83" spans="1:39" ht="16" x14ac:dyDescent="0.2">
      <c r="A83" t="s">
        <v>567</v>
      </c>
      <c r="G83" s="1"/>
      <c r="O83" s="5"/>
      <c r="P83" s="5"/>
      <c r="Y83" s="19"/>
    </row>
    <row r="84" spans="1:39" ht="16" x14ac:dyDescent="0.2">
      <c r="G84" s="1"/>
      <c r="Y84" s="19"/>
      <c r="AG84" s="1"/>
      <c r="AI84" s="211"/>
    </row>
    <row r="85" spans="1:39" ht="16" x14ac:dyDescent="0.2">
      <c r="G85" s="4"/>
      <c r="P85" s="1"/>
      <c r="Y85" s="19" t="s">
        <v>608</v>
      </c>
      <c r="AG85" s="6"/>
      <c r="AI85" s="6"/>
      <c r="AL85" s="201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60" t="s">
        <v>104</v>
      </c>
      <c r="Z86" s="3" t="s">
        <v>1</v>
      </c>
      <c r="AA86" s="3" t="s">
        <v>46</v>
      </c>
      <c r="AB86" s="3" t="s">
        <v>5</v>
      </c>
      <c r="AC86" s="170" t="s">
        <v>319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5"/>
      <c r="Y87" s="9" t="s">
        <v>40</v>
      </c>
      <c r="Z87" s="25" t="s">
        <v>10</v>
      </c>
      <c r="AA87" s="25" t="s">
        <v>171</v>
      </c>
      <c r="AB87" s="56" t="s">
        <v>78</v>
      </c>
      <c r="AC87" s="25" t="s">
        <v>41</v>
      </c>
      <c r="AD87" s="25" t="s">
        <v>42</v>
      </c>
    </row>
    <row r="88" spans="1:39" ht="17" customHeight="1" thickBot="1" x14ac:dyDescent="0.3">
      <c r="B88" s="142" t="s">
        <v>533</v>
      </c>
      <c r="E88" s="247"/>
      <c r="F88" s="6"/>
      <c r="G88" s="326" t="s">
        <v>250</v>
      </c>
      <c r="H88" s="327" t="s">
        <v>306</v>
      </c>
      <c r="I88" s="327" t="s">
        <v>307</v>
      </c>
      <c r="J88" s="328" t="s">
        <v>308</v>
      </c>
      <c r="K88" s="327" t="s">
        <v>309</v>
      </c>
      <c r="L88" s="327" t="s">
        <v>530</v>
      </c>
      <c r="M88" s="329" t="s">
        <v>310</v>
      </c>
      <c r="N88" s="330" t="s">
        <v>384</v>
      </c>
      <c r="X88" s="362" t="s">
        <v>505</v>
      </c>
      <c r="Y88" s="27" t="s">
        <v>65</v>
      </c>
      <c r="Z88" s="19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29">
        <f>AC88/$AC$92</f>
        <v>0.93198229871837579</v>
      </c>
      <c r="AG88" s="1"/>
    </row>
    <row r="89" spans="1:39" ht="16" customHeight="1" x14ac:dyDescent="0.25">
      <c r="A89" s="350" t="s">
        <v>554</v>
      </c>
      <c r="B89" s="9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6">
        <f>C89/E89</f>
        <v>16552.130965218472</v>
      </c>
      <c r="G89" s="30" t="s">
        <v>91</v>
      </c>
      <c r="H89" s="30" t="s">
        <v>271</v>
      </c>
      <c r="I89" s="30" t="s">
        <v>171</v>
      </c>
      <c r="J89" s="30" t="s">
        <v>171</v>
      </c>
      <c r="K89" s="30" t="s">
        <v>171</v>
      </c>
      <c r="L89" s="30" t="s">
        <v>171</v>
      </c>
      <c r="M89" s="30" t="s">
        <v>91</v>
      </c>
      <c r="N89" s="30" t="s">
        <v>271</v>
      </c>
      <c r="X89" s="362"/>
      <c r="Y89" s="27" t="s">
        <v>64</v>
      </c>
      <c r="Z89" s="19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29">
        <f>AC89/$AC$92</f>
        <v>6.0322399309869018E-2</v>
      </c>
      <c r="AG89" s="1"/>
    </row>
    <row r="90" spans="1:39" ht="19" thickBot="1" x14ac:dyDescent="0.3">
      <c r="A90" s="350"/>
      <c r="B90" s="9" t="s">
        <v>135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6">
        <f t="shared" ref="F90:F93" si="12">C90/E90</f>
        <v>1008.3923677860722</v>
      </c>
      <c r="G90" s="9">
        <f>phi_anthrocite</f>
        <v>1.0437000000000001</v>
      </c>
      <c r="H90" s="25">
        <f>NCV_dry_anthrocite</f>
        <v>30080</v>
      </c>
      <c r="I90" s="25">
        <f>C90/C89</f>
        <v>5.1124744376278121E-3</v>
      </c>
      <c r="J90" s="25">
        <f>C91/C89</f>
        <v>7.1574642126789375E-3</v>
      </c>
      <c r="K90" s="25">
        <f>C92/C89</f>
        <v>1.0224948875255625E-3</v>
      </c>
      <c r="L90" s="25">
        <f>C93/C89</f>
        <v>9.2024539877300603E-3</v>
      </c>
      <c r="M90" s="25">
        <f>G90+(phi_dry_constant_a_*(I90))+(phi_dry_constant_b*(J90))+(phi_dry_constant_c*(K90))</f>
        <v>1.0451400817995911</v>
      </c>
      <c r="N90" s="25">
        <f>(H90*M90) + (phi_constant_dry_anthracite_d*L90)</f>
        <v>31524.473169734152</v>
      </c>
      <c r="X90" s="362"/>
      <c r="Y90" s="200" t="s">
        <v>23</v>
      </c>
      <c r="Z90" s="19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29">
        <f>AC90/$AC$92</f>
        <v>4.967966562730978E-3</v>
      </c>
      <c r="AG90" s="1"/>
    </row>
    <row r="91" spans="1:39" ht="18" thickBot="1" x14ac:dyDescent="0.3">
      <c r="A91" s="350"/>
      <c r="B91" s="9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6">
        <f t="shared" si="12"/>
        <v>88.938247963099329</v>
      </c>
      <c r="H91" s="321" t="s">
        <v>299</v>
      </c>
      <c r="I91" s="322" t="s">
        <v>287</v>
      </c>
      <c r="J91" s="323" t="s">
        <v>300</v>
      </c>
      <c r="K91" s="323" t="s">
        <v>301</v>
      </c>
      <c r="L91" s="322" t="s">
        <v>550</v>
      </c>
      <c r="M91" s="324" t="s">
        <v>551</v>
      </c>
      <c r="N91" s="325" t="s">
        <v>560</v>
      </c>
      <c r="X91" s="362"/>
      <c r="Y91" s="9" t="s">
        <v>289</v>
      </c>
      <c r="Z91" s="136">
        <f>AB91*AC91</f>
        <v>1.3829941414040612</v>
      </c>
      <c r="AA91" s="23">
        <f>Z91/$Z$92</f>
        <v>2.9999999999999995E-2</v>
      </c>
      <c r="AB91" s="23">
        <f>MW_H2S</f>
        <v>3.4081880000000002E-2</v>
      </c>
      <c r="AC91" s="23">
        <f>AC76</f>
        <v>40.578575518840545</v>
      </c>
      <c r="AD91" s="198">
        <f>AC91/$AC$92</f>
        <v>2.72733540902417E-3</v>
      </c>
      <c r="AG91" s="1"/>
    </row>
    <row r="92" spans="1:39" ht="16" x14ac:dyDescent="0.2">
      <c r="A92" s="350"/>
      <c r="B92" s="9" t="s">
        <v>284</v>
      </c>
      <c r="C92" s="3">
        <f t="shared" si="13"/>
        <v>0.20327980063725876</v>
      </c>
      <c r="D92" s="3">
        <v>1E-3</v>
      </c>
      <c r="E92" s="3">
        <f>MW_N2/2</f>
        <v>1.400674E-2</v>
      </c>
      <c r="F92" s="6">
        <f t="shared" si="12"/>
        <v>14.512998787530771</v>
      </c>
      <c r="H92" s="30">
        <f>F90</f>
        <v>1008.3923677860722</v>
      </c>
      <c r="I92" s="30">
        <f>F89</f>
        <v>16552.130965218472</v>
      </c>
      <c r="J92" s="319">
        <f>F91</f>
        <v>88.938247963099329</v>
      </c>
      <c r="K92" s="319">
        <f>F92</f>
        <v>14.512998787530771</v>
      </c>
      <c r="L92" s="30">
        <f>F93</f>
        <v>57.054768469261155</v>
      </c>
      <c r="M92" s="320">
        <f>SUM(H92:L92)</f>
        <v>17721.029348224434</v>
      </c>
      <c r="N92" s="30">
        <f>((MW_C)+(MW_H*mol_H_coke)+(MW_O*mol_O_coke)+(MW_N2/2 *mol_N_coke)+(MW_S*mol_S_coke))*M92</f>
        <v>217.63525920401193</v>
      </c>
      <c r="X92" s="277"/>
      <c r="Y92" s="19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610</v>
      </c>
    </row>
    <row r="93" spans="1:39" ht="16" x14ac:dyDescent="0.2">
      <c r="A93" s="350"/>
      <c r="B93" s="9" t="s">
        <v>133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6">
        <f t="shared" si="12"/>
        <v>57.054768469261155</v>
      </c>
      <c r="G93" s="3" t="s">
        <v>556</v>
      </c>
      <c r="H93" s="9">
        <f>mol_Coke/H92</f>
        <v>17.573545689492867</v>
      </c>
      <c r="I93" s="9">
        <f>mol_Coke/I92</f>
        <v>1.0706192082132631</v>
      </c>
      <c r="J93" s="9">
        <f>mol_Coke/J92</f>
        <v>199.25093819676914</v>
      </c>
      <c r="K93" s="9">
        <f>mol_Coke/K92</f>
        <v>1221.0453268589761</v>
      </c>
      <c r="L93" s="9">
        <f>mol_Coke/L92</f>
        <v>310.59681466890572</v>
      </c>
      <c r="X93" s="277"/>
      <c r="Y93" s="19"/>
      <c r="AG93" s="1"/>
      <c r="AM93" s="12" t="s">
        <v>609</v>
      </c>
    </row>
    <row r="94" spans="1:39" ht="16" x14ac:dyDescent="0.2">
      <c r="A94" s="276"/>
      <c r="C94" s="13">
        <f>SUM(C89:C93)</f>
        <v>203.27980063725872</v>
      </c>
      <c r="D94" s="13">
        <f>SUM(D89:D93)</f>
        <v>1</v>
      </c>
      <c r="E94" s="269"/>
      <c r="F94" s="13">
        <f>SUM(F89:F93)</f>
        <v>17721.029348224434</v>
      </c>
      <c r="G94" s="5"/>
      <c r="H94" s="11">
        <f>(H92*$I$93)/mol_Coke</f>
        <v>6.0922208137734024E-2</v>
      </c>
      <c r="I94" s="11">
        <v>1</v>
      </c>
      <c r="J94" s="11">
        <f>(J92*$I$93)/mol_Coke</f>
        <v>5.3732204119208661E-3</v>
      </c>
      <c r="K94" s="11">
        <f>(K92*$I$93)/mol_Coke</f>
        <v>8.7680545894830127E-4</v>
      </c>
      <c r="L94" s="11">
        <f>(L92*$I$93)/mol_Coke</f>
        <v>3.4469742046599429E-3</v>
      </c>
      <c r="X94" s="277"/>
      <c r="Y94" s="19"/>
      <c r="AG94" s="1"/>
    </row>
    <row r="95" spans="1:39" ht="17" thickBot="1" x14ac:dyDescent="0.25">
      <c r="F95" s="1"/>
      <c r="G95" s="5"/>
      <c r="H95" s="5"/>
      <c r="I95" s="5"/>
      <c r="J95" s="5"/>
      <c r="O95" s="3" t="s">
        <v>314</v>
      </c>
      <c r="X95" s="277"/>
      <c r="AG95" s="108"/>
    </row>
    <row r="96" spans="1:39" ht="18" thickBot="1" x14ac:dyDescent="0.3">
      <c r="B96" s="142" t="s">
        <v>304</v>
      </c>
      <c r="C96" s="3" t="s">
        <v>1</v>
      </c>
      <c r="D96" s="3" t="s">
        <v>46</v>
      </c>
      <c r="E96" s="3" t="s">
        <v>5</v>
      </c>
      <c r="F96" s="170" t="s">
        <v>319</v>
      </c>
      <c r="G96" s="326" t="s">
        <v>250</v>
      </c>
      <c r="H96" s="327" t="s">
        <v>306</v>
      </c>
      <c r="I96" s="327" t="s">
        <v>307</v>
      </c>
      <c r="J96" s="328" t="s">
        <v>308</v>
      </c>
      <c r="K96" s="327" t="s">
        <v>309</v>
      </c>
      <c r="L96" s="327" t="s">
        <v>529</v>
      </c>
      <c r="M96" s="327" t="s">
        <v>530</v>
      </c>
      <c r="N96" s="329" t="s">
        <v>310</v>
      </c>
      <c r="O96" s="330" t="s">
        <v>312</v>
      </c>
      <c r="P96" s="108"/>
      <c r="X96" s="277"/>
    </row>
    <row r="97" spans="1:38" ht="18" x14ac:dyDescent="0.25">
      <c r="B97" s="9" t="s">
        <v>40</v>
      </c>
      <c r="C97" s="9" t="s">
        <v>10</v>
      </c>
      <c r="D97" s="9" t="s">
        <v>171</v>
      </c>
      <c r="E97" s="14" t="s">
        <v>78</v>
      </c>
      <c r="F97" s="9" t="s">
        <v>41</v>
      </c>
      <c r="G97" s="30" t="s">
        <v>91</v>
      </c>
      <c r="H97" s="30" t="s">
        <v>271</v>
      </c>
      <c r="I97" s="30" t="s">
        <v>171</v>
      </c>
      <c r="J97" s="30" t="s">
        <v>171</v>
      </c>
      <c r="K97" s="30" t="s">
        <v>171</v>
      </c>
      <c r="L97" s="30" t="s">
        <v>171</v>
      </c>
      <c r="M97" s="30" t="s">
        <v>171</v>
      </c>
      <c r="N97" s="30" t="s">
        <v>91</v>
      </c>
      <c r="O97" s="30" t="s">
        <v>271</v>
      </c>
      <c r="X97" s="332"/>
      <c r="Y97" s="19"/>
    </row>
    <row r="98" spans="1:38" ht="16" thickBot="1" x14ac:dyDescent="0.25">
      <c r="A98" s="354" t="s">
        <v>503</v>
      </c>
      <c r="B98" s="9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9">
        <f>phi_anthrocite</f>
        <v>1.0437000000000001</v>
      </c>
      <c r="H98" s="25">
        <f>NCV_bituminous</f>
        <v>33412</v>
      </c>
      <c r="I98" s="25">
        <f>C99/C98</f>
        <v>0.14584005581192777</v>
      </c>
      <c r="J98" s="25">
        <f>C100/C98</f>
        <v>1.7710452920337294E-2</v>
      </c>
      <c r="K98" s="25">
        <f>C101/C98</f>
        <v>1.3365265485640865E-3</v>
      </c>
      <c r="L98" s="25">
        <f>K114/C98</f>
        <v>0.10885920401367521</v>
      </c>
      <c r="M98" s="25">
        <f>C102/C98</f>
        <v>1.3495583200088705E-2</v>
      </c>
      <c r="N98" s="9">
        <f>G98+(phi_dry_constant_a_*(I98))+(phi_dry_constant_b*(J98))+(phi_dry_constant_c*(K98))</f>
        <v>1.0722814318045075</v>
      </c>
      <c r="O98" s="9">
        <f>(NCV_dry_anthrocite*N98) + (phi_constant_dry_anthracite_d*M98)</f>
        <v>32381.313375674821</v>
      </c>
      <c r="Y98" s="19"/>
    </row>
    <row r="99" spans="1:38" ht="17" thickBot="1" x14ac:dyDescent="0.25">
      <c r="A99" s="354"/>
      <c r="B99" s="9" t="s">
        <v>135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21" t="s">
        <v>299</v>
      </c>
      <c r="I99" s="322" t="s">
        <v>287</v>
      </c>
      <c r="J99" s="323" t="s">
        <v>300</v>
      </c>
      <c r="K99" s="323" t="s">
        <v>301</v>
      </c>
      <c r="L99" s="322" t="s">
        <v>550</v>
      </c>
      <c r="M99" s="331" t="s">
        <v>302</v>
      </c>
      <c r="N99" s="1"/>
      <c r="Y99" s="19"/>
    </row>
    <row r="100" spans="1:38" ht="16" x14ac:dyDescent="0.2">
      <c r="A100" s="354"/>
      <c r="B100" s="9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0">
        <f>F99</f>
        <v>33565.524428231089</v>
      </c>
      <c r="I100" s="30">
        <f>F98</f>
        <v>19313.995623388062</v>
      </c>
      <c r="J100" s="319">
        <f>F100</f>
        <v>256.78950323208898</v>
      </c>
      <c r="K100" s="319">
        <f>F101</f>
        <v>22.135626509888038</v>
      </c>
      <c r="L100" s="30">
        <f>F102</f>
        <v>97.6333439881017</v>
      </c>
      <c r="M100" s="320">
        <f>SUM(H100:L100)</f>
        <v>53256.078525349229</v>
      </c>
      <c r="N100" s="1"/>
      <c r="Y100" s="19"/>
    </row>
    <row r="101" spans="1:38" ht="16" x14ac:dyDescent="0.2">
      <c r="A101" s="354"/>
      <c r="B101" s="9" t="s">
        <v>284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555</v>
      </c>
      <c r="H101" s="9">
        <f>mol_Coal/H100</f>
        <v>1.5866303128741504</v>
      </c>
      <c r="I101" s="9">
        <f>mol_Coal/mol_C_Coal</f>
        <v>2.7573827582760448</v>
      </c>
      <c r="J101" s="9">
        <f>mol_Coal/J100</f>
        <v>207.39196055539639</v>
      </c>
      <c r="K101" s="9">
        <f>mol_Coal/K100</f>
        <v>2405.8988572814783</v>
      </c>
      <c r="L101" s="9">
        <f>mol_Coal/L100</f>
        <v>545.47018825698933</v>
      </c>
      <c r="M101" s="11" t="s">
        <v>491</v>
      </c>
      <c r="N101" s="5"/>
      <c r="Y101" s="19"/>
    </row>
    <row r="102" spans="1:38" x14ac:dyDescent="0.2">
      <c r="A102" s="267"/>
      <c r="B102" s="9" t="s">
        <v>133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9">
        <f>(H100*coal_C_coeff)/mol_Coal</f>
        <v>1.7378860947646328</v>
      </c>
      <c r="I102" s="9">
        <v>1</v>
      </c>
      <c r="J102" s="9">
        <f>(J100*coal_C_coeff)/mol_Coal</f>
        <v>1.3295514208418516E-2</v>
      </c>
      <c r="K102" s="9">
        <f>(K100*coal_C_coeff)/mol_Coal</f>
        <v>1.1460925507864959E-3</v>
      </c>
      <c r="L102" s="9">
        <f>(L100*coal_C_coeff)/mol_Coal</f>
        <v>5.0550567522068676E-3</v>
      </c>
      <c r="M102" s="9">
        <f>(MW_C+(MW_H*mol_H_Coal)+((MW_N2/2)*mol_N_Coal)+(MW_O*mol_O_Coal)+(MW_S*mol_S_coal))*mol_Coal</f>
        <v>753.76276356260666</v>
      </c>
      <c r="Y102" s="260" t="s">
        <v>358</v>
      </c>
      <c r="AG102" s="142" t="s">
        <v>559</v>
      </c>
    </row>
    <row r="103" spans="1:38" x14ac:dyDescent="0.2">
      <c r="B103" s="9" t="s">
        <v>297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61" t="s">
        <v>504</v>
      </c>
      <c r="I103" s="361"/>
      <c r="J103" s="361"/>
      <c r="K103" s="361"/>
      <c r="Y103" s="19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60" t="s">
        <v>104</v>
      </c>
      <c r="Z104" s="3" t="s">
        <v>1</v>
      </c>
      <c r="AA104" s="3" t="s">
        <v>46</v>
      </c>
      <c r="AB104" s="3" t="s">
        <v>5</v>
      </c>
      <c r="AC104" s="170" t="s">
        <v>319</v>
      </c>
      <c r="AD104" s="3" t="s">
        <v>38</v>
      </c>
      <c r="AG104" s="142" t="s">
        <v>104</v>
      </c>
      <c r="AH104" s="3" t="s">
        <v>1</v>
      </c>
      <c r="AI104" s="3" t="s">
        <v>46</v>
      </c>
      <c r="AJ104" s="3" t="s">
        <v>5</v>
      </c>
      <c r="AK104" s="170" t="s">
        <v>319</v>
      </c>
      <c r="AL104" s="3" t="s">
        <v>38</v>
      </c>
    </row>
    <row r="105" spans="1:38" ht="18" x14ac:dyDescent="0.25">
      <c r="C105" s="3" t="s">
        <v>284</v>
      </c>
      <c r="D105" s="3" t="s">
        <v>5</v>
      </c>
      <c r="E105" s="3" t="s">
        <v>1</v>
      </c>
      <c r="F105" s="3" t="s">
        <v>46</v>
      </c>
      <c r="I105" s="3" t="s">
        <v>284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70" t="s">
        <v>319</v>
      </c>
      <c r="Y105" s="9" t="s">
        <v>40</v>
      </c>
      <c r="Z105" s="25" t="s">
        <v>10</v>
      </c>
      <c r="AA105" s="25" t="s">
        <v>171</v>
      </c>
      <c r="AB105" s="56" t="s">
        <v>78</v>
      </c>
      <c r="AC105" s="25" t="s">
        <v>41</v>
      </c>
      <c r="AD105" s="25" t="s">
        <v>42</v>
      </c>
      <c r="AG105" s="9" t="s">
        <v>40</v>
      </c>
      <c r="AH105" s="25" t="s">
        <v>10</v>
      </c>
      <c r="AI105" s="25" t="s">
        <v>171</v>
      </c>
      <c r="AJ105" s="56" t="s">
        <v>78</v>
      </c>
      <c r="AK105" s="25" t="s">
        <v>41</v>
      </c>
      <c r="AL105" s="25" t="s">
        <v>42</v>
      </c>
    </row>
    <row r="106" spans="1:38" ht="18" x14ac:dyDescent="0.25">
      <c r="B106" s="142" t="s">
        <v>531</v>
      </c>
      <c r="C106" s="9" t="s">
        <v>12</v>
      </c>
      <c r="D106" s="14" t="s">
        <v>78</v>
      </c>
      <c r="E106" s="9" t="s">
        <v>10</v>
      </c>
      <c r="F106" s="9" t="s">
        <v>171</v>
      </c>
      <c r="H106" s="142" t="s">
        <v>532</v>
      </c>
      <c r="I106" s="9" t="s">
        <v>12</v>
      </c>
      <c r="J106" s="14" t="s">
        <v>78</v>
      </c>
      <c r="K106" s="9" t="s">
        <v>10</v>
      </c>
      <c r="L106" s="9" t="s">
        <v>171</v>
      </c>
      <c r="N106" s="20" t="s">
        <v>534</v>
      </c>
      <c r="O106" s="9" t="s">
        <v>40</v>
      </c>
      <c r="P106" s="9" t="s">
        <v>10</v>
      </c>
      <c r="Q106" s="9" t="s">
        <v>171</v>
      </c>
      <c r="R106" s="14" t="s">
        <v>78</v>
      </c>
      <c r="S106" s="9" t="s">
        <v>41</v>
      </c>
      <c r="Y106" s="27" t="s">
        <v>65</v>
      </c>
      <c r="Z106" s="19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29">
        <f>AC106/$AC$110</f>
        <v>0.9319822987183759</v>
      </c>
      <c r="AG106" s="27" t="s">
        <v>65</v>
      </c>
      <c r="AH106" s="19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29">
        <f>AK106/$AK$110</f>
        <v>0.93198229871837568</v>
      </c>
    </row>
    <row r="107" spans="1:38" ht="17" x14ac:dyDescent="0.25">
      <c r="A107" s="3" t="s">
        <v>535</v>
      </c>
      <c r="B107" s="9" t="s">
        <v>525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56">
        <f>SUM(F107:F113)</f>
        <v>0.3640000000000001</v>
      </c>
      <c r="H107" s="44" t="s">
        <v>237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50" t="s">
        <v>553</v>
      </c>
      <c r="O107" s="9" t="s">
        <v>65</v>
      </c>
      <c r="P107" s="3">
        <f>Q107*$P$112</f>
        <v>28.443579508210192</v>
      </c>
      <c r="Q107" s="13">
        <v>0.61699999999999999</v>
      </c>
      <c r="R107" s="13">
        <f>MW_H*2</f>
        <v>2.0158800000000003E-3</v>
      </c>
      <c r="S107" s="13">
        <f>P107/R107</f>
        <v>14109.758273414185</v>
      </c>
      <c r="Y107" s="27" t="s">
        <v>64</v>
      </c>
      <c r="Z107" s="19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29">
        <f>AC107/$AC$110</f>
        <v>6.0322399309869025E-2</v>
      </c>
      <c r="AG107" s="27" t="s">
        <v>64</v>
      </c>
      <c r="AH107" s="19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29">
        <f>AK107/$AK$110</f>
        <v>6.0322399309869004E-2</v>
      </c>
    </row>
    <row r="108" spans="1:38" ht="18" x14ac:dyDescent="0.25">
      <c r="A108" s="3" t="s">
        <v>538</v>
      </c>
      <c r="B108" s="9" t="s">
        <v>526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56"/>
      <c r="H108" s="44" t="s">
        <v>113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50"/>
      <c r="O108" s="9" t="s">
        <v>289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00" t="s">
        <v>23</v>
      </c>
      <c r="Z108" s="19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29">
        <f>AC108/$AC$110</f>
        <v>4.967966562730978E-3</v>
      </c>
      <c r="AG108" s="200" t="s">
        <v>23</v>
      </c>
      <c r="AH108" s="19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29">
        <f>AK108/$AK$110</f>
        <v>4.9679665627309771E-3</v>
      </c>
    </row>
    <row r="109" spans="1:38" ht="17" x14ac:dyDescent="0.25">
      <c r="A109" s="3" t="s">
        <v>539</v>
      </c>
      <c r="B109" s="9" t="s">
        <v>527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56"/>
      <c r="H109" s="44" t="s">
        <v>132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50"/>
      <c r="O109" s="9" t="s">
        <v>112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9" t="s">
        <v>289</v>
      </c>
      <c r="Z109" s="19">
        <f>AA109*$Z$110</f>
        <v>0.96809589898284276</v>
      </c>
      <c r="AA109" s="3">
        <f>AA91</f>
        <v>2.9999999999999995E-2</v>
      </c>
      <c r="AB109" s="23">
        <f>MW_H2S</f>
        <v>3.4081880000000002E-2</v>
      </c>
      <c r="AC109" s="3">
        <f t="shared" si="17"/>
        <v>28.405002863188379</v>
      </c>
      <c r="AD109" s="129">
        <f>AC109/$AC$110</f>
        <v>2.7273354090241704E-3</v>
      </c>
      <c r="AG109" s="9" t="s">
        <v>289</v>
      </c>
      <c r="AH109" s="19">
        <f>AI109*$AH$110</f>
        <v>0.41489824242121831</v>
      </c>
      <c r="AI109" s="3">
        <f>AA91</f>
        <v>2.9999999999999995E-2</v>
      </c>
      <c r="AJ109" s="23">
        <f>MW_H2S</f>
        <v>3.4081880000000002E-2</v>
      </c>
      <c r="AK109" s="3">
        <f t="shared" si="18"/>
        <v>12.173572655652162</v>
      </c>
      <c r="AL109" s="129">
        <f>AK109/$AK$110</f>
        <v>2.7273354090241691E-3</v>
      </c>
    </row>
    <row r="110" spans="1:38" ht="18" x14ac:dyDescent="0.25">
      <c r="A110" s="3" t="s">
        <v>537</v>
      </c>
      <c r="B110" s="9" t="s">
        <v>536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56"/>
      <c r="H110" s="44" t="s">
        <v>238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50"/>
      <c r="O110" s="15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19" t="s">
        <v>18</v>
      </c>
      <c r="Z110" s="13">
        <f>Z92*Y103</f>
        <v>32.269863299428096</v>
      </c>
      <c r="AA110" s="13">
        <f>SUM(AA105:AA109)</f>
        <v>0.99999999999999989</v>
      </c>
      <c r="AB110" s="13"/>
      <c r="AC110" s="13">
        <f>SUM(AC106:AC109)</f>
        <v>10414.928346987426</v>
      </c>
      <c r="AD110" s="13">
        <f>SUM(AD105:AD109)</f>
        <v>1.0000000000000002</v>
      </c>
      <c r="AG110" s="3" t="s">
        <v>18</v>
      </c>
      <c r="AH110" s="13">
        <f>AG103*Z92</f>
        <v>13.829941414040613</v>
      </c>
      <c r="AI110" s="13">
        <f>SUM(AI105:AI109)</f>
        <v>0.99999999999999989</v>
      </c>
      <c r="AJ110" s="13"/>
      <c r="AK110" s="13">
        <f>SUM(AK105:AK109)</f>
        <v>4463.5407201374701</v>
      </c>
      <c r="AL110" s="13">
        <f>SUM(AL105:AL109)</f>
        <v>0.99999999999999989</v>
      </c>
    </row>
    <row r="111" spans="1:38" ht="18" x14ac:dyDescent="0.25">
      <c r="A111" s="3" t="s">
        <v>540</v>
      </c>
      <c r="B111" s="9" t="s">
        <v>543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56"/>
      <c r="H111" s="14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50"/>
      <c r="O111" s="9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541</v>
      </c>
      <c r="B112" s="9" t="s">
        <v>545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56"/>
      <c r="H112" s="14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50"/>
      <c r="O112" s="9" t="s">
        <v>18</v>
      </c>
      <c r="P112" s="21">
        <f>G75</f>
        <v>46.099804713468707</v>
      </c>
      <c r="Q112" s="13">
        <f>SUM(Q107:Q111)</f>
        <v>1</v>
      </c>
      <c r="R112" s="13">
        <f>SUM(R107:R111)</f>
        <v>0.12416072</v>
      </c>
      <c r="S112" s="13">
        <f>SUM(S107:S111)</f>
        <v>15047.841801119668</v>
      </c>
    </row>
    <row r="113" spans="1:31" ht="18" x14ac:dyDescent="0.25">
      <c r="A113" s="3" t="s">
        <v>542</v>
      </c>
      <c r="B113" s="44" t="s">
        <v>546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56"/>
      <c r="H113" s="14" t="s">
        <v>528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56" t="s">
        <v>547</v>
      </c>
      <c r="B114" s="9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56"/>
      <c r="B115" s="9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56"/>
      <c r="B116" s="15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56"/>
      <c r="B117" s="268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42"/>
      <c r="E119" s="170"/>
      <c r="H119" s="142"/>
      <c r="K119" s="170"/>
    </row>
    <row r="120" spans="1:31" ht="16" x14ac:dyDescent="0.2">
      <c r="D120" s="1"/>
      <c r="J120" s="1"/>
      <c r="O120" s="224"/>
    </row>
    <row r="121" spans="1:31" ht="16" x14ac:dyDescent="0.2">
      <c r="H121" s="6"/>
      <c r="I121" s="224"/>
      <c r="J121" s="224"/>
      <c r="K121" s="224"/>
    </row>
    <row r="122" spans="1:31" ht="16" x14ac:dyDescent="0.2">
      <c r="B122" s="201"/>
      <c r="I122" s="224"/>
      <c r="J122" s="224"/>
      <c r="K122" s="224"/>
    </row>
    <row r="123" spans="1:31" ht="16" x14ac:dyDescent="0.2">
      <c r="B123" s="6"/>
      <c r="H123" s="6"/>
      <c r="I123" s="224"/>
      <c r="J123" s="224"/>
      <c r="K123" s="224"/>
    </row>
    <row r="127" spans="1:31" ht="16" x14ac:dyDescent="0.2">
      <c r="D127" s="201"/>
      <c r="AE127" s="12"/>
    </row>
    <row r="136" spans="4:19" x14ac:dyDescent="0.2">
      <c r="M136" s="12"/>
    </row>
    <row r="143" spans="4:19" x14ac:dyDescent="0.2">
      <c r="D143" s="347" t="s">
        <v>557</v>
      </c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</row>
    <row r="155" spans="1:30" x14ac:dyDescent="0.2">
      <c r="D155" s="3" t="s">
        <v>558</v>
      </c>
    </row>
    <row r="157" spans="1:30" ht="16" thickBot="1" x14ac:dyDescent="0.2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</row>
    <row r="158" spans="1:30" x14ac:dyDescent="0.2">
      <c r="C158" s="363" t="s">
        <v>506</v>
      </c>
      <c r="D158" s="363"/>
      <c r="E158" s="363"/>
      <c r="F158" s="363"/>
      <c r="G158" s="363"/>
    </row>
    <row r="159" spans="1:30" x14ac:dyDescent="0.2">
      <c r="B159" s="142" t="s">
        <v>358</v>
      </c>
      <c r="C159" s="355"/>
      <c r="D159" s="355"/>
      <c r="E159" s="355"/>
      <c r="F159" s="355"/>
      <c r="G159" s="355"/>
    </row>
    <row r="160" spans="1:30" x14ac:dyDescent="0.2">
      <c r="B160" s="3">
        <v>0.7</v>
      </c>
      <c r="I160" s="104" t="s">
        <v>264</v>
      </c>
    </row>
    <row r="161" spans="2:14" ht="18" x14ac:dyDescent="0.25">
      <c r="B161" s="142" t="s">
        <v>103</v>
      </c>
      <c r="C161" s="3" t="s">
        <v>1</v>
      </c>
      <c r="D161" s="3" t="s">
        <v>46</v>
      </c>
      <c r="E161" s="3" t="s">
        <v>5</v>
      </c>
      <c r="F161" s="170" t="s">
        <v>319</v>
      </c>
      <c r="I161" s="14" t="s">
        <v>83</v>
      </c>
      <c r="K161" s="142" t="s">
        <v>104</v>
      </c>
      <c r="L161" s="3" t="s">
        <v>1</v>
      </c>
      <c r="M161" s="3" t="s">
        <v>5</v>
      </c>
      <c r="N161" s="170" t="s">
        <v>319</v>
      </c>
    </row>
    <row r="162" spans="2:14" ht="18" x14ac:dyDescent="0.25">
      <c r="B162" s="9" t="s">
        <v>40</v>
      </c>
      <c r="C162" s="25" t="s">
        <v>10</v>
      </c>
      <c r="D162" s="25" t="s">
        <v>171</v>
      </c>
      <c r="E162" s="56" t="s">
        <v>78</v>
      </c>
      <c r="F162" s="21" t="s">
        <v>41</v>
      </c>
      <c r="I162" s="9">
        <f>L167-(C167+C172)</f>
        <v>0</v>
      </c>
      <c r="K162" s="9" t="s">
        <v>40</v>
      </c>
      <c r="L162" s="25" t="s">
        <v>10</v>
      </c>
      <c r="M162" s="56" t="s">
        <v>78</v>
      </c>
      <c r="N162" s="21" t="s">
        <v>41</v>
      </c>
    </row>
    <row r="163" spans="2:14" ht="17" x14ac:dyDescent="0.25">
      <c r="B163" s="27" t="s">
        <v>65</v>
      </c>
      <c r="C163" s="19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27" t="s">
        <v>67</v>
      </c>
      <c r="L163" s="19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27" t="s">
        <v>64</v>
      </c>
      <c r="C164" s="19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04" t="s">
        <v>63</v>
      </c>
      <c r="L164" s="19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00" t="s">
        <v>23</v>
      </c>
      <c r="C165" s="19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279" t="s">
        <v>561</v>
      </c>
      <c r="L165" s="19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9" t="s">
        <v>289</v>
      </c>
      <c r="C166" s="19">
        <f>H2S_to_BF</f>
        <v>0.96809589898284276</v>
      </c>
      <c r="D166" s="3">
        <f t="shared" si="23"/>
        <v>2.9999999999999995E-2</v>
      </c>
      <c r="E166" s="23">
        <f>MW_H2S</f>
        <v>3.4081880000000002E-2</v>
      </c>
      <c r="F166" s="3">
        <f t="shared" si="24"/>
        <v>28.405002863188379</v>
      </c>
      <c r="K166" s="15" t="s">
        <v>66</v>
      </c>
      <c r="L166" s="19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3">
        <f>SUM(C163:C166)</f>
        <v>32.269863299428096</v>
      </c>
      <c r="D167" s="13">
        <f>SUM(D162:D166)</f>
        <v>0.99999999999999989</v>
      </c>
      <c r="E167" s="13"/>
      <c r="F167" s="13">
        <f>SUM(F163:F166)</f>
        <v>10414.928346987426</v>
      </c>
      <c r="K167" s="3" t="s">
        <v>18</v>
      </c>
      <c r="L167" s="13">
        <f>SUM(L163:L166)</f>
        <v>870.06731653205884</v>
      </c>
      <c r="M167" s="13">
        <f>SUM(M163:M166)</f>
        <v>0.15410336000000002</v>
      </c>
      <c r="N167" s="13">
        <f>SUM(N163:N166)</f>
        <v>34586.4975924604</v>
      </c>
    </row>
    <row r="169" spans="2:14" x14ac:dyDescent="0.2">
      <c r="B169" s="142" t="s">
        <v>103</v>
      </c>
    </row>
    <row r="170" spans="2:14" ht="18" x14ac:dyDescent="0.25">
      <c r="B170" s="200" t="s">
        <v>23</v>
      </c>
      <c r="C170" s="19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103</v>
      </c>
      <c r="J170" s="3" t="s">
        <v>104</v>
      </c>
    </row>
    <row r="171" spans="2:14" ht="18" x14ac:dyDescent="0.25">
      <c r="B171" s="15" t="s">
        <v>66</v>
      </c>
      <c r="C171" s="19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60">
        <f>F164</f>
        <v>628.25346653064969</v>
      </c>
      <c r="J171" s="60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3">
        <f>SUM(C170:C171)</f>
        <v>837.79745323263069</v>
      </c>
      <c r="D172" s="13">
        <f>SUM(D170:D171)</f>
        <v>1</v>
      </c>
      <c r="E172" s="13">
        <f>SUM(E170:E171)</f>
        <v>6.0012280000000001E-2</v>
      </c>
      <c r="F172" s="13">
        <f>SUM(F170:F171)</f>
        <v>29039.036177810827</v>
      </c>
      <c r="H172" s="3" t="s">
        <v>135</v>
      </c>
      <c r="I172" s="60">
        <f>(2*F163)+(4*F164)+(2*F166)</f>
        <v>21982.881595474006</v>
      </c>
      <c r="J172" s="60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60">
        <f>2*F165 +2*F170</f>
        <v>12304.757736524678</v>
      </c>
      <c r="J173" s="60">
        <f>N163+(2*N164)+(2*N165)</f>
        <v>12304.757736524678</v>
      </c>
      <c r="K173" s="3">
        <f t="shared" si="25"/>
        <v>0</v>
      </c>
    </row>
    <row r="174" spans="2:14" x14ac:dyDescent="0.2">
      <c r="H174" s="3" t="s">
        <v>284</v>
      </c>
      <c r="I174" s="60">
        <f>F171*2</f>
        <v>45876.796650659118</v>
      </c>
      <c r="J174" s="60">
        <f>2*N166</f>
        <v>45876.796650659118</v>
      </c>
      <c r="K174" s="3">
        <f t="shared" si="25"/>
        <v>0</v>
      </c>
    </row>
    <row r="175" spans="2:14" x14ac:dyDescent="0.2">
      <c r="H175" s="3" t="s">
        <v>133</v>
      </c>
      <c r="I175" s="60">
        <f>F166</f>
        <v>28.405002863188379</v>
      </c>
      <c r="J175" s="60">
        <f>N165</f>
        <v>28.405002863188379</v>
      </c>
      <c r="K175" s="3">
        <f t="shared" si="25"/>
        <v>0</v>
      </c>
    </row>
    <row r="176" spans="2:14" x14ac:dyDescent="0.2">
      <c r="I176" s="60">
        <f>SUM(I171:I175)</f>
        <v>80821.094452051635</v>
      </c>
      <c r="J176" s="60">
        <f>SUM(J171:J175)</f>
        <v>80821.094452051635</v>
      </c>
    </row>
    <row r="178" spans="1:21" ht="16" thickBot="1" x14ac:dyDescent="0.2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</row>
    <row r="180" spans="1:21" x14ac:dyDescent="0.2">
      <c r="B180" s="355" t="s">
        <v>563</v>
      </c>
      <c r="C180" s="355"/>
      <c r="D180" s="355"/>
      <c r="E180" s="355"/>
      <c r="F180" s="355"/>
      <c r="G180" s="355"/>
    </row>
    <row r="181" spans="1:21" x14ac:dyDescent="0.2">
      <c r="B181" s="355"/>
      <c r="C181" s="355"/>
      <c r="D181" s="355"/>
      <c r="E181" s="355"/>
      <c r="F181" s="355"/>
      <c r="G181" s="355"/>
    </row>
    <row r="182" spans="1:21" x14ac:dyDescent="0.2">
      <c r="B182" s="355"/>
      <c r="C182" s="355"/>
      <c r="D182" s="355"/>
      <c r="E182" s="355"/>
      <c r="F182" s="355"/>
      <c r="G182" s="355"/>
    </row>
    <row r="185" spans="1:21" x14ac:dyDescent="0.2">
      <c r="I185" s="104" t="s">
        <v>264</v>
      </c>
    </row>
    <row r="186" spans="1:21" ht="18" x14ac:dyDescent="0.25">
      <c r="B186" s="142"/>
      <c r="I186" s="14" t="s">
        <v>83</v>
      </c>
    </row>
    <row r="187" spans="1:21" x14ac:dyDescent="0.2">
      <c r="I187" s="9">
        <f>C195+C200-(H2O_out_BF_from_coke+SO2_out_BF_from_coke+N2_out_BF_from_coke)</f>
        <v>0</v>
      </c>
    </row>
    <row r="188" spans="1:21" ht="17" x14ac:dyDescent="0.25">
      <c r="B188" s="142" t="s">
        <v>103</v>
      </c>
      <c r="C188" s="3" t="s">
        <v>1</v>
      </c>
      <c r="D188" s="3" t="s">
        <v>46</v>
      </c>
      <c r="E188" s="3" t="s">
        <v>5</v>
      </c>
      <c r="F188" s="170" t="s">
        <v>319</v>
      </c>
      <c r="L188" s="142" t="s">
        <v>104</v>
      </c>
      <c r="M188" s="3" t="s">
        <v>1</v>
      </c>
      <c r="N188" s="3" t="s">
        <v>46</v>
      </c>
      <c r="O188" s="3" t="s">
        <v>5</v>
      </c>
      <c r="P188" s="170" t="s">
        <v>319</v>
      </c>
    </row>
    <row r="189" spans="1:21" ht="18" x14ac:dyDescent="0.25">
      <c r="B189" s="9" t="s">
        <v>40</v>
      </c>
      <c r="C189" s="9" t="s">
        <v>10</v>
      </c>
      <c r="D189" s="9" t="s">
        <v>171</v>
      </c>
      <c r="E189" s="14" t="s">
        <v>78</v>
      </c>
      <c r="F189" s="27" t="s">
        <v>41</v>
      </c>
      <c r="L189" s="9" t="s">
        <v>40</v>
      </c>
      <c r="M189" s="9" t="s">
        <v>10</v>
      </c>
      <c r="N189" s="9" t="s">
        <v>171</v>
      </c>
      <c r="O189" s="14" t="s">
        <v>78</v>
      </c>
      <c r="P189" s="27" t="s">
        <v>41</v>
      </c>
    </row>
    <row r="190" spans="1:21" ht="17" x14ac:dyDescent="0.25">
      <c r="B190" s="281" t="s">
        <v>17</v>
      </c>
      <c r="C190" s="24">
        <f>C89</f>
        <v>198.80764502323905</v>
      </c>
      <c r="D190" s="24">
        <f>0.978</f>
        <v>0.97799999999999998</v>
      </c>
      <c r="E190" s="24">
        <f>MW_C</f>
        <v>1.2010999999999999E-2</v>
      </c>
      <c r="F190" s="24">
        <f>C190/E190</f>
        <v>16552.130965218472</v>
      </c>
      <c r="G190" s="24"/>
      <c r="L190" s="27" t="s">
        <v>67</v>
      </c>
      <c r="M190" s="19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9" t="s">
        <v>135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565</v>
      </c>
      <c r="L191" s="282" t="s">
        <v>564</v>
      </c>
      <c r="M191" s="283">
        <f t="shared" si="26"/>
        <v>728.45597335307195</v>
      </c>
      <c r="N191" s="24">
        <f t="shared" ref="N191:N193" si="28">M191/$M$194</f>
        <v>0.94693584204894343</v>
      </c>
      <c r="O191" s="24">
        <f>MW_CO2</f>
        <v>4.4009800000000002E-2</v>
      </c>
      <c r="P191" s="24">
        <f>F190</f>
        <v>16552.130965218472</v>
      </c>
      <c r="Q191" s="24"/>
    </row>
    <row r="192" spans="1:21" ht="18" x14ac:dyDescent="0.25">
      <c r="B192" s="9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279" t="s">
        <v>561</v>
      </c>
      <c r="M192" s="19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9" t="s">
        <v>284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15" t="s">
        <v>66</v>
      </c>
      <c r="M193" s="19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9" t="s">
        <v>133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3">
        <f>SUM(M190:M193)</f>
        <v>769.27701012654336</v>
      </c>
      <c r="N194" s="13">
        <f>SUM(N190:N193)</f>
        <v>1</v>
      </c>
      <c r="O194" s="13"/>
      <c r="P194" s="13">
        <f>SUM(P190:P193)</f>
        <v>18115.849265967237</v>
      </c>
    </row>
    <row r="195" spans="1:101" x14ac:dyDescent="0.2">
      <c r="B195" s="3" t="s">
        <v>18</v>
      </c>
      <c r="C195" s="13">
        <f>SUM(C191:C194)</f>
        <v>4.4721556140196927</v>
      </c>
      <c r="D195" s="13">
        <f>SUM(D190:D194)</f>
        <v>1</v>
      </c>
      <c r="E195" s="13">
        <f>SUM(E190:E194)</f>
        <v>7.5091080000000004E-2</v>
      </c>
      <c r="F195" s="13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00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103</v>
      </c>
      <c r="J198" s="3" t="s">
        <v>104</v>
      </c>
    </row>
    <row r="199" spans="1:101" ht="18" x14ac:dyDescent="0.25">
      <c r="B199" s="15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60">
        <f>F190</f>
        <v>16552.130965218472</v>
      </c>
      <c r="J199" s="60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135</v>
      </c>
      <c r="I200" s="60">
        <f>F191</f>
        <v>1008.3923677860722</v>
      </c>
      <c r="J200" s="60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60">
        <f>F192+(F198*2)</f>
        <v>618.30572083155846</v>
      </c>
      <c r="J201" s="60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7"/>
    </row>
    <row r="202" spans="1:101" x14ac:dyDescent="0.2">
      <c r="H202" s="3" t="s">
        <v>284</v>
      </c>
      <c r="I202" s="60">
        <f>F193+(2*F199)</f>
        <v>2004.9346967729368</v>
      </c>
      <c r="J202" s="60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7"/>
    </row>
    <row r="203" spans="1:101" x14ac:dyDescent="0.2">
      <c r="H203" s="3" t="s">
        <v>133</v>
      </c>
      <c r="I203" s="60">
        <f>F194</f>
        <v>57.054768469261155</v>
      </c>
      <c r="J203" s="60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7"/>
    </row>
    <row r="204" spans="1:101" x14ac:dyDescent="0.2">
      <c r="H204" s="3" t="s">
        <v>611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47"/>
    </row>
    <row r="205" spans="1:101" x14ac:dyDescent="0.2">
      <c r="CJ205" s="347"/>
    </row>
    <row r="206" spans="1:101" ht="16" thickBot="1" x14ac:dyDescent="0.2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CJ206" s="347"/>
    </row>
    <row r="208" spans="1:101" ht="18" x14ac:dyDescent="0.25">
      <c r="B208" s="355" t="s">
        <v>392</v>
      </c>
      <c r="C208" s="355"/>
      <c r="D208" s="355"/>
      <c r="E208" s="355"/>
      <c r="G208" s="15" t="s">
        <v>66</v>
      </c>
      <c r="H208" s="199" t="s">
        <v>23</v>
      </c>
      <c r="J208" s="353" t="s">
        <v>69</v>
      </c>
      <c r="K208" s="353"/>
      <c r="L208" s="353"/>
      <c r="M208" s="353"/>
      <c r="N208" s="353"/>
      <c r="O208" s="353"/>
    </row>
    <row r="209" spans="1:88" ht="18" x14ac:dyDescent="0.25">
      <c r="B209" s="355"/>
      <c r="C209" s="355"/>
      <c r="D209" s="355"/>
      <c r="E209" s="355"/>
      <c r="G209" s="9">
        <v>3.76</v>
      </c>
      <c r="H209" s="9">
        <v>2</v>
      </c>
      <c r="J209" s="353" t="s">
        <v>394</v>
      </c>
      <c r="K209" s="353"/>
      <c r="L209" s="353"/>
      <c r="M209" s="9"/>
      <c r="N209" s="351" t="s">
        <v>74</v>
      </c>
      <c r="O209" s="352"/>
    </row>
    <row r="210" spans="1:88" x14ac:dyDescent="0.2">
      <c r="B210" s="355"/>
      <c r="C210" s="355"/>
      <c r="D210" s="355"/>
      <c r="E210" s="355"/>
      <c r="J210" s="353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53"/>
      <c r="L210" s="353"/>
      <c r="M210" s="353"/>
      <c r="N210" s="353"/>
      <c r="O210" s="353"/>
      <c r="CD210" s="3" t="s">
        <v>133</v>
      </c>
      <c r="CE210" s="60" t="e">
        <f>mol_S_coal*#REF!</f>
        <v>#REF!</v>
      </c>
      <c r="CF210" s="60">
        <f>(mol_S_coke*mol_C_to_BF)+CO218</f>
        <v>61.083931043351427</v>
      </c>
    </row>
    <row r="211" spans="1:88" x14ac:dyDescent="0.2">
      <c r="B211" s="347" t="s">
        <v>507</v>
      </c>
      <c r="C211" s="347"/>
      <c r="D211" s="347"/>
      <c r="E211" s="347"/>
    </row>
    <row r="213" spans="1:88" ht="17" x14ac:dyDescent="0.25">
      <c r="C213" s="3" t="s">
        <v>1</v>
      </c>
      <c r="D213" s="3" t="s">
        <v>5</v>
      </c>
      <c r="E213" s="170" t="s">
        <v>319</v>
      </c>
      <c r="H213" s="142" t="s">
        <v>303</v>
      </c>
      <c r="I213" s="3" t="s">
        <v>1</v>
      </c>
      <c r="J213" s="3" t="s">
        <v>5</v>
      </c>
      <c r="K213" s="170" t="s">
        <v>319</v>
      </c>
    </row>
    <row r="214" spans="1:88" ht="18" x14ac:dyDescent="0.25">
      <c r="B214" s="142" t="s">
        <v>393</v>
      </c>
      <c r="C214" s="9" t="s">
        <v>10</v>
      </c>
      <c r="D214" s="14" t="s">
        <v>78</v>
      </c>
      <c r="E214" s="9" t="s">
        <v>41</v>
      </c>
      <c r="F214" s="3" t="s">
        <v>43</v>
      </c>
      <c r="H214" s="9" t="s">
        <v>40</v>
      </c>
      <c r="I214" s="9" t="s">
        <v>10</v>
      </c>
      <c r="J214" s="14" t="s">
        <v>78</v>
      </c>
      <c r="K214" s="9" t="s">
        <v>41</v>
      </c>
      <c r="L214" s="3" t="s">
        <v>43</v>
      </c>
    </row>
    <row r="215" spans="1:88" ht="18" x14ac:dyDescent="0.25">
      <c r="B215" s="44" t="s">
        <v>389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24" t="s">
        <v>32</v>
      </c>
      <c r="G215" s="3">
        <v>1</v>
      </c>
      <c r="H215" s="203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24" t="s">
        <v>34</v>
      </c>
      <c r="M215" s="3">
        <f>12*G215</f>
        <v>12</v>
      </c>
    </row>
    <row r="216" spans="1:88" ht="18" x14ac:dyDescent="0.25">
      <c r="B216" s="199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24" t="s">
        <v>33</v>
      </c>
      <c r="G216" s="3">
        <f>((2*M215)+M216)/2</f>
        <v>17.75</v>
      </c>
      <c r="H216" s="9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24" t="s">
        <v>35</v>
      </c>
      <c r="M216" s="3">
        <f>(23/2)*G215</f>
        <v>11.5</v>
      </c>
      <c r="BK216" s="347"/>
      <c r="BL216" s="347"/>
      <c r="BM216" s="347"/>
      <c r="BN216" s="347"/>
    </row>
    <row r="217" spans="1:88" ht="18" customHeight="1" x14ac:dyDescent="0.25">
      <c r="B217" s="15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24" t="s">
        <v>154</v>
      </c>
      <c r="G217" s="3">
        <v>3.76</v>
      </c>
      <c r="H217" s="15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24" t="s">
        <v>36</v>
      </c>
      <c r="M217" s="3">
        <f>G216*G217</f>
        <v>66.739999999999995</v>
      </c>
      <c r="BK217" s="347"/>
      <c r="BL217" s="347"/>
      <c r="BM217" s="347"/>
      <c r="BN217" s="347"/>
      <c r="CJ217" s="347"/>
    </row>
    <row r="218" spans="1:88" ht="22" customHeight="1" x14ac:dyDescent="0.2">
      <c r="B218" s="3" t="s">
        <v>18</v>
      </c>
      <c r="C218" s="13">
        <f>SUM(C215:C217)</f>
        <v>7.9771214256715108</v>
      </c>
      <c r="D218" s="13"/>
      <c r="E218" s="13">
        <f>SUM(E215:E217)</f>
        <v>261.79919144066514</v>
      </c>
      <c r="I218" s="13">
        <f>SUM(I215:I217)</f>
        <v>7.9771214256715108</v>
      </c>
      <c r="J218" s="13"/>
      <c r="K218" s="13">
        <f>SUM(K215:K217)</f>
        <v>276.34529226348837</v>
      </c>
      <c r="BO218" s="347"/>
      <c r="BQ218" s="3" t="e">
        <f>BS218*BT218</f>
        <v>#DIV/0!</v>
      </c>
      <c r="BT218" s="3" t="e">
        <f>O2_Naturalgas_molcoeff*BT230</f>
        <v>#DIV/0!</v>
      </c>
      <c r="CJ218" s="347"/>
    </row>
    <row r="219" spans="1:88" x14ac:dyDescent="0.2">
      <c r="BO219" s="347"/>
      <c r="BQ219" s="3">
        <f>N2_for_coke_oven_comb</f>
        <v>0</v>
      </c>
      <c r="CJ219" s="347"/>
    </row>
    <row r="220" spans="1:88" x14ac:dyDescent="0.2">
      <c r="CJ220" s="347"/>
    </row>
    <row r="221" spans="1:88" x14ac:dyDescent="0.2">
      <c r="C221" s="3" t="s">
        <v>284</v>
      </c>
      <c r="E221" s="3" t="s">
        <v>284</v>
      </c>
      <c r="G221" s="3" t="s">
        <v>284</v>
      </c>
      <c r="J221" s="108" t="s">
        <v>493</v>
      </c>
      <c r="K221" s="108" t="s">
        <v>496</v>
      </c>
      <c r="L221" s="3" t="s">
        <v>306</v>
      </c>
      <c r="M221" s="3" t="s">
        <v>39</v>
      </c>
      <c r="N221" s="4" t="s">
        <v>34</v>
      </c>
      <c r="O221" s="108" t="s">
        <v>494</v>
      </c>
      <c r="P221" s="108" t="s">
        <v>495</v>
      </c>
      <c r="CJ221" s="347"/>
    </row>
    <row r="222" spans="1:88" x14ac:dyDescent="0.2">
      <c r="C222" s="3" t="s">
        <v>12</v>
      </c>
      <c r="E222" s="3" t="s">
        <v>12</v>
      </c>
      <c r="G222" s="3" t="s">
        <v>12</v>
      </c>
      <c r="J222" s="9" t="s">
        <v>91</v>
      </c>
      <c r="K222" s="9" t="s">
        <v>91</v>
      </c>
      <c r="L222" s="9" t="s">
        <v>271</v>
      </c>
      <c r="M222" s="9" t="s">
        <v>171</v>
      </c>
      <c r="N222" s="9" t="s">
        <v>171</v>
      </c>
      <c r="O222" s="9" t="s">
        <v>91</v>
      </c>
      <c r="P222" s="9" t="s">
        <v>271</v>
      </c>
    </row>
    <row r="223" spans="1:88" ht="18" x14ac:dyDescent="0.25">
      <c r="A223" s="350" t="s">
        <v>612</v>
      </c>
      <c r="B223" s="9" t="s">
        <v>135</v>
      </c>
      <c r="C223" s="3">
        <f>23*C225</f>
        <v>70.433751352617833</v>
      </c>
      <c r="D223" s="14" t="s">
        <v>233</v>
      </c>
      <c r="E223" s="3">
        <f>E225</f>
        <v>36.748044183974521</v>
      </c>
      <c r="F223" s="14" t="s">
        <v>233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50"/>
      <c r="B224" s="9" t="s">
        <v>17</v>
      </c>
      <c r="C224" s="3">
        <f>12*C225</f>
        <v>36.748044183974521</v>
      </c>
      <c r="D224" s="9" t="s">
        <v>17</v>
      </c>
      <c r="E224" s="3">
        <f>E225</f>
        <v>36.748044183974521</v>
      </c>
      <c r="F224" s="9" t="s">
        <v>28</v>
      </c>
      <c r="G224" s="3">
        <f>G225</f>
        <v>35.216875676308916</v>
      </c>
    </row>
    <row r="225" spans="1:94" ht="18" x14ac:dyDescent="0.25">
      <c r="A225" s="350"/>
      <c r="B225" s="44" t="s">
        <v>389</v>
      </c>
      <c r="C225" s="3">
        <f>E215</f>
        <v>3.0623370153312099</v>
      </c>
      <c r="D225" s="203" t="s">
        <v>63</v>
      </c>
      <c r="E225" s="3">
        <f>C224</f>
        <v>36.748044183974521</v>
      </c>
      <c r="F225" s="9" t="s">
        <v>67</v>
      </c>
      <c r="G225" s="3">
        <f>C223/2</f>
        <v>35.216875676308916</v>
      </c>
    </row>
    <row r="227" spans="1:94" x14ac:dyDescent="0.2">
      <c r="C227" s="3" t="s">
        <v>1</v>
      </c>
      <c r="N227" s="337" t="s">
        <v>607</v>
      </c>
    </row>
    <row r="228" spans="1:94" x14ac:dyDescent="0.2">
      <c r="C228" s="3" t="s">
        <v>10</v>
      </c>
      <c r="BI228"/>
      <c r="BJ228"/>
      <c r="BK228" s="347" t="s">
        <v>376</v>
      </c>
      <c r="BL228" s="347"/>
      <c r="BM228" s="347"/>
      <c r="BN228" s="347"/>
      <c r="BO228"/>
    </row>
    <row r="229" spans="1:94" x14ac:dyDescent="0.2">
      <c r="A229" s="350" t="s">
        <v>612</v>
      </c>
      <c r="B229" s="9" t="s">
        <v>135</v>
      </c>
      <c r="C229" s="3">
        <f>C223*MW_H</f>
        <v>7.0992995338357623E-2</v>
      </c>
      <c r="BI229"/>
      <c r="BJ229"/>
      <c r="BK229" s="347"/>
      <c r="BL229" s="347"/>
      <c r="BM229" s="347"/>
      <c r="BN229" s="347"/>
      <c r="BO229"/>
    </row>
    <row r="230" spans="1:94" x14ac:dyDescent="0.2">
      <c r="A230" s="350"/>
      <c r="B230" s="9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357"/>
      <c r="B231" s="336" t="s">
        <v>389</v>
      </c>
      <c r="C231" s="75">
        <f>SUM(C229:C230)</f>
        <v>0.51237375403207563</v>
      </c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</row>
    <row r="233" spans="1:94" x14ac:dyDescent="0.2">
      <c r="B233" s="355" t="s">
        <v>399</v>
      </c>
      <c r="C233" s="355"/>
      <c r="D233" s="355"/>
      <c r="E233" s="355"/>
      <c r="J233" s="353" t="s">
        <v>69</v>
      </c>
      <c r="K233" s="353"/>
      <c r="L233" s="353"/>
      <c r="M233" s="353"/>
      <c r="N233" s="353"/>
      <c r="O233" s="353"/>
    </row>
    <row r="234" spans="1:94" ht="22" customHeight="1" x14ac:dyDescent="0.25">
      <c r="B234" s="355"/>
      <c r="C234" s="355"/>
      <c r="D234" s="355"/>
      <c r="E234" s="355"/>
      <c r="J234" s="353" t="s">
        <v>401</v>
      </c>
      <c r="K234" s="353"/>
      <c r="L234" s="353"/>
      <c r="M234" s="9"/>
      <c r="N234" s="351" t="s">
        <v>74</v>
      </c>
      <c r="O234" s="352"/>
      <c r="CJ234" s="347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55"/>
      <c r="C235" s="355"/>
      <c r="D235" s="355"/>
      <c r="E235" s="355"/>
      <c r="J235" s="353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53"/>
      <c r="L235" s="353"/>
      <c r="M235" s="353"/>
      <c r="N235" s="353"/>
      <c r="O235" s="353"/>
      <c r="CJ235" s="347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47" t="s">
        <v>507</v>
      </c>
      <c r="C236" s="347"/>
      <c r="D236" s="347"/>
      <c r="E236" s="347"/>
      <c r="CJ236" s="347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70" t="s">
        <v>319</v>
      </c>
      <c r="H238" s="142" t="s">
        <v>303</v>
      </c>
      <c r="I238" s="3" t="s">
        <v>1</v>
      </c>
      <c r="J238" s="3" t="s">
        <v>5</v>
      </c>
      <c r="K238" s="170" t="s">
        <v>319</v>
      </c>
    </row>
    <row r="239" spans="1:94" ht="18" x14ac:dyDescent="0.25">
      <c r="B239" s="142" t="s">
        <v>400</v>
      </c>
      <c r="C239" s="9" t="s">
        <v>10</v>
      </c>
      <c r="D239" s="14" t="s">
        <v>78</v>
      </c>
      <c r="E239" s="9" t="s">
        <v>41</v>
      </c>
      <c r="F239" s="3" t="s">
        <v>43</v>
      </c>
      <c r="H239" s="9" t="s">
        <v>40</v>
      </c>
      <c r="I239" s="9" t="s">
        <v>10</v>
      </c>
      <c r="J239" s="14" t="s">
        <v>78</v>
      </c>
      <c r="K239" s="9" t="s">
        <v>41</v>
      </c>
      <c r="L239" s="3" t="s">
        <v>43</v>
      </c>
    </row>
    <row r="240" spans="1:94" ht="18" x14ac:dyDescent="0.25">
      <c r="B240" s="44" t="s">
        <v>388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24" t="s">
        <v>32</v>
      </c>
      <c r="G240" s="3">
        <v>1</v>
      </c>
      <c r="H240" s="203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24" t="s">
        <v>34</v>
      </c>
      <c r="M240" s="3">
        <f>8*G240</f>
        <v>8</v>
      </c>
    </row>
    <row r="241" spans="1:88" ht="18" x14ac:dyDescent="0.25">
      <c r="B241" s="199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24" t="s">
        <v>33</v>
      </c>
      <c r="G241" s="3">
        <f>((2*M240)+(M241))/2</f>
        <v>12.5</v>
      </c>
      <c r="H241" s="9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24" t="s">
        <v>35</v>
      </c>
      <c r="M241" s="3">
        <f>9*G240</f>
        <v>9</v>
      </c>
    </row>
    <row r="242" spans="1:88" ht="18" x14ac:dyDescent="0.25">
      <c r="B242" s="15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24" t="s">
        <v>154</v>
      </c>
      <c r="G242" s="3">
        <v>3.76</v>
      </c>
      <c r="H242" s="15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24" t="s">
        <v>36</v>
      </c>
      <c r="M242" s="3">
        <f>G242*G241</f>
        <v>47</v>
      </c>
    </row>
    <row r="243" spans="1:88" x14ac:dyDescent="0.2">
      <c r="B243" s="3" t="s">
        <v>18</v>
      </c>
      <c r="C243" s="13">
        <f>SUM(C240:C242)</f>
        <v>8.2885474801676681E-3</v>
      </c>
      <c r="D243" s="13"/>
      <c r="E243" s="13">
        <f>SUM(E240:E242)</f>
        <v>0.27389314524651359</v>
      </c>
      <c r="I243" s="13">
        <f>SUM(I240:I242)</f>
        <v>8.2885474801676681E-3</v>
      </c>
      <c r="J243" s="13"/>
      <c r="K243" s="13">
        <f>SUM(K240:K242)</f>
        <v>0.28973820323598132</v>
      </c>
    </row>
    <row r="245" spans="1:88" x14ac:dyDescent="0.2">
      <c r="B245" s="108" t="s">
        <v>493</v>
      </c>
      <c r="C245" s="108" t="s">
        <v>496</v>
      </c>
      <c r="D245" s="3" t="s">
        <v>306</v>
      </c>
      <c r="E245" s="3" t="s">
        <v>39</v>
      </c>
      <c r="F245" s="4" t="s">
        <v>34</v>
      </c>
      <c r="G245" s="108" t="s">
        <v>494</v>
      </c>
      <c r="H245" s="108" t="s">
        <v>497</v>
      </c>
    </row>
    <row r="246" spans="1:88" x14ac:dyDescent="0.2">
      <c r="B246" s="9" t="s">
        <v>91</v>
      </c>
      <c r="C246" s="9" t="s">
        <v>91</v>
      </c>
      <c r="D246" s="9" t="s">
        <v>271</v>
      </c>
      <c r="E246" s="9" t="s">
        <v>171</v>
      </c>
      <c r="F246" s="9" t="s">
        <v>171</v>
      </c>
      <c r="G246" s="9" t="s">
        <v>91</v>
      </c>
      <c r="H246" s="9" t="s">
        <v>271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</row>
    <row r="250" spans="1:88" ht="18" customHeight="1" x14ac:dyDescent="0.2">
      <c r="B250" s="355" t="s">
        <v>404</v>
      </c>
      <c r="C250" s="355"/>
      <c r="D250" s="355"/>
      <c r="E250" s="355"/>
      <c r="J250" s="353" t="s">
        <v>69</v>
      </c>
      <c r="K250" s="353"/>
      <c r="L250" s="353"/>
      <c r="M250" s="353"/>
      <c r="N250" s="353"/>
      <c r="O250" s="353"/>
      <c r="CJ250" s="347"/>
    </row>
    <row r="251" spans="1:88" ht="18" x14ac:dyDescent="0.25">
      <c r="B251" s="355"/>
      <c r="C251" s="355"/>
      <c r="D251" s="355"/>
      <c r="E251" s="355"/>
      <c r="J251" s="353" t="s">
        <v>406</v>
      </c>
      <c r="K251" s="353"/>
      <c r="L251" s="353"/>
      <c r="M251" s="9"/>
      <c r="N251" s="351" t="s">
        <v>74</v>
      </c>
      <c r="O251" s="352"/>
      <c r="CJ251" s="347"/>
    </row>
    <row r="252" spans="1:88" x14ac:dyDescent="0.2">
      <c r="B252" s="355"/>
      <c r="C252" s="355"/>
      <c r="D252" s="355"/>
      <c r="E252" s="355"/>
      <c r="J252" s="353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53"/>
      <c r="L252" s="353"/>
      <c r="M252" s="353"/>
      <c r="N252" s="353"/>
      <c r="O252" s="353"/>
      <c r="CJ252" s="347"/>
    </row>
    <row r="253" spans="1:88" x14ac:dyDescent="0.2">
      <c r="B253" s="347" t="s">
        <v>507</v>
      </c>
      <c r="C253" s="347"/>
      <c r="D253" s="347"/>
      <c r="E253" s="347"/>
      <c r="CJ253" s="347"/>
    </row>
    <row r="254" spans="1:88" x14ac:dyDescent="0.2">
      <c r="CJ254" s="347"/>
    </row>
    <row r="255" spans="1:88" ht="17" x14ac:dyDescent="0.25">
      <c r="C255" s="3" t="s">
        <v>1</v>
      </c>
      <c r="D255" s="3" t="s">
        <v>5</v>
      </c>
      <c r="E255" s="170" t="s">
        <v>319</v>
      </c>
      <c r="H255" s="142" t="s">
        <v>303</v>
      </c>
      <c r="I255" s="3" t="s">
        <v>1</v>
      </c>
      <c r="J255" s="3" t="s">
        <v>5</v>
      </c>
      <c r="K255" s="170" t="s">
        <v>319</v>
      </c>
      <c r="CJ255" s="347"/>
    </row>
    <row r="256" spans="1:88" ht="18" x14ac:dyDescent="0.25">
      <c r="B256" s="142" t="s">
        <v>277</v>
      </c>
      <c r="C256" s="9" t="s">
        <v>10</v>
      </c>
      <c r="D256" s="14" t="s">
        <v>78</v>
      </c>
      <c r="E256" s="9" t="s">
        <v>41</v>
      </c>
      <c r="F256" s="3" t="s">
        <v>43</v>
      </c>
      <c r="H256" s="9" t="s">
        <v>40</v>
      </c>
      <c r="I256" s="9" t="s">
        <v>10</v>
      </c>
      <c r="J256" s="14" t="s">
        <v>78</v>
      </c>
      <c r="K256" s="9" t="s">
        <v>41</v>
      </c>
      <c r="L256" s="3" t="s">
        <v>43</v>
      </c>
      <c r="CJ256" s="347"/>
    </row>
    <row r="257" spans="1:88" ht="18" x14ac:dyDescent="0.25">
      <c r="B257" s="44" t="s">
        <v>402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24" t="s">
        <v>32</v>
      </c>
      <c r="G257" s="3">
        <v>1</v>
      </c>
      <c r="H257" s="203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24" t="s">
        <v>34</v>
      </c>
      <c r="M257" s="3">
        <v>10</v>
      </c>
      <c r="CJ257" s="347"/>
    </row>
    <row r="258" spans="1:88" ht="18" x14ac:dyDescent="0.25">
      <c r="B258" s="199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24" t="s">
        <v>33</v>
      </c>
      <c r="G258" s="3">
        <f>((2*M257)+(M258))/2</f>
        <v>15</v>
      </c>
      <c r="H258" s="9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24" t="s">
        <v>35</v>
      </c>
      <c r="M258" s="3">
        <v>10</v>
      </c>
      <c r="CJ258" s="347"/>
    </row>
    <row r="259" spans="1:88" ht="18" x14ac:dyDescent="0.25">
      <c r="B259" s="15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24" t="s">
        <v>154</v>
      </c>
      <c r="G259" s="3">
        <v>3.76</v>
      </c>
      <c r="H259" s="15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24" t="s">
        <v>36</v>
      </c>
      <c r="M259" s="3">
        <f>G259*G258</f>
        <v>56.4</v>
      </c>
      <c r="CJ259" s="347"/>
    </row>
    <row r="260" spans="1:88" x14ac:dyDescent="0.2">
      <c r="B260" s="3" t="s">
        <v>18</v>
      </c>
      <c r="C260" s="13">
        <f>SUM(C257:C259)</f>
        <v>77.090681161822573</v>
      </c>
      <c r="D260" s="13"/>
      <c r="E260" s="13">
        <f>SUM(E257:E259)</f>
        <v>2536.7408550682694</v>
      </c>
      <c r="I260" s="13">
        <f>SUM(I257:I259)</f>
        <v>77.090681161822573</v>
      </c>
      <c r="J260" s="13"/>
      <c r="K260" s="13">
        <f>SUM(K257:K259)</f>
        <v>2676.8922835250801</v>
      </c>
      <c r="CJ260" s="347"/>
    </row>
    <row r="262" spans="1:88" x14ac:dyDescent="0.2">
      <c r="B262" s="108" t="s">
        <v>493</v>
      </c>
      <c r="C262" s="108" t="s">
        <v>496</v>
      </c>
      <c r="D262" s="3" t="s">
        <v>306</v>
      </c>
      <c r="E262" s="3" t="s">
        <v>39</v>
      </c>
      <c r="F262" s="4" t="s">
        <v>34</v>
      </c>
      <c r="G262" s="108" t="s">
        <v>494</v>
      </c>
      <c r="H262" s="108" t="s">
        <v>498</v>
      </c>
    </row>
    <row r="263" spans="1:88" x14ac:dyDescent="0.2">
      <c r="B263" s="9" t="s">
        <v>91</v>
      </c>
      <c r="C263" s="9" t="s">
        <v>91</v>
      </c>
      <c r="D263" s="9" t="s">
        <v>271</v>
      </c>
      <c r="E263" s="9" t="s">
        <v>171</v>
      </c>
      <c r="F263" s="9" t="s">
        <v>171</v>
      </c>
      <c r="G263" s="9" t="s">
        <v>91</v>
      </c>
      <c r="H263" s="9" t="s">
        <v>271</v>
      </c>
    </row>
    <row r="264" spans="1:88" ht="16" thickBot="1" x14ac:dyDescent="0.25">
      <c r="A264" s="75"/>
      <c r="B264" s="258">
        <v>1.0401</v>
      </c>
      <c r="C264" s="258">
        <v>0.17280000000000001</v>
      </c>
      <c r="D264" s="258">
        <f>LHV_Oil</f>
        <v>39500</v>
      </c>
      <c r="E264" s="258">
        <f>(MW_H*20)/(MW_Oil)</f>
        <v>0.14371549482137158</v>
      </c>
      <c r="F264" s="258">
        <f>1-E264</f>
        <v>0.85628450517862842</v>
      </c>
      <c r="G264" s="258">
        <f>B264+(0.1728*(E264/F264))</f>
        <v>1.069102086753809</v>
      </c>
      <c r="H264" s="258">
        <f>G264*D264</f>
        <v>42229.532426775455</v>
      </c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</row>
    <row r="266" spans="1:88" x14ac:dyDescent="0.2">
      <c r="B266" s="355" t="s">
        <v>403</v>
      </c>
      <c r="C266" s="355"/>
      <c r="D266" s="355"/>
      <c r="E266" s="355"/>
      <c r="J266" s="353" t="s">
        <v>69</v>
      </c>
      <c r="K266" s="353"/>
      <c r="L266" s="353"/>
      <c r="M266" s="353"/>
      <c r="N266" s="353"/>
      <c r="O266" s="353"/>
    </row>
    <row r="267" spans="1:88" ht="18" x14ac:dyDescent="0.25">
      <c r="B267" s="355"/>
      <c r="C267" s="355"/>
      <c r="D267" s="355"/>
      <c r="E267" s="355"/>
      <c r="J267" s="353" t="s">
        <v>73</v>
      </c>
      <c r="K267" s="353"/>
      <c r="L267" s="353"/>
      <c r="M267" s="9"/>
      <c r="N267" s="351" t="s">
        <v>74</v>
      </c>
      <c r="O267" s="352"/>
    </row>
    <row r="268" spans="1:88" x14ac:dyDescent="0.2">
      <c r="B268" s="355"/>
      <c r="C268" s="355"/>
      <c r="D268" s="355"/>
      <c r="E268" s="355"/>
      <c r="J268" s="353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53"/>
      <c r="L268" s="353"/>
      <c r="M268" s="353"/>
      <c r="N268" s="353"/>
      <c r="O268" s="353"/>
    </row>
    <row r="269" spans="1:88" x14ac:dyDescent="0.2">
      <c r="B269" s="347" t="s">
        <v>507</v>
      </c>
      <c r="C269" s="347"/>
      <c r="D269" s="347"/>
      <c r="E269" s="347"/>
    </row>
    <row r="271" spans="1:88" ht="17" x14ac:dyDescent="0.25">
      <c r="C271" s="3" t="s">
        <v>1</v>
      </c>
      <c r="D271" s="3" t="s">
        <v>5</v>
      </c>
      <c r="E271" s="170" t="s">
        <v>319</v>
      </c>
      <c r="H271" s="142" t="s">
        <v>303</v>
      </c>
      <c r="I271" s="3" t="s">
        <v>1</v>
      </c>
      <c r="J271" s="3" t="s">
        <v>5</v>
      </c>
      <c r="K271" s="170" t="s">
        <v>319</v>
      </c>
    </row>
    <row r="272" spans="1:88" ht="18" x14ac:dyDescent="0.25">
      <c r="B272" s="142" t="s">
        <v>405</v>
      </c>
      <c r="C272" s="9" t="s">
        <v>10</v>
      </c>
      <c r="D272" s="14" t="s">
        <v>78</v>
      </c>
      <c r="E272" s="9" t="s">
        <v>41</v>
      </c>
      <c r="F272" s="3" t="s">
        <v>43</v>
      </c>
      <c r="H272" s="9" t="s">
        <v>40</v>
      </c>
      <c r="I272" s="9" t="s">
        <v>10</v>
      </c>
      <c r="J272" s="14" t="s">
        <v>78</v>
      </c>
      <c r="K272" s="9" t="s">
        <v>41</v>
      </c>
      <c r="L272" s="3" t="s">
        <v>43</v>
      </c>
    </row>
    <row r="273" spans="1:13" ht="18" x14ac:dyDescent="0.25">
      <c r="B273" s="9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24" t="s">
        <v>32</v>
      </c>
      <c r="G273" s="3">
        <v>1</v>
      </c>
      <c r="H273" s="203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24" t="s">
        <v>34</v>
      </c>
      <c r="M273" s="3">
        <v>1</v>
      </c>
    </row>
    <row r="274" spans="1:13" ht="18" x14ac:dyDescent="0.25">
      <c r="B274" s="199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24" t="s">
        <v>33</v>
      </c>
      <c r="G274" s="3">
        <f>E274/E273</f>
        <v>2</v>
      </c>
      <c r="H274" s="9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24" t="s">
        <v>35</v>
      </c>
      <c r="M274" s="3">
        <v>2</v>
      </c>
    </row>
    <row r="275" spans="1:13" ht="18" x14ac:dyDescent="0.25">
      <c r="B275" s="15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24" t="s">
        <v>154</v>
      </c>
      <c r="G275" s="3">
        <v>3.76</v>
      </c>
      <c r="H275" s="15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24" t="s">
        <v>36</v>
      </c>
      <c r="M275" s="3">
        <f>G275*G274</f>
        <v>7.52</v>
      </c>
    </row>
    <row r="276" spans="1:13" x14ac:dyDescent="0.2">
      <c r="B276" s="3" t="s">
        <v>18</v>
      </c>
      <c r="C276" s="13">
        <f>SUM(C273:C275)</f>
        <v>814.10649242679438</v>
      </c>
      <c r="D276" s="13"/>
      <c r="E276" s="13">
        <f>SUM(E273:E275)</f>
        <v>29461.126055611461</v>
      </c>
      <c r="I276" s="13">
        <f>SUM(I273:I275)</f>
        <v>814.10649242679438</v>
      </c>
      <c r="J276" s="13"/>
      <c r="K276" s="13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08" t="s">
        <v>250</v>
      </c>
      <c r="F278" s="3" t="s">
        <v>306</v>
      </c>
      <c r="G278" s="3" t="s">
        <v>482</v>
      </c>
      <c r="H278" s="3" t="s">
        <v>482</v>
      </c>
    </row>
    <row r="279" spans="1:13" ht="18" x14ac:dyDescent="0.25">
      <c r="C279" s="9" t="s">
        <v>10</v>
      </c>
      <c r="D279" s="14" t="s">
        <v>78</v>
      </c>
      <c r="E279" s="9" t="s">
        <v>91</v>
      </c>
      <c r="F279" s="9" t="s">
        <v>271</v>
      </c>
      <c r="G279" s="9" t="s">
        <v>271</v>
      </c>
      <c r="H279" s="9" t="s">
        <v>57</v>
      </c>
    </row>
    <row r="280" spans="1:13" x14ac:dyDescent="0.2">
      <c r="B280" s="9" t="s">
        <v>135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9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50" t="s">
        <v>613</v>
      </c>
      <c r="B283" s="9" t="s">
        <v>480</v>
      </c>
      <c r="C283" s="3">
        <f>C280/C281</f>
        <v>0.33567230039130802</v>
      </c>
    </row>
    <row r="284" spans="1:13" x14ac:dyDescent="0.2">
      <c r="A284" s="350"/>
      <c r="B284" s="25" t="s">
        <v>481</v>
      </c>
      <c r="C284" s="3">
        <f>(1-C283)</f>
        <v>0.66432769960869198</v>
      </c>
    </row>
    <row r="285" spans="1:13" x14ac:dyDescent="0.2">
      <c r="A285" s="338"/>
      <c r="B285" s="13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F19" zoomScale="75" zoomScaleNormal="120" workbookViewId="0">
      <selection activeCell="EP132" sqref="EP132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2"/>
    </row>
    <row r="2" spans="20:20" x14ac:dyDescent="0.2">
      <c r="T2" s="12"/>
    </row>
    <row r="3" spans="20:20" x14ac:dyDescent="0.2">
      <c r="T3" s="12"/>
    </row>
    <row r="6" spans="20:20" x14ac:dyDescent="0.2">
      <c r="T6" s="12"/>
    </row>
    <row r="7" spans="20:20" x14ac:dyDescent="0.2">
      <c r="T7" s="12"/>
    </row>
    <row r="8" spans="20:20" x14ac:dyDescent="0.2">
      <c r="T8" s="12"/>
    </row>
    <row r="9" spans="20:20" x14ac:dyDescent="0.2">
      <c r="T9" s="12"/>
    </row>
    <row r="11" spans="20:20" x14ac:dyDescent="0.2">
      <c r="T11" s="12"/>
    </row>
    <row r="12" spans="20:20" x14ac:dyDescent="0.2">
      <c r="T12" s="12"/>
    </row>
    <row r="13" spans="20:20" x14ac:dyDescent="0.2">
      <c r="T13" s="12"/>
    </row>
    <row r="23" spans="14:66" ht="15" customHeight="1" x14ac:dyDescent="0.2">
      <c r="P23" s="403" t="s">
        <v>285</v>
      </c>
      <c r="Q23" s="403"/>
      <c r="AQ23" s="12" t="s">
        <v>141</v>
      </c>
      <c r="AR23" s="3" t="s">
        <v>143</v>
      </c>
      <c r="AS23" s="3" t="s">
        <v>142</v>
      </c>
      <c r="BJ23" s="12" t="s">
        <v>139</v>
      </c>
      <c r="BK23" s="3" t="s">
        <v>230</v>
      </c>
      <c r="BL23" s="3" t="s">
        <v>231</v>
      </c>
    </row>
    <row r="24" spans="14:66" ht="16" customHeight="1" thickBot="1" x14ac:dyDescent="0.25">
      <c r="P24" s="404"/>
      <c r="Q24" s="404"/>
    </row>
    <row r="25" spans="14:66" ht="16" x14ac:dyDescent="0.2">
      <c r="P25" s="381" t="s">
        <v>269</v>
      </c>
      <c r="Q25" s="114" t="s">
        <v>245</v>
      </c>
      <c r="AO25" s="391" t="s">
        <v>346</v>
      </c>
      <c r="AP25" s="391"/>
      <c r="AQ25" s="391"/>
      <c r="AR25" s="391"/>
      <c r="AS25" s="391"/>
      <c r="AT25" s="391"/>
      <c r="AU25" s="391"/>
      <c r="BH25" s="391" t="s">
        <v>350</v>
      </c>
      <c r="BI25" s="391"/>
      <c r="BJ25" s="391"/>
      <c r="BK25" s="391"/>
      <c r="BL25" s="391"/>
      <c r="BM25" s="391"/>
      <c r="BN25" s="391"/>
    </row>
    <row r="26" spans="14:66" x14ac:dyDescent="0.2">
      <c r="P26" s="382"/>
      <c r="Q26" s="112" t="s">
        <v>47</v>
      </c>
      <c r="AO26" s="9" t="s">
        <v>219</v>
      </c>
      <c r="AP26" s="9" t="s">
        <v>197</v>
      </c>
      <c r="AQ26" s="9" t="s">
        <v>166</v>
      </c>
      <c r="AR26" s="9" t="s">
        <v>35</v>
      </c>
      <c r="AS26" s="9" t="s">
        <v>166</v>
      </c>
      <c r="AT26" s="82" t="s">
        <v>250</v>
      </c>
      <c r="AU26" s="9" t="s">
        <v>244</v>
      </c>
      <c r="BH26" s="9" t="s">
        <v>195</v>
      </c>
      <c r="BI26" s="9" t="s">
        <v>197</v>
      </c>
      <c r="BJ26" s="9" t="s">
        <v>166</v>
      </c>
      <c r="BK26" s="9" t="s">
        <v>166</v>
      </c>
      <c r="BL26" s="9" t="s">
        <v>166</v>
      </c>
      <c r="BM26" s="82" t="s">
        <v>250</v>
      </c>
      <c r="BN26" s="9" t="s">
        <v>244</v>
      </c>
    </row>
    <row r="27" spans="14:66" ht="17" x14ac:dyDescent="0.25">
      <c r="P27" s="115" t="s">
        <v>266</v>
      </c>
      <c r="Q27" s="112">
        <f>(($AG$46*($AN$46-0))/$H$72)</f>
        <v>0.7073466118498688</v>
      </c>
      <c r="AO27" s="9" t="s">
        <v>91</v>
      </c>
      <c r="AP27" s="9" t="s">
        <v>91</v>
      </c>
      <c r="AQ27" s="9" t="s">
        <v>168</v>
      </c>
      <c r="AR27" s="9" t="s">
        <v>167</v>
      </c>
      <c r="AS27" s="9" t="s">
        <v>47</v>
      </c>
      <c r="AT27" s="27" t="s">
        <v>91</v>
      </c>
      <c r="AU27" s="9" t="s">
        <v>47</v>
      </c>
      <c r="BH27" s="9" t="s">
        <v>91</v>
      </c>
      <c r="BI27" s="9" t="s">
        <v>91</v>
      </c>
      <c r="BJ27" s="9" t="s">
        <v>162</v>
      </c>
      <c r="BK27" s="9" t="s">
        <v>165</v>
      </c>
      <c r="BL27" s="9" t="s">
        <v>47</v>
      </c>
      <c r="BM27" s="27" t="s">
        <v>91</v>
      </c>
      <c r="BN27" s="9" t="s">
        <v>47</v>
      </c>
    </row>
    <row r="28" spans="14:66" x14ac:dyDescent="0.2">
      <c r="N28" s="4"/>
      <c r="O28" s="4"/>
      <c r="P28" s="115" t="s">
        <v>489</v>
      </c>
      <c r="Q28" s="112">
        <f>V42/V59</f>
        <v>1.1491154339468286</v>
      </c>
      <c r="AO28" s="9" t="s">
        <v>196</v>
      </c>
      <c r="AP28" s="9" t="s">
        <v>223</v>
      </c>
      <c r="AQ28" s="9">
        <v>700</v>
      </c>
      <c r="AR28" s="9">
        <v>861</v>
      </c>
      <c r="AS28" s="44">
        <f>AQ28*AR28*(AD52/1000)</f>
        <v>609792.2517593482</v>
      </c>
      <c r="AT28" s="27">
        <v>1</v>
      </c>
      <c r="AU28" s="9">
        <f>AS28*AT28</f>
        <v>609792.2517593482</v>
      </c>
      <c r="BH28" s="9" t="s">
        <v>196</v>
      </c>
      <c r="BI28" s="9" t="s">
        <v>224</v>
      </c>
      <c r="BJ28" s="9">
        <v>3870</v>
      </c>
      <c r="BK28" s="9">
        <f t="shared" ref="BK28:BK34" si="0">BJ28*Btu_to_kJ</f>
        <v>4083.0822000000003</v>
      </c>
      <c r="BL28" s="44">
        <f t="shared" ref="BL28:BL34" si="1">BK28*($AW$52/1000)</f>
        <v>4131.1297309714846</v>
      </c>
      <c r="BM28" s="9">
        <v>1</v>
      </c>
      <c r="BN28" s="9">
        <f>BL28*BM28</f>
        <v>4131.1297309714846</v>
      </c>
    </row>
    <row r="29" spans="14:66" ht="16" thickBot="1" x14ac:dyDescent="0.25">
      <c r="N29" s="4"/>
      <c r="O29" s="4"/>
      <c r="P29" s="116" t="s">
        <v>268</v>
      </c>
      <c r="Q29" s="113">
        <f>V46/V59</f>
        <v>0.97030529353160899</v>
      </c>
      <c r="BH29" s="9" t="s">
        <v>196</v>
      </c>
      <c r="BI29" s="9" t="s">
        <v>225</v>
      </c>
      <c r="BJ29" s="9">
        <f>2580+1940+1550</f>
        <v>6070</v>
      </c>
      <c r="BK29" s="9">
        <f t="shared" si="0"/>
        <v>6404.2142000000003</v>
      </c>
      <c r="BL29" s="44">
        <f t="shared" si="1"/>
        <v>6479.5755728674185</v>
      </c>
      <c r="BM29" s="9">
        <v>1</v>
      </c>
      <c r="BN29" s="9">
        <f t="shared" ref="BN29:BN34" si="2">BL29*BM29</f>
        <v>6479.5755728674185</v>
      </c>
    </row>
    <row r="30" spans="14:66" x14ac:dyDescent="0.2">
      <c r="BH30" s="9" t="s">
        <v>196</v>
      </c>
      <c r="BI30" s="9" t="s">
        <v>226</v>
      </c>
      <c r="BJ30" s="9">
        <v>1550</v>
      </c>
      <c r="BK30" s="9">
        <f t="shared" si="0"/>
        <v>1635.3430000000001</v>
      </c>
      <c r="BL30" s="44">
        <f t="shared" si="1"/>
        <v>1654.5868431539536</v>
      </c>
      <c r="BM30" s="9">
        <v>1</v>
      </c>
      <c r="BN30" s="9">
        <f t="shared" si="2"/>
        <v>1654.5868431539536</v>
      </c>
    </row>
    <row r="31" spans="14:66" x14ac:dyDescent="0.2">
      <c r="BH31" s="9" t="s">
        <v>196</v>
      </c>
      <c r="BI31" s="9" t="s">
        <v>180</v>
      </c>
      <c r="BJ31" s="9">
        <v>205</v>
      </c>
      <c r="BK31" s="9">
        <f t="shared" si="0"/>
        <v>216.28730000000002</v>
      </c>
      <c r="BL31" s="44">
        <f t="shared" si="1"/>
        <v>218.83245344939388</v>
      </c>
      <c r="BM31" s="9">
        <v>1</v>
      </c>
      <c r="BN31" s="9">
        <f t="shared" si="2"/>
        <v>218.83245344939388</v>
      </c>
    </row>
    <row r="32" spans="14:66" x14ac:dyDescent="0.2">
      <c r="BH32" s="9" t="s">
        <v>196</v>
      </c>
      <c r="BI32" s="9" t="s">
        <v>227</v>
      </c>
      <c r="BJ32" s="9">
        <v>76</v>
      </c>
      <c r="BK32" s="9">
        <f t="shared" si="0"/>
        <v>80.184560000000005</v>
      </c>
      <c r="BL32" s="44">
        <f t="shared" si="1"/>
        <v>81.128129083677734</v>
      </c>
      <c r="BM32" s="9">
        <v>1</v>
      </c>
      <c r="BN32" s="9">
        <f t="shared" si="2"/>
        <v>81.128129083677734</v>
      </c>
    </row>
    <row r="33" spans="5:80" x14ac:dyDescent="0.2">
      <c r="T33" s="4"/>
      <c r="U33" s="4"/>
      <c r="V33" s="4"/>
      <c r="BH33" s="9" t="s">
        <v>196</v>
      </c>
      <c r="BI33" s="9" t="s">
        <v>228</v>
      </c>
      <c r="BJ33" s="9">
        <v>38</v>
      </c>
      <c r="BK33" s="9">
        <f t="shared" si="0"/>
        <v>40.092280000000002</v>
      </c>
      <c r="BL33" s="44">
        <f t="shared" si="1"/>
        <v>40.564064541838867</v>
      </c>
      <c r="BM33" s="9">
        <v>1</v>
      </c>
      <c r="BN33" s="9">
        <f t="shared" si="2"/>
        <v>40.564064541838867</v>
      </c>
    </row>
    <row r="34" spans="5:80" x14ac:dyDescent="0.2">
      <c r="BH34" s="9" t="s">
        <v>196</v>
      </c>
      <c r="BI34" s="9" t="s">
        <v>229</v>
      </c>
      <c r="BJ34" s="9">
        <v>19</v>
      </c>
      <c r="BK34" s="9">
        <f t="shared" si="0"/>
        <v>20.046140000000001</v>
      </c>
      <c r="BL34" s="44">
        <f t="shared" si="1"/>
        <v>20.282032270919434</v>
      </c>
      <c r="BM34" s="9">
        <v>1</v>
      </c>
      <c r="BN34" s="9">
        <f t="shared" si="2"/>
        <v>20.282032270919434</v>
      </c>
    </row>
    <row r="35" spans="5:80" x14ac:dyDescent="0.2">
      <c r="BH35" s="9"/>
      <c r="BI35" s="9" t="s">
        <v>18</v>
      </c>
      <c r="BJ35" s="9">
        <f>SUM(BI28:BI34)</f>
        <v>0</v>
      </c>
      <c r="BK35" s="9">
        <f>SUM(BJ28:BJ34)</f>
        <v>11828</v>
      </c>
      <c r="BL35" s="9">
        <f>SUM(BK28:BK34)</f>
        <v>12479.249680000003</v>
      </c>
      <c r="BM35" s="9"/>
      <c r="BN35" s="9">
        <f>SUM(BN28:BN34)</f>
        <v>12626.098826338684</v>
      </c>
    </row>
    <row r="39" spans="5:80" ht="16" thickBot="1" x14ac:dyDescent="0.25"/>
    <row r="40" spans="5:80" x14ac:dyDescent="0.2">
      <c r="U40" s="46" t="s">
        <v>1</v>
      </c>
      <c r="V40" s="42" t="s">
        <v>0</v>
      </c>
      <c r="AN40" s="46" t="s">
        <v>1</v>
      </c>
      <c r="AO40" s="42" t="s">
        <v>0</v>
      </c>
      <c r="BG40" s="46" t="s">
        <v>1</v>
      </c>
      <c r="BH40" s="42" t="s">
        <v>0</v>
      </c>
      <c r="BZ40" s="46" t="s">
        <v>1</v>
      </c>
      <c r="CA40" s="42" t="s">
        <v>0</v>
      </c>
    </row>
    <row r="41" spans="5:80" ht="18" x14ac:dyDescent="0.25">
      <c r="J41" s="4"/>
      <c r="K41" s="4"/>
      <c r="N41" s="4"/>
      <c r="O41" s="4"/>
      <c r="Q41" s="233"/>
      <c r="R41" s="233"/>
      <c r="S41" s="4"/>
      <c r="T41" s="4"/>
      <c r="U41" s="48" t="s">
        <v>83</v>
      </c>
      <c r="V41" s="47" t="s">
        <v>87</v>
      </c>
      <c r="W41" s="4"/>
      <c r="X41" s="4"/>
      <c r="Y41" s="4" t="s">
        <v>128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48" t="s">
        <v>83</v>
      </c>
      <c r="AO41" s="47" t="s">
        <v>87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8" t="s">
        <v>83</v>
      </c>
      <c r="BH41" s="47" t="s">
        <v>87</v>
      </c>
      <c r="BI41" s="4"/>
      <c r="BZ41" s="48" t="s">
        <v>83</v>
      </c>
      <c r="CA41" s="47" t="s">
        <v>87</v>
      </c>
    </row>
    <row r="42" spans="5:80" ht="16" customHeight="1" thickBot="1" x14ac:dyDescent="0.25">
      <c r="E42" s="398" t="s">
        <v>332</v>
      </c>
      <c r="F42" s="398"/>
      <c r="G42" s="398"/>
      <c r="H42" s="398"/>
      <c r="J42" s="4"/>
      <c r="K42" s="4"/>
      <c r="L42" s="4"/>
      <c r="M42" s="4"/>
      <c r="N42" s="4"/>
      <c r="O42" s="4"/>
      <c r="P42" s="233"/>
      <c r="Q42" s="233" t="s">
        <v>333</v>
      </c>
      <c r="R42" s="233"/>
      <c r="S42" s="4"/>
      <c r="T42" s="4"/>
      <c r="U42" s="40">
        <f>K52</f>
        <v>1011.7674660019052</v>
      </c>
      <c r="V42" s="38">
        <f>V52</f>
        <v>108184.8596728804</v>
      </c>
      <c r="W42" s="408" t="s">
        <v>325</v>
      </c>
      <c r="X42" s="408"/>
      <c r="Y42" s="408"/>
      <c r="Z42" s="408"/>
      <c r="AA42" s="408"/>
      <c r="AB42" s="4"/>
      <c r="AC42" s="4"/>
      <c r="AD42" s="4"/>
      <c r="AE42" s="4"/>
      <c r="AF42" s="4"/>
      <c r="AG42" s="4"/>
      <c r="AH42" s="4"/>
      <c r="AI42" s="74"/>
      <c r="AJ42" s="4" t="s">
        <v>442</v>
      </c>
      <c r="AK42" s="4"/>
      <c r="AL42" s="4"/>
      <c r="AM42" s="4"/>
      <c r="AN42" s="40">
        <f>AD52</f>
        <v>1011.7674660019052</v>
      </c>
      <c r="AO42" s="38">
        <f>AO52</f>
        <v>108184.8596728804</v>
      </c>
      <c r="AP42" s="408" t="s">
        <v>455</v>
      </c>
      <c r="AQ42" s="408"/>
      <c r="AR42" s="408"/>
      <c r="AS42" s="408"/>
      <c r="AT42" s="408"/>
      <c r="AV42" s="4"/>
      <c r="AW42" s="4"/>
      <c r="AX42" s="4"/>
      <c r="AY42" s="4"/>
      <c r="AZ42" s="4"/>
      <c r="BA42" s="4"/>
      <c r="BB42" s="4"/>
      <c r="BC42" s="4" t="s">
        <v>441</v>
      </c>
      <c r="BD42" s="4"/>
      <c r="BE42" s="4"/>
      <c r="BF42" s="4"/>
      <c r="BG42" s="40">
        <f>AW52</f>
        <v>1011.7674660019052</v>
      </c>
      <c r="BH42" s="38">
        <f>BH52</f>
        <v>108184.8596728804</v>
      </c>
      <c r="BI42" s="408" t="s">
        <v>351</v>
      </c>
      <c r="BJ42" s="408"/>
      <c r="BK42" s="408"/>
      <c r="BL42" s="408"/>
      <c r="BM42" s="408"/>
      <c r="BV42" s="3" t="s">
        <v>439</v>
      </c>
      <c r="BZ42" s="40">
        <f>BP48</f>
        <v>1000.0000000000001</v>
      </c>
      <c r="CA42" s="38">
        <f>CA48</f>
        <v>88071.706245154463</v>
      </c>
    </row>
    <row r="43" spans="5:80" ht="16" customHeight="1" thickBot="1" x14ac:dyDescent="0.25">
      <c r="E43" s="398"/>
      <c r="F43" s="398"/>
      <c r="G43" s="398"/>
      <c r="H43" s="398"/>
      <c r="J43" s="4"/>
      <c r="K43" s="4"/>
      <c r="L43" s="4"/>
      <c r="M43" s="4"/>
      <c r="N43" s="4"/>
      <c r="O43" s="4"/>
      <c r="P43" s="4"/>
      <c r="Q43" s="4"/>
      <c r="R43" s="4"/>
      <c r="S43" s="4"/>
      <c r="W43" s="415"/>
      <c r="X43" s="415"/>
      <c r="Y43" s="415"/>
      <c r="Z43" s="415"/>
      <c r="AA43" s="415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08"/>
      <c r="AQ43" s="408"/>
      <c r="AR43" s="408"/>
      <c r="AS43" s="408"/>
      <c r="AT43" s="408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08"/>
      <c r="BJ43" s="408"/>
      <c r="BK43" s="408"/>
      <c r="BL43" s="408"/>
      <c r="BM43" s="408"/>
    </row>
    <row r="44" spans="5:80" ht="19.25" customHeight="1" x14ac:dyDescent="0.25">
      <c r="J44" s="4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7" t="s">
        <v>339</v>
      </c>
      <c r="X44" s="77" t="s">
        <v>379</v>
      </c>
      <c r="Y44" s="161" t="s">
        <v>264</v>
      </c>
      <c r="Z44" s="412" t="s">
        <v>269</v>
      </c>
      <c r="AA44" s="114" t="s">
        <v>245</v>
      </c>
      <c r="AB44" s="4"/>
      <c r="AC44" s="4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7" t="s">
        <v>339</v>
      </c>
      <c r="AQ44" s="17" t="s">
        <v>379</v>
      </c>
      <c r="AR44" s="135" t="s">
        <v>264</v>
      </c>
      <c r="AS44" s="381" t="s">
        <v>269</v>
      </c>
      <c r="AT44" s="114" t="s">
        <v>245</v>
      </c>
      <c r="AU44" s="4"/>
      <c r="AV44" s="4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7" t="s">
        <v>339</v>
      </c>
      <c r="BJ44" s="17" t="s">
        <v>379</v>
      </c>
      <c r="BK44" s="161" t="s">
        <v>264</v>
      </c>
      <c r="BL44" s="381" t="s">
        <v>269</v>
      </c>
      <c r="BM44" s="114" t="s">
        <v>245</v>
      </c>
      <c r="BN44" s="1"/>
      <c r="BO44" s="4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x14ac:dyDescent="0.25">
      <c r="J45" s="4"/>
      <c r="K45" s="1" t="s">
        <v>82</v>
      </c>
      <c r="L45" s="4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80" t="s">
        <v>47</v>
      </c>
      <c r="X45" s="53" t="s">
        <v>47</v>
      </c>
      <c r="Y45" s="162" t="s">
        <v>83</v>
      </c>
      <c r="Z45" s="413"/>
      <c r="AA45" s="112" t="s">
        <v>77</v>
      </c>
      <c r="AB45" s="4"/>
      <c r="AC45" s="4"/>
      <c r="AD45" s="1" t="s">
        <v>82</v>
      </c>
      <c r="AE45" s="4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80" t="s">
        <v>47</v>
      </c>
      <c r="AQ45" s="8" t="s">
        <v>47</v>
      </c>
      <c r="AR45" s="1" t="s">
        <v>83</v>
      </c>
      <c r="AS45" s="382"/>
      <c r="AT45" s="112" t="s">
        <v>77</v>
      </c>
      <c r="AU45" s="4"/>
      <c r="AV45" s="4"/>
      <c r="AW45" s="1" t="s">
        <v>82</v>
      </c>
      <c r="AX45" s="4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80" t="s">
        <v>47</v>
      </c>
      <c r="BJ45" s="8" t="s">
        <v>47</v>
      </c>
      <c r="BK45" s="8" t="s">
        <v>83</v>
      </c>
      <c r="BL45" s="382"/>
      <c r="BM45" s="112" t="s">
        <v>77</v>
      </c>
      <c r="BN45" s="4"/>
      <c r="BO45" s="4" t="s">
        <v>40</v>
      </c>
      <c r="BP45" s="1" t="s">
        <v>82</v>
      </c>
      <c r="BQ45" s="4" t="s">
        <v>213</v>
      </c>
      <c r="BR45" s="2" t="s">
        <v>84</v>
      </c>
      <c r="BS45" s="2" t="s">
        <v>80</v>
      </c>
      <c r="BT45" s="1" t="s">
        <v>89</v>
      </c>
      <c r="BU45" s="2" t="s">
        <v>89</v>
      </c>
      <c r="BV45" s="2" t="s">
        <v>24</v>
      </c>
      <c r="BW45" s="2" t="s">
        <v>91</v>
      </c>
      <c r="BX45" s="2" t="s">
        <v>89</v>
      </c>
      <c r="BY45" s="2" t="s">
        <v>89</v>
      </c>
      <c r="BZ45" s="2" t="s">
        <v>88</v>
      </c>
      <c r="CA45" s="2" t="s">
        <v>86</v>
      </c>
      <c r="CB45" s="1"/>
    </row>
    <row r="46" spans="5:80" ht="19" customHeight="1" thickBot="1" x14ac:dyDescent="0.3">
      <c r="I46" s="379" t="s">
        <v>333</v>
      </c>
      <c r="J46" s="7" t="s">
        <v>14</v>
      </c>
      <c r="K46" s="45">
        <f>AD46</f>
        <v>881.06000000000006</v>
      </c>
      <c r="L46" s="45">
        <f>K46/$K$52</f>
        <v>0.87081274068002201</v>
      </c>
      <c r="M46" s="45">
        <f>MW_Fe2O3</f>
        <v>0.1596882</v>
      </c>
      <c r="N46" s="45">
        <f t="shared" ref="N46:N51" si="3">K46/M46</f>
        <v>5517.3769884061567</v>
      </c>
      <c r="O46" s="45">
        <f>h_Fe2O3</f>
        <v>-824.2</v>
      </c>
      <c r="P46" s="45">
        <f>b_ch_Fe2O3</f>
        <v>17.358400000000074</v>
      </c>
      <c r="Q46" s="45">
        <f t="shared" ref="Q46:Q51" si="4">N46/$AZ$52</f>
        <v>0.72360528709446914</v>
      </c>
      <c r="R46" s="45">
        <f>LN(Q46)</f>
        <v>-0.3235092188341952</v>
      </c>
      <c r="S46" s="45">
        <f t="shared" ref="S46:S51" si="5">RT0*R46</f>
        <v>-0.80151738232547465</v>
      </c>
      <c r="T46" s="45">
        <f>S46+P46</f>
        <v>16.556882617674599</v>
      </c>
      <c r="U46" s="45">
        <f>Q46*T46</f>
        <v>11.980647799951853</v>
      </c>
      <c r="V46" s="45">
        <f t="shared" ref="V46:V51" si="6">U46*$AZ$52</f>
        <v>91350.56315449973</v>
      </c>
      <c r="W46" s="81">
        <f>AO63</f>
        <v>2244.7960862667505</v>
      </c>
      <c r="X46" s="78">
        <f>SUM(V42,V59,V72) -AO63-AO42</f>
        <v>92026.437429115918</v>
      </c>
      <c r="Y46" s="163">
        <f>ROUND(U42+U59+U72-AN42-AN63, 10)</f>
        <v>0</v>
      </c>
      <c r="Z46" s="115" t="s">
        <v>489</v>
      </c>
      <c r="AA46" s="112">
        <f>($AO$42+AO63)/(V59+V72+$V$42)</f>
        <v>0.54544989987759507</v>
      </c>
      <c r="AB46" s="379" t="s">
        <v>442</v>
      </c>
      <c r="AC46" s="7" t="s">
        <v>14</v>
      </c>
      <c r="AD46" s="45">
        <f>AW46</f>
        <v>881.06000000000006</v>
      </c>
      <c r="AE46" s="45">
        <f t="shared" ref="AE46:AE51" si="7">AD46/$AW$52</f>
        <v>0.87081274068002201</v>
      </c>
      <c r="AF46" s="45">
        <f>MW_Fe2O3</f>
        <v>0.1596882</v>
      </c>
      <c r="AG46" s="45">
        <f>AD46/AF46</f>
        <v>5517.3769884061567</v>
      </c>
      <c r="AH46" s="45">
        <f>h_Fe2O3</f>
        <v>-824.2</v>
      </c>
      <c r="AI46" s="45">
        <f>b_ch_Fe2O3</f>
        <v>17.358400000000074</v>
      </c>
      <c r="AJ46" s="45">
        <f t="shared" ref="AJ46:AJ51" si="8">AG46/$AZ$52</f>
        <v>0.72360528709446914</v>
      </c>
      <c r="AK46" s="45">
        <f>LN(AJ46)</f>
        <v>-0.3235092188341952</v>
      </c>
      <c r="AL46" s="45">
        <f t="shared" ref="AL46:AL51" si="9">RT0*AK46</f>
        <v>-0.80151738232547465</v>
      </c>
      <c r="AM46" s="45">
        <f>AL46+AI46</f>
        <v>16.556882617674599</v>
      </c>
      <c r="AN46" s="45">
        <f>AJ46*AM46</f>
        <v>11.980647799951853</v>
      </c>
      <c r="AO46" s="45">
        <f t="shared" ref="AO46:AO51" si="10">AN46*$AZ$52</f>
        <v>91350.56315449973</v>
      </c>
      <c r="AP46" s="81">
        <f>0</f>
        <v>0</v>
      </c>
      <c r="AQ46" s="76">
        <f>(AO42+AU28)-BH42</f>
        <v>609792.2517593482</v>
      </c>
      <c r="AR46" s="117">
        <f>BG42-AN42</f>
        <v>0</v>
      </c>
      <c r="AS46" s="115" t="s">
        <v>489</v>
      </c>
      <c r="AT46" s="112">
        <f>BH42/(AU28+AO42)</f>
        <v>0.15068009543796188</v>
      </c>
      <c r="AU46" s="379" t="s">
        <v>441</v>
      </c>
      <c r="AV46" s="7" t="s">
        <v>14</v>
      </c>
      <c r="AW46" s="45">
        <f>BP46</f>
        <v>881.06000000000006</v>
      </c>
      <c r="AX46" s="45">
        <f t="shared" ref="AX46:AX51" si="11">AW46/$AW$52</f>
        <v>0.87081274068002201</v>
      </c>
      <c r="AY46" s="45">
        <f>MW_Fe2O3</f>
        <v>0.1596882</v>
      </c>
      <c r="AZ46" s="45">
        <f>AW46/AY46</f>
        <v>5517.3769884061567</v>
      </c>
      <c r="BA46" s="45">
        <f>h_Fe2O3</f>
        <v>-824.2</v>
      </c>
      <c r="BB46" s="45">
        <f>b_ch_Fe2O3</f>
        <v>17.358400000000074</v>
      </c>
      <c r="BC46" s="45">
        <f t="shared" ref="BC46:BC51" si="12">AZ46/$AZ$52</f>
        <v>0.72360528709446914</v>
      </c>
      <c r="BD46" s="45">
        <f>LN(BC46)</f>
        <v>-0.3235092188341952</v>
      </c>
      <c r="BE46" s="45">
        <f t="shared" ref="BE46:BE51" si="13">RT0*BD46</f>
        <v>-0.80151738232547465</v>
      </c>
      <c r="BF46" s="45">
        <f>BE46+BB46</f>
        <v>16.556882617674599</v>
      </c>
      <c r="BG46" s="45">
        <f>BC46*BF46</f>
        <v>11.980647799951853</v>
      </c>
      <c r="BH46" s="45">
        <f t="shared" ref="BH46:BH51" si="14">BG46*$AZ$52</f>
        <v>91350.56315449973</v>
      </c>
      <c r="BI46" s="81">
        <f>CA55</f>
        <v>21722.892325740406</v>
      </c>
      <c r="BJ46" s="81">
        <f>BH42+BN35-CA42-CA55</f>
        <v>11016.359928324211</v>
      </c>
      <c r="BK46" s="163">
        <f>BZ42+BZ55-BG42</f>
        <v>0</v>
      </c>
      <c r="BL46" s="115" t="s">
        <v>489</v>
      </c>
      <c r="BM46" s="112">
        <f>(CA42+CA55)/(BN35+BH42)</f>
        <v>0.90881323958376325</v>
      </c>
      <c r="BN46" s="379" t="s">
        <v>439</v>
      </c>
      <c r="BO46" s="1" t="s">
        <v>14</v>
      </c>
      <c r="BP46" s="13">
        <f>EB130</f>
        <v>881.06000000000006</v>
      </c>
      <c r="BQ46" s="13">
        <f>BP46/$BP$48</f>
        <v>0.88105999999999995</v>
      </c>
      <c r="BR46" s="3">
        <f>MW_Fe2O3</f>
        <v>0.1596882</v>
      </c>
      <c r="BS46" s="3">
        <f>BP46/BR46</f>
        <v>5517.3769884061567</v>
      </c>
      <c r="BT46" s="45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" thickBot="1" x14ac:dyDescent="0.3">
      <c r="I47" s="379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16" t="s">
        <v>318</v>
      </c>
      <c r="AA47" s="113">
        <f>$AO$46/(V59+V72+$V$42)</f>
        <v>0.45121172554462574</v>
      </c>
      <c r="AB47" s="379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16" t="s">
        <v>318</v>
      </c>
      <c r="AT47" s="113">
        <f>BH46/(AU28+AO42)</f>
        <v>0.12723325256465715</v>
      </c>
      <c r="AU47" s="379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16" t="s">
        <v>318</v>
      </c>
      <c r="BM47" s="113">
        <f>CA46/(BN35+BH42)</f>
        <v>0.75805897444773263</v>
      </c>
      <c r="BN47" s="379"/>
      <c r="BO47" s="1" t="s">
        <v>16</v>
      </c>
      <c r="BP47" s="23">
        <f>EB131</f>
        <v>118.94000000000001</v>
      </c>
      <c r="BQ47" s="23">
        <f>BP47/$BP$48</f>
        <v>0.11894</v>
      </c>
      <c r="BR47" s="23">
        <f>MW_SIO2</f>
        <v>6.00843E-2</v>
      </c>
      <c r="BS47" s="23">
        <f>BP47/BR47</f>
        <v>1979.5520626852608</v>
      </c>
      <c r="BT47" s="4">
        <f>h_SiO2</f>
        <v>-910.7</v>
      </c>
      <c r="BU47" s="23">
        <f>b_ch_SiO2</f>
        <v>1.5260000000000673</v>
      </c>
      <c r="BV47" s="23">
        <f>BS47/$BS$48</f>
        <v>0.26404839224096349</v>
      </c>
      <c r="BW47" s="23">
        <f>LN(BV47)</f>
        <v>-1.3316228886908923</v>
      </c>
      <c r="BX47" s="23">
        <f>RT0*BW47</f>
        <v>-3.2991915835796712</v>
      </c>
      <c r="BY47" s="23">
        <f>BX47+BU47</f>
        <v>-1.7731915835796039</v>
      </c>
      <c r="BZ47" s="23">
        <f>BY47*BV47</f>
        <v>-0.46820838677940246</v>
      </c>
      <c r="CA47" s="23">
        <f>BZ47*$BS$48</f>
        <v>-3510.1250568111491</v>
      </c>
    </row>
    <row r="48" spans="5:80" ht="18" customHeight="1" x14ac:dyDescent="0.25">
      <c r="I48" s="379" t="s">
        <v>444</v>
      </c>
      <c r="J48" s="4" t="s">
        <v>243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AB48" s="379" t="s">
        <v>443</v>
      </c>
      <c r="AC48" s="4" t="s">
        <v>243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U48" s="379" t="s">
        <v>440</v>
      </c>
      <c r="AV48" s="4" t="s">
        <v>243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N48" s="4"/>
      <c r="BO48" s="13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3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79"/>
      <c r="J49" s="4" t="s">
        <v>237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79"/>
      <c r="AC49" s="4" t="s">
        <v>237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79"/>
      <c r="AV49" s="4" t="s">
        <v>237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83</v>
      </c>
      <c r="BR49" s="3" t="s">
        <v>85</v>
      </c>
      <c r="BS49" s="3" t="s">
        <v>81</v>
      </c>
      <c r="BT49" s="1" t="s">
        <v>510</v>
      </c>
      <c r="BU49" s="4"/>
      <c r="BV49" s="4"/>
      <c r="BZ49" s="3" t="s">
        <v>90</v>
      </c>
      <c r="CA49" s="1" t="s">
        <v>87</v>
      </c>
    </row>
    <row r="50" spans="2:86" x14ac:dyDescent="0.2">
      <c r="I50" s="379"/>
      <c r="J50" s="4" t="s">
        <v>134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79"/>
      <c r="AC50" s="4" t="s">
        <v>134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79"/>
      <c r="AV50" s="4" t="s">
        <v>134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79"/>
      <c r="J51" s="4" t="s">
        <v>133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79"/>
      <c r="AC51" s="4" t="s">
        <v>133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79"/>
      <c r="AV51" s="4" t="s">
        <v>133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45" t="s">
        <v>18</v>
      </c>
      <c r="K52" s="45">
        <f>SUM(K46:K51)</f>
        <v>1011.7674660019052</v>
      </c>
      <c r="L52" s="45">
        <f>SUM(L46:L51)</f>
        <v>1</v>
      </c>
      <c r="M52" s="45">
        <f>SUM(M46:M51)</f>
        <v>0.47896953999999997</v>
      </c>
      <c r="N52" s="45">
        <f>SUM(N46:N51)</f>
        <v>7624.8433874224093</v>
      </c>
      <c r="O52" s="13" cm="1">
        <f t="array" ref="O52">SUM(K46:K51*O46:O51) / K52</f>
        <v>-841.69623437072971</v>
      </c>
      <c r="P52" s="45"/>
      <c r="Q52" s="45"/>
      <c r="R52" s="45"/>
      <c r="S52" s="45"/>
      <c r="T52" s="45"/>
      <c r="U52" s="45">
        <f>SUM(U46:U51)</f>
        <v>14.188469739763725</v>
      </c>
      <c r="V52" s="45">
        <f>SUM(V46:V51)</f>
        <v>108184.8596728804</v>
      </c>
      <c r="X52" s="4"/>
      <c r="Y52" s="3" t="s">
        <v>2</v>
      </c>
      <c r="Z52" s="3" t="s">
        <v>3</v>
      </c>
      <c r="AA52" s="108" t="s">
        <v>475</v>
      </c>
      <c r="AB52" s="4"/>
      <c r="AC52" s="45" t="s">
        <v>18</v>
      </c>
      <c r="AD52" s="45">
        <f>SUM(AD46:AD51)</f>
        <v>1011.7674660019052</v>
      </c>
      <c r="AE52" s="45">
        <f>SUM(AE46:AE51)</f>
        <v>1</v>
      </c>
      <c r="AF52" s="45">
        <f>SUM(AF46:AF51)</f>
        <v>0.47896953999999997</v>
      </c>
      <c r="AG52" s="45">
        <f>SUM(AG46:AG51)</f>
        <v>7624.8433874224093</v>
      </c>
      <c r="AH52" s="13" cm="1">
        <f t="array" ref="AH52">SUM(AD46:AD51*AH46:AH51) / AD52</f>
        <v>-841.69623437072971</v>
      </c>
      <c r="AI52" s="45"/>
      <c r="AJ52" s="45"/>
      <c r="AK52" s="45"/>
      <c r="AL52" s="45"/>
      <c r="AM52" s="45"/>
      <c r="AN52" s="45">
        <f>SUM(AN46:AN51)</f>
        <v>14.188469739763725</v>
      </c>
      <c r="AO52" s="45">
        <f>SUM(AO46:AO51)</f>
        <v>108184.8596728804</v>
      </c>
      <c r="AP52" s="4"/>
      <c r="AQ52" s="4"/>
      <c r="AR52" s="3" t="s">
        <v>2</v>
      </c>
      <c r="AS52" s="3" t="s">
        <v>3</v>
      </c>
      <c r="AT52" s="108" t="s">
        <v>475</v>
      </c>
      <c r="AU52" s="4"/>
      <c r="AV52" s="45" t="s">
        <v>18</v>
      </c>
      <c r="AW52" s="45">
        <f>SUM(AW46:AW51)</f>
        <v>1011.7674660019052</v>
      </c>
      <c r="AX52" s="45">
        <f>SUM(AX46:AX51)</f>
        <v>1</v>
      </c>
      <c r="AY52" s="45">
        <f>SUM(AY46:AY51)</f>
        <v>0.47896953999999997</v>
      </c>
      <c r="AZ52" s="45">
        <f>SUM(AZ46:AZ51)</f>
        <v>7624.8433874224093</v>
      </c>
      <c r="BA52" s="13" cm="1">
        <f t="array" ref="BA52">SUM(AW46:AW51*BA46:BA51) / AW52</f>
        <v>-841.69623437072971</v>
      </c>
      <c r="BB52" s="45"/>
      <c r="BC52" s="45"/>
      <c r="BD52" s="45"/>
      <c r="BE52" s="45"/>
      <c r="BF52" s="45"/>
      <c r="BG52" s="45">
        <f>SUM(BG46:BG51)</f>
        <v>14.188469739763725</v>
      </c>
      <c r="BH52" s="45">
        <f>SUM(BH46:BH51)</f>
        <v>108184.8596728804</v>
      </c>
      <c r="BI52" s="4"/>
      <c r="BJ52" s="3" t="s">
        <v>2</v>
      </c>
      <c r="BK52" s="3" t="s">
        <v>3</v>
      </c>
      <c r="BL52" s="108" t="s">
        <v>475</v>
      </c>
    </row>
    <row r="53" spans="2:86" ht="18" x14ac:dyDescent="0.25">
      <c r="J53" s="4"/>
      <c r="K53" s="1" t="s">
        <v>83</v>
      </c>
      <c r="L53" s="4"/>
      <c r="M53" s="3" t="s">
        <v>85</v>
      </c>
      <c r="N53" s="3" t="s">
        <v>81</v>
      </c>
      <c r="O53" s="1" t="s">
        <v>510</v>
      </c>
      <c r="P53" s="4"/>
      <c r="Q53" s="4"/>
      <c r="R53" s="4"/>
      <c r="S53" s="4"/>
      <c r="T53" s="4"/>
      <c r="U53" s="3" t="s">
        <v>90</v>
      </c>
      <c r="V53" s="1" t="s">
        <v>87</v>
      </c>
      <c r="X53" s="4"/>
      <c r="Y53" s="1" t="s">
        <v>477</v>
      </c>
      <c r="Z53" s="1" t="s">
        <v>477</v>
      </c>
      <c r="AA53" s="1" t="s">
        <v>477</v>
      </c>
      <c r="AB53" s="4"/>
      <c r="AC53" s="4"/>
      <c r="AD53" s="1" t="s">
        <v>83</v>
      </c>
      <c r="AE53" s="4"/>
      <c r="AF53" s="3" t="s">
        <v>85</v>
      </c>
      <c r="AG53" s="3" t="s">
        <v>81</v>
      </c>
      <c r="AH53" s="1" t="s">
        <v>510</v>
      </c>
      <c r="AI53" s="4"/>
      <c r="AJ53" s="4"/>
      <c r="AK53" s="4"/>
      <c r="AL53" s="4"/>
      <c r="AM53" s="4"/>
      <c r="AN53" s="3" t="s">
        <v>90</v>
      </c>
      <c r="AO53" s="1" t="s">
        <v>87</v>
      </c>
      <c r="AP53" s="4"/>
      <c r="AQ53" s="4"/>
      <c r="AR53" s="1" t="s">
        <v>477</v>
      </c>
      <c r="AS53" s="1" t="s">
        <v>477</v>
      </c>
      <c r="AT53" s="1" t="s">
        <v>477</v>
      </c>
      <c r="AU53" s="4"/>
      <c r="AV53" s="4"/>
      <c r="AW53" s="1" t="s">
        <v>83</v>
      </c>
      <c r="AX53" s="4"/>
      <c r="AY53" s="3" t="s">
        <v>85</v>
      </c>
      <c r="AZ53" s="3" t="s">
        <v>81</v>
      </c>
      <c r="BA53" s="1" t="s">
        <v>510</v>
      </c>
      <c r="BB53" s="4"/>
      <c r="BC53" s="4"/>
      <c r="BD53" s="4"/>
      <c r="BE53" s="4"/>
      <c r="BF53" s="4"/>
      <c r="BG53" s="3" t="s">
        <v>90</v>
      </c>
      <c r="BH53" s="1" t="s">
        <v>87</v>
      </c>
      <c r="BI53" s="4"/>
      <c r="BJ53" s="1" t="s">
        <v>477</v>
      </c>
      <c r="BK53" s="1" t="s">
        <v>477</v>
      </c>
      <c r="BL53" s="1" t="s">
        <v>477</v>
      </c>
      <c r="BZ53" s="46" t="s">
        <v>1</v>
      </c>
      <c r="CA53" s="42" t="s">
        <v>0</v>
      </c>
    </row>
    <row r="54" spans="2:86" ht="18" x14ac:dyDescent="0.25">
      <c r="T54" s="4"/>
      <c r="X54" s="4" t="s">
        <v>59</v>
      </c>
      <c r="Y54" s="3" t="s">
        <v>476</v>
      </c>
      <c r="Z54" s="3" t="s">
        <v>476</v>
      </c>
      <c r="AA54" s="3" t="s">
        <v>476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476</v>
      </c>
      <c r="AS54" s="3" t="s">
        <v>476</v>
      </c>
      <c r="AT54" s="3" t="s">
        <v>476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476</v>
      </c>
      <c r="BK54" s="3" t="s">
        <v>476</v>
      </c>
      <c r="BL54" s="3" t="s">
        <v>476</v>
      </c>
      <c r="BZ54" s="48" t="s">
        <v>83</v>
      </c>
      <c r="CA54" s="47" t="s">
        <v>87</v>
      </c>
    </row>
    <row r="55" spans="2:86" ht="17" thickBot="1" x14ac:dyDescent="0.25">
      <c r="T55" s="4"/>
      <c r="X55" s="3" t="s">
        <v>15</v>
      </c>
      <c r="Y55" s="60">
        <f>2*N46</f>
        <v>11034.753976812313</v>
      </c>
      <c r="Z55" s="60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60">
        <f>2*AG46</f>
        <v>11034.753976812313</v>
      </c>
      <c r="AS55" s="60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60">
        <f>2*AZ46</f>
        <v>11034.753976812313</v>
      </c>
      <c r="BK55" s="60">
        <f>2*BS46</f>
        <v>11034.753976812313</v>
      </c>
      <c r="BL55" s="3">
        <f>BJ55-BK55</f>
        <v>0</v>
      </c>
      <c r="BV55" s="3" t="s">
        <v>438</v>
      </c>
      <c r="BZ55" s="40">
        <f>BP63</f>
        <v>11.767466001905108</v>
      </c>
      <c r="CA55" s="38">
        <f>CA63</f>
        <v>21722.892325740406</v>
      </c>
    </row>
    <row r="56" spans="2:86" ht="17" thickBot="1" x14ac:dyDescent="0.25">
      <c r="T56" s="4"/>
      <c r="X56" s="4" t="s">
        <v>29</v>
      </c>
      <c r="Y56" s="248">
        <f>N47</f>
        <v>1979.5520626852608</v>
      </c>
      <c r="Z56" s="248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48">
        <f>AG47</f>
        <v>1979.5520626852608</v>
      </c>
      <c r="AS56" s="248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60">
        <f>AZ47</f>
        <v>1979.5520626852608</v>
      </c>
      <c r="BK56" s="60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6" t="s">
        <v>1</v>
      </c>
      <c r="V57" s="42" t="s">
        <v>0</v>
      </c>
      <c r="X57" s="4" t="s">
        <v>246</v>
      </c>
      <c r="Y57" s="248">
        <f>2*N48</f>
        <v>26.539522960691897</v>
      </c>
      <c r="Z57" s="248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246</v>
      </c>
      <c r="AR57" s="248">
        <f>2*AG48</f>
        <v>26.539522960691897</v>
      </c>
      <c r="AS57" s="248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246</v>
      </c>
      <c r="BJ57" s="60">
        <f>2*AZ48</f>
        <v>26.539522960691897</v>
      </c>
      <c r="BK57" s="60">
        <f>2*BS59</f>
        <v>26.539522960691897</v>
      </c>
      <c r="BL57" s="3">
        <f t="shared" si="30"/>
        <v>0</v>
      </c>
      <c r="BO57" s="4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08"/>
      <c r="CH57" s="108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8" t="s">
        <v>83</v>
      </c>
      <c r="V58" s="47" t="s">
        <v>87</v>
      </c>
      <c r="X58" s="4" t="s">
        <v>239</v>
      </c>
      <c r="Y58" s="248">
        <f>2*N49</f>
        <v>196.14637665136635</v>
      </c>
      <c r="Z58" s="248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239</v>
      </c>
      <c r="AR58" s="248">
        <f>2*AG49</f>
        <v>196.14637665136635</v>
      </c>
      <c r="AS58" s="248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239</v>
      </c>
      <c r="BJ58" s="60">
        <f>2*AZ49</f>
        <v>196.14637665136635</v>
      </c>
      <c r="BK58" s="60">
        <f>2*BS60</f>
        <v>196.14637665136635</v>
      </c>
      <c r="BL58" s="3">
        <f t="shared" si="30"/>
        <v>0</v>
      </c>
      <c r="BN58" s="213"/>
      <c r="BO58" s="4" t="s">
        <v>40</v>
      </c>
      <c r="BP58" s="1" t="s">
        <v>82</v>
      </c>
      <c r="BQ58" s="4" t="s">
        <v>213</v>
      </c>
      <c r="BR58" s="2" t="s">
        <v>84</v>
      </c>
      <c r="BS58" s="2" t="s">
        <v>80</v>
      </c>
      <c r="BT58" s="1" t="s">
        <v>89</v>
      </c>
      <c r="BU58" s="2" t="s">
        <v>89</v>
      </c>
      <c r="BV58" s="2" t="s">
        <v>24</v>
      </c>
      <c r="BW58" s="2" t="s">
        <v>91</v>
      </c>
      <c r="BX58" s="2" t="s">
        <v>89</v>
      </c>
      <c r="BY58" s="2" t="s">
        <v>89</v>
      </c>
      <c r="BZ58" s="2" t="s">
        <v>88</v>
      </c>
      <c r="CA58" s="2" t="s">
        <v>86</v>
      </c>
    </row>
    <row r="59" spans="2:86" ht="24" customHeight="1" thickBot="1" x14ac:dyDescent="0.3">
      <c r="D59" s="12" t="s">
        <v>139</v>
      </c>
      <c r="E59" s="3" t="s">
        <v>137</v>
      </c>
      <c r="F59" s="3" t="s">
        <v>144</v>
      </c>
      <c r="G59" s="3" t="s">
        <v>138</v>
      </c>
      <c r="J59" s="4"/>
      <c r="K59" s="4"/>
      <c r="L59" s="4"/>
      <c r="M59" s="4"/>
      <c r="N59" s="4"/>
      <c r="O59" s="4"/>
      <c r="P59" s="4"/>
      <c r="Q59" s="245" t="s">
        <v>466</v>
      </c>
      <c r="R59" s="4"/>
      <c r="S59" s="4"/>
      <c r="T59" s="4"/>
      <c r="U59" s="40">
        <f>L64</f>
        <v>2.0694989883749622</v>
      </c>
      <c r="V59" s="38">
        <f>V64</f>
        <v>94146.207140653787</v>
      </c>
      <c r="X59" s="4" t="s">
        <v>134</v>
      </c>
      <c r="Y59" s="248">
        <f>N50</f>
        <v>12.394871839617645</v>
      </c>
      <c r="Z59" s="248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134</v>
      </c>
      <c r="AR59" s="248">
        <f>AG50</f>
        <v>12.394871839617645</v>
      </c>
      <c r="AS59" s="248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134</v>
      </c>
      <c r="BJ59" s="248">
        <f>AZ50</f>
        <v>12.394871839617645</v>
      </c>
      <c r="BK59" s="60">
        <f>BS61</f>
        <v>12.394871839617645</v>
      </c>
      <c r="BL59" s="3">
        <f t="shared" si="30"/>
        <v>0</v>
      </c>
      <c r="BM59" s="4"/>
      <c r="BN59" s="379" t="s">
        <v>438</v>
      </c>
      <c r="BO59" s="45" t="s">
        <v>243</v>
      </c>
      <c r="BP59" s="45">
        <f>AW48</f>
        <v>1.249958452402667</v>
      </c>
      <c r="BQ59" s="45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45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247</v>
      </c>
      <c r="F60" s="3" t="s">
        <v>248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133</v>
      </c>
      <c r="Y60" s="248">
        <f>N51</f>
        <v>4.1765146853454036</v>
      </c>
      <c r="Z60" s="248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133</v>
      </c>
      <c r="AR60" s="248">
        <f>AG51</f>
        <v>4.1765146853454036</v>
      </c>
      <c r="AS60" s="248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133</v>
      </c>
      <c r="BJ60" s="248">
        <f>AZ51</f>
        <v>4.1765146853454036</v>
      </c>
      <c r="BK60" s="248">
        <f>BS62</f>
        <v>4.1765146853454036</v>
      </c>
      <c r="BL60" s="3">
        <f t="shared" si="30"/>
        <v>0</v>
      </c>
      <c r="BM60" s="4"/>
      <c r="BN60" s="379"/>
      <c r="BO60" s="4" t="s">
        <v>237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84" t="s">
        <v>386</v>
      </c>
      <c r="C61" s="384"/>
      <c r="D61" s="384"/>
      <c r="E61" s="384"/>
      <c r="F61" s="384"/>
      <c r="G61" s="384"/>
      <c r="H61" s="384"/>
      <c r="J61" s="4"/>
      <c r="K61" s="3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4" t="s">
        <v>17</v>
      </c>
      <c r="Y61" s="248">
        <f>12*N63</f>
        <v>148.42688499366969</v>
      </c>
      <c r="Z61" s="248">
        <f>AG67</f>
        <v>148.42688499366969</v>
      </c>
      <c r="AA61" s="3">
        <f t="shared" si="28"/>
        <v>0</v>
      </c>
      <c r="AD61" s="4"/>
      <c r="AE61" s="4"/>
      <c r="AN61" s="46" t="s">
        <v>1</v>
      </c>
      <c r="AO61" s="42" t="s">
        <v>0</v>
      </c>
      <c r="AP61" s="4"/>
      <c r="AQ61" s="4" t="s">
        <v>28</v>
      </c>
      <c r="AR61" s="248">
        <f>(3*AG46)+(2*AG47)+AG48+(3*AG49)</f>
        <v>20818.724417046393</v>
      </c>
      <c r="AS61" s="248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48">
        <f>(3*AZ46)+(2*AZ47)+AZ48+(3*AZ49)</f>
        <v>20818.724417046393</v>
      </c>
      <c r="BK61" s="248">
        <f>(3*BS46)+(2*BS47)+BS59+(3*BS60)</f>
        <v>20818.724417046393</v>
      </c>
      <c r="BL61" s="3">
        <f t="shared" si="30"/>
        <v>0</v>
      </c>
      <c r="BM61" s="4"/>
      <c r="BN61" s="379"/>
      <c r="BO61" s="4" t="s">
        <v>134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97"/>
      <c r="C62" s="397"/>
      <c r="D62" s="397"/>
      <c r="E62" s="397"/>
      <c r="F62" s="397"/>
      <c r="G62" s="397"/>
      <c r="H62" s="397"/>
      <c r="J62" s="4" t="s">
        <v>40</v>
      </c>
      <c r="K62" s="3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4" t="s">
        <v>135</v>
      </c>
      <c r="Y62" s="248">
        <f>23*N63</f>
        <v>284.48486290453354</v>
      </c>
      <c r="Z62" s="248">
        <f>2*AG68</f>
        <v>284.48486290453354</v>
      </c>
      <c r="AA62" s="3">
        <f t="shared" si="28"/>
        <v>0</v>
      </c>
      <c r="AD62" s="4"/>
      <c r="AE62" s="4"/>
      <c r="AN62" s="48" t="s">
        <v>83</v>
      </c>
      <c r="AO62" s="47" t="s">
        <v>87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79"/>
      <c r="BO62" s="4" t="s">
        <v>133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9" t="s">
        <v>195</v>
      </c>
      <c r="C63" s="9" t="s">
        <v>197</v>
      </c>
      <c r="D63" s="9" t="s">
        <v>166</v>
      </c>
      <c r="E63" s="9" t="s">
        <v>166</v>
      </c>
      <c r="F63" s="9" t="s">
        <v>166</v>
      </c>
      <c r="G63" s="82" t="s">
        <v>250</v>
      </c>
      <c r="H63" s="9" t="s">
        <v>244</v>
      </c>
      <c r="I63" s="244" t="s">
        <v>466</v>
      </c>
      <c r="J63" s="45" t="s">
        <v>389</v>
      </c>
      <c r="K63" s="13">
        <f>F72</f>
        <v>88160.656904773379</v>
      </c>
      <c r="L63" s="13">
        <f>K63/LHV_Diesel</f>
        <v>2.0694989883749622</v>
      </c>
      <c r="M63" s="13">
        <f>MW_C12H23</f>
        <v>0.16731462</v>
      </c>
      <c r="N63" s="13">
        <f>L63/M63</f>
        <v>12.368907082805807</v>
      </c>
      <c r="O63" s="13">
        <f>LHV_Diesel*M63</f>
        <v>7127.6028120000001</v>
      </c>
      <c r="P63" s="13">
        <f>b_ch_Diesel</f>
        <v>45492.270191724252</v>
      </c>
      <c r="Q63" s="13">
        <f>N63/N64</f>
        <v>1</v>
      </c>
      <c r="R63" s="13">
        <f>LN(Q63)</f>
        <v>0</v>
      </c>
      <c r="S63" s="13">
        <f>RT0*R63</f>
        <v>0</v>
      </c>
      <c r="T63" s="13">
        <f>S63+P63</f>
        <v>45492.270191724252</v>
      </c>
      <c r="U63" s="13">
        <f>Q63*T63</f>
        <v>45492.270191724252</v>
      </c>
      <c r="V63" s="13">
        <f>U63*L63</f>
        <v>94146.207140653787</v>
      </c>
      <c r="X63" s="4" t="s">
        <v>28</v>
      </c>
      <c r="Y63" s="248">
        <f>(3*N46)+(2*N47)+N48+(3*N49)+(2*N76)</f>
        <v>21257.820618485999</v>
      </c>
      <c r="Z63" s="248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409</v>
      </c>
      <c r="AN63" s="40">
        <f>AD70</f>
        <v>32.219926549044033</v>
      </c>
      <c r="AO63" s="3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13"/>
      <c r="BO63" s="45" t="s">
        <v>18</v>
      </c>
      <c r="BP63" s="45">
        <f>SUM(BP57:BP62)</f>
        <v>11.767466001905108</v>
      </c>
      <c r="BQ63" s="45">
        <f>SUM(BQ57:BQ62)</f>
        <v>1</v>
      </c>
      <c r="BR63" s="45">
        <f>SUM(BR57:BR62)</f>
        <v>0.25919703999999999</v>
      </c>
      <c r="BS63" s="45">
        <f>SUM(BS57:BS62)</f>
        <v>127.91433633099219</v>
      </c>
      <c r="BT63" s="13" cm="1">
        <f t="array" ref="BT63">SUM(BP59:BP62*BT59:BT62) / BP63</f>
        <v>-1454.2261001517452</v>
      </c>
      <c r="BU63" s="45"/>
      <c r="BV63" s="45"/>
      <c r="BW63" s="45"/>
      <c r="BX63" s="45"/>
      <c r="BY63" s="45"/>
      <c r="BZ63" s="45">
        <f>SUM(BZ57:BZ62)</f>
        <v>169.82375040065935</v>
      </c>
      <c r="CA63" s="45">
        <f>SUM(CA57:CA62)</f>
        <v>21722.892325740406</v>
      </c>
    </row>
    <row r="64" spans="2:86" ht="18" x14ac:dyDescent="0.25">
      <c r="B64" s="9" t="s">
        <v>91</v>
      </c>
      <c r="C64" s="9" t="s">
        <v>91</v>
      </c>
      <c r="D64" s="9" t="s">
        <v>162</v>
      </c>
      <c r="E64" s="9" t="s">
        <v>165</v>
      </c>
      <c r="F64" s="9" t="s">
        <v>47</v>
      </c>
      <c r="G64" s="27" t="s">
        <v>91</v>
      </c>
      <c r="H64" s="9" t="s">
        <v>47</v>
      </c>
      <c r="J64" s="13" t="s">
        <v>18</v>
      </c>
      <c r="K64" s="13">
        <f>SUM(K63)</f>
        <v>88160.656904773379</v>
      </c>
      <c r="L64" s="13">
        <f>SUM(L63)</f>
        <v>2.0694989883749622</v>
      </c>
      <c r="M64" s="13">
        <f>SUM(M63)</f>
        <v>0.16731462</v>
      </c>
      <c r="N64" s="13">
        <f>SUM(N63)</f>
        <v>12.368907082805807</v>
      </c>
      <c r="O64" s="13">
        <f>SUM(O63)</f>
        <v>7127.6028120000001</v>
      </c>
      <c r="P64" s="13"/>
      <c r="Q64" s="13"/>
      <c r="R64" s="13"/>
      <c r="S64" s="13"/>
      <c r="T64" s="13"/>
      <c r="U64" s="13">
        <f>SUM(U63)</f>
        <v>45492.270191724252</v>
      </c>
      <c r="V64" s="13">
        <f>SUM(V63)</f>
        <v>94146.207140653787</v>
      </c>
      <c r="X64" s="4" t="s">
        <v>284</v>
      </c>
      <c r="Y64" s="248">
        <f>2*N77</f>
        <v>1651.0017174129191</v>
      </c>
      <c r="Z64" s="248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83</v>
      </c>
      <c r="BQ64" s="4"/>
      <c r="BR64" s="3" t="s">
        <v>85</v>
      </c>
      <c r="BS64" s="3" t="s">
        <v>81</v>
      </c>
      <c r="BT64" s="1" t="s">
        <v>510</v>
      </c>
      <c r="BU64" s="4"/>
      <c r="BV64" s="4"/>
      <c r="BW64" s="4"/>
      <c r="BX64" s="4"/>
      <c r="BY64" s="4"/>
      <c r="BZ64" s="3" t="s">
        <v>90</v>
      </c>
      <c r="CA64" s="1" t="s">
        <v>87</v>
      </c>
    </row>
    <row r="65" spans="2:78" ht="18" x14ac:dyDescent="0.25">
      <c r="B65" s="9" t="s">
        <v>209</v>
      </c>
      <c r="C65" s="44" t="s">
        <v>183</v>
      </c>
      <c r="D65" s="44">
        <f>22700+23200+793+793+2420</f>
        <v>49906</v>
      </c>
      <c r="E65" s="44">
        <f t="shared" ref="E65:E71" si="36">D65*Btu_to_kJ</f>
        <v>52653.824360000006</v>
      </c>
      <c r="F65" s="44">
        <f t="shared" ref="F65:F71" si="37">E65*($AD$52/1000)</f>
        <v>53273.426448026592</v>
      </c>
      <c r="G65" s="3">
        <v>1.06</v>
      </c>
      <c r="H65" s="9">
        <f>F65*G65</f>
        <v>56469.832034908191</v>
      </c>
      <c r="K65" s="3" t="s">
        <v>47</v>
      </c>
      <c r="L65" s="1" t="s">
        <v>83</v>
      </c>
      <c r="M65" s="3" t="s">
        <v>85</v>
      </c>
      <c r="N65" s="3" t="s">
        <v>81</v>
      </c>
      <c r="O65" s="1" t="s">
        <v>510</v>
      </c>
      <c r="P65" s="4"/>
      <c r="Q65" s="4"/>
      <c r="U65" s="3" t="s">
        <v>90</v>
      </c>
      <c r="V65" s="1" t="s">
        <v>87</v>
      </c>
      <c r="X65" s="4"/>
      <c r="Y65" s="4"/>
      <c r="Z65" s="4"/>
      <c r="AA65" s="4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9" t="s">
        <v>209</v>
      </c>
      <c r="C66" s="44" t="s">
        <v>203</v>
      </c>
      <c r="D66" s="44">
        <v>19100</v>
      </c>
      <c r="E66" s="44">
        <f t="shared" si="36"/>
        <v>20151.646000000001</v>
      </c>
      <c r="F66" s="44">
        <f t="shared" si="37"/>
        <v>20388.779809187428</v>
      </c>
      <c r="G66" s="83">
        <v>1.06</v>
      </c>
      <c r="H66" s="9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213</v>
      </c>
      <c r="AF66" s="2" t="s">
        <v>11</v>
      </c>
      <c r="AG66" s="2" t="s">
        <v>12</v>
      </c>
      <c r="AH66" s="1" t="s">
        <v>89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9" t="s">
        <v>209</v>
      </c>
      <c r="C67" s="44" t="s">
        <v>184</v>
      </c>
      <c r="D67" s="44">
        <v>5800</v>
      </c>
      <c r="E67" s="44">
        <f t="shared" si="36"/>
        <v>6119.3480000000009</v>
      </c>
      <c r="F67" s="44">
        <f t="shared" si="37"/>
        <v>6191.3572195438273</v>
      </c>
      <c r="G67" s="83">
        <v>1.06</v>
      </c>
      <c r="H67" s="9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79" t="s">
        <v>409</v>
      </c>
      <c r="AC67" s="3" t="s">
        <v>22</v>
      </c>
      <c r="AD67" s="1">
        <f>AF67*AG67</f>
        <v>6.5322375231944045</v>
      </c>
      <c r="AE67" s="7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7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7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9" t="s">
        <v>209</v>
      </c>
      <c r="C68" s="44" t="s">
        <v>220</v>
      </c>
      <c r="D68" s="44">
        <v>5530</v>
      </c>
      <c r="E68" s="44">
        <f t="shared" si="36"/>
        <v>5834.4818000000005</v>
      </c>
      <c r="F68" s="44">
        <f t="shared" si="37"/>
        <v>5903.1388662202344</v>
      </c>
      <c r="G68" s="83">
        <v>1.06</v>
      </c>
      <c r="H68" s="9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79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5">
        <f>MW_H2O</f>
        <v>1.8015280000000002E-2</v>
      </c>
      <c r="AG68" s="1">
        <f>H2O_molcoeff*N63</f>
        <v>142.24243145226677</v>
      </c>
      <c r="AH68" s="1">
        <f>h_H2O</f>
        <v>-241.8</v>
      </c>
      <c r="AI68" s="5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9" t="s">
        <v>209</v>
      </c>
      <c r="C69" s="44" t="s">
        <v>221</v>
      </c>
      <c r="D69" s="44">
        <v>213</v>
      </c>
      <c r="E69" s="44">
        <f t="shared" si="36"/>
        <v>224.72778000000002</v>
      </c>
      <c r="F69" s="44">
        <f t="shared" si="37"/>
        <v>227.37225651083364</v>
      </c>
      <c r="G69" s="83">
        <v>1.06</v>
      </c>
      <c r="H69" s="9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79"/>
      <c r="AC69" s="6" t="s">
        <v>66</v>
      </c>
      <c r="AD69" s="1">
        <f t="shared" si="39"/>
        <v>23.125151795356231</v>
      </c>
      <c r="AE69" s="1">
        <f>AD69/AD70</f>
        <v>0.71772825925459338</v>
      </c>
      <c r="AF69" s="5">
        <f>MW_N2</f>
        <v>2.801348E-2</v>
      </c>
      <c r="AG69" s="1">
        <f>N77</f>
        <v>825.50085870645955</v>
      </c>
      <c r="AH69" s="1">
        <f>h_N2</f>
        <v>0</v>
      </c>
      <c r="AI69" s="5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9" t="s">
        <v>209</v>
      </c>
      <c r="C70" s="44" t="s">
        <v>222</v>
      </c>
      <c r="D70" s="44">
        <v>1200</v>
      </c>
      <c r="E70" s="44">
        <f t="shared" si="36"/>
        <v>1266.0720000000001</v>
      </c>
      <c r="F70" s="44">
        <f t="shared" si="37"/>
        <v>1280.9704592159642</v>
      </c>
      <c r="G70" s="83">
        <v>1.06</v>
      </c>
      <c r="H70" s="9">
        <f t="shared" si="38"/>
        <v>1357.8286867689221</v>
      </c>
      <c r="U70" s="46" t="s">
        <v>1</v>
      </c>
      <c r="V70" s="42" t="s">
        <v>0</v>
      </c>
      <c r="X70" s="4"/>
      <c r="Y70" s="4"/>
      <c r="Z70" s="4"/>
      <c r="AA70" s="4"/>
      <c r="AB70" s="379"/>
      <c r="AC70" s="13" t="s">
        <v>18</v>
      </c>
      <c r="AD70" s="7">
        <f>SUM(AD67:AD69)</f>
        <v>32.219926549044033</v>
      </c>
      <c r="AE70" s="7">
        <f>SUM(AE67:AE69)</f>
        <v>0.99999999999999989</v>
      </c>
      <c r="AF70" s="7">
        <f>SUM(AF67:AF69)</f>
        <v>9.0038560000000004E-2</v>
      </c>
      <c r="AG70" s="7">
        <f>SUM(AG67:AG69)</f>
        <v>1116.170175152396</v>
      </c>
      <c r="AH70" s="13" cm="1">
        <f t="array" ref="AH70">SUM(AD67:AD69*AH67:AH69) / AD70</f>
        <v>-99.008821849873215</v>
      </c>
      <c r="AI70" s="45"/>
      <c r="AJ70" s="7">
        <f>SUM(AJ67:AJ69)</f>
        <v>1</v>
      </c>
      <c r="AK70" s="13"/>
      <c r="AL70" s="13"/>
      <c r="AM70" s="13"/>
      <c r="AN70" s="7">
        <f>SUM(AN67:AN69)</f>
        <v>2.0111593520766293</v>
      </c>
      <c r="AO70" s="7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9" t="s">
        <v>209</v>
      </c>
      <c r="C71" s="44" t="s">
        <v>207</v>
      </c>
      <c r="D71" s="44">
        <v>839</v>
      </c>
      <c r="E71" s="44">
        <f t="shared" si="36"/>
        <v>885.1953400000001</v>
      </c>
      <c r="F71" s="44">
        <f t="shared" si="37"/>
        <v>895.61184606849497</v>
      </c>
      <c r="G71" s="83">
        <v>1.06</v>
      </c>
      <c r="H71" s="9">
        <f t="shared" si="38"/>
        <v>949.34855683260469</v>
      </c>
      <c r="U71" s="48" t="s">
        <v>83</v>
      </c>
      <c r="V71" s="47" t="s">
        <v>87</v>
      </c>
      <c r="X71" s="4"/>
      <c r="Y71" s="4"/>
      <c r="Z71" s="4"/>
      <c r="AA71" s="4"/>
      <c r="AD71" s="1" t="s">
        <v>83</v>
      </c>
      <c r="AE71" s="1"/>
      <c r="AF71" s="3" t="s">
        <v>85</v>
      </c>
      <c r="AG71" s="3" t="s">
        <v>81</v>
      </c>
      <c r="AH71" s="1" t="s">
        <v>510</v>
      </c>
      <c r="AI71" s="4"/>
      <c r="AJ71" s="4"/>
      <c r="AN71" s="3" t="s">
        <v>90</v>
      </c>
      <c r="AO71" s="1" t="s">
        <v>87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9"/>
      <c r="C72" s="44" t="s">
        <v>18</v>
      </c>
      <c r="D72" s="9">
        <f>SUM(D65:D71)</f>
        <v>82588</v>
      </c>
      <c r="E72" s="9">
        <f>SUM(E65:E71)</f>
        <v>87135.295280000006</v>
      </c>
      <c r="F72" s="9">
        <f>SUM(F65:F71)</f>
        <v>88160.656904773379</v>
      </c>
      <c r="G72" s="27"/>
      <c r="H72" s="9">
        <f>SUM(H65:H71)</f>
        <v>93450.29631905978</v>
      </c>
      <c r="Q72" s="3" t="s">
        <v>420</v>
      </c>
      <c r="U72" s="40">
        <f>K78</f>
        <v>30.150427560669065</v>
      </c>
      <c r="V72" s="3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84" t="s">
        <v>414</v>
      </c>
      <c r="F74" s="384"/>
      <c r="G74" s="384"/>
      <c r="H74" s="384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84"/>
      <c r="F75" s="384"/>
      <c r="G75" s="384"/>
      <c r="H75" s="384"/>
      <c r="J75" s="71" t="s">
        <v>40</v>
      </c>
      <c r="K75" s="3" t="s">
        <v>10</v>
      </c>
      <c r="L75" s="3" t="s">
        <v>171</v>
      </c>
      <c r="M75" s="2" t="s">
        <v>84</v>
      </c>
      <c r="N75" s="2" t="s">
        <v>80</v>
      </c>
      <c r="O75" s="1" t="s">
        <v>89</v>
      </c>
      <c r="P75" s="2" t="s">
        <v>89</v>
      </c>
      <c r="Q75" s="2" t="s">
        <v>24</v>
      </c>
      <c r="R75" s="2" t="s">
        <v>91</v>
      </c>
      <c r="S75" s="2" t="s">
        <v>89</v>
      </c>
      <c r="T75" s="2" t="s">
        <v>89</v>
      </c>
      <c r="U75" s="2" t="s">
        <v>88</v>
      </c>
      <c r="V75" s="2" t="s">
        <v>86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79" t="s">
        <v>420</v>
      </c>
      <c r="J76" s="1" t="s">
        <v>233</v>
      </c>
      <c r="K76" s="13">
        <f>M76*N76</f>
        <v>7.025275765312835</v>
      </c>
      <c r="L76" s="13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3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79"/>
      <c r="J77" s="43" t="s">
        <v>66</v>
      </c>
      <c r="K77" s="3">
        <f>M77*N77</f>
        <v>23.125151795356231</v>
      </c>
      <c r="L77" s="3">
        <f>K77/K78</f>
        <v>0.76699249948689829</v>
      </c>
      <c r="M77" s="23">
        <f>MW_N2</f>
        <v>2.801348E-2</v>
      </c>
      <c r="N77" s="23">
        <f>N2_molcoeff*N76</f>
        <v>825.50085870645955</v>
      </c>
      <c r="O77" s="23">
        <f>h_N2</f>
        <v>0</v>
      </c>
      <c r="P77" s="23">
        <f>b_ch_N2</f>
        <v>0.7</v>
      </c>
      <c r="Q77" s="23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3">
        <f>SUM(K76:K77)</f>
        <v>30.150427560669065</v>
      </c>
      <c r="L78" s="13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85</v>
      </c>
      <c r="N79" s="3" t="s">
        <v>81</v>
      </c>
      <c r="O79" s="1" t="s">
        <v>510</v>
      </c>
      <c r="P79" s="4"/>
      <c r="Q79" s="4"/>
      <c r="U79" s="3" t="s">
        <v>90</v>
      </c>
      <c r="V79" s="1" t="s">
        <v>87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75"/>
      <c r="BV81" s="75"/>
      <c r="BW81" s="67"/>
      <c r="BX81" s="67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6" t="s">
        <v>1</v>
      </c>
      <c r="EM99" s="42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8" t="s">
        <v>83</v>
      </c>
      <c r="EM100" s="47" t="s">
        <v>87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411</v>
      </c>
      <c r="EI101" s="4"/>
      <c r="EJ101" s="4"/>
      <c r="EK101" s="4"/>
      <c r="EL101" s="40">
        <f>EC106</f>
        <v>4.914718171980665</v>
      </c>
      <c r="EM101" s="3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60"/>
      <c r="AI102" s="16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46" t="s">
        <v>1</v>
      </c>
      <c r="FM102" s="42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84" t="s">
        <v>410</v>
      </c>
      <c r="DU103" s="384"/>
      <c r="DV103" s="384"/>
      <c r="DW103" s="384"/>
      <c r="DX103" s="384"/>
      <c r="DY103" s="384"/>
      <c r="EA103" s="4"/>
      <c r="EB103" s="3" t="s">
        <v>454</v>
      </c>
      <c r="EC103" s="1" t="s">
        <v>449</v>
      </c>
      <c r="ED103" s="3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48" t="s">
        <v>83</v>
      </c>
      <c r="FM103" s="47" t="s">
        <v>87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97"/>
      <c r="DU104" s="397"/>
      <c r="DV104" s="397"/>
      <c r="DW104" s="397"/>
      <c r="DX104" s="397"/>
      <c r="DY104" s="397"/>
      <c r="EA104" s="4" t="s">
        <v>40</v>
      </c>
      <c r="EB104" s="3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3" t="s">
        <v>457</v>
      </c>
      <c r="FL104" s="40">
        <f>FB109</f>
        <v>229.94813284002646</v>
      </c>
      <c r="FM104" s="3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1" t="s">
        <v>195</v>
      </c>
      <c r="DU105" s="90" t="s">
        <v>166</v>
      </c>
      <c r="DV105" s="90" t="s">
        <v>166</v>
      </c>
      <c r="DW105" s="90" t="s">
        <v>166</v>
      </c>
      <c r="DX105" s="91" t="s">
        <v>250</v>
      </c>
      <c r="DY105" s="90" t="s">
        <v>244</v>
      </c>
      <c r="DZ105" s="189" t="s">
        <v>411</v>
      </c>
      <c r="EA105" s="73" t="s">
        <v>402</v>
      </c>
      <c r="EB105" s="13">
        <f>DW107</f>
        <v>194131.36779323628</v>
      </c>
      <c r="EC105" s="13">
        <f>EB105/LHV_Oil</f>
        <v>4.914718171980665</v>
      </c>
      <c r="ED105" s="13">
        <f>MW_Oil</f>
        <v>0.1402688</v>
      </c>
      <c r="EE105" s="13">
        <f>EC105/ED105</f>
        <v>35.037857114202623</v>
      </c>
      <c r="EF105" s="13">
        <f>LHV_Oil*ED105</f>
        <v>5540.6175999999996</v>
      </c>
      <c r="EG105" s="13">
        <f>b_ch_fueloil*ED105</f>
        <v>5923.4858380648811</v>
      </c>
      <c r="EH105" s="13">
        <f>EE105/EE106</f>
        <v>1</v>
      </c>
      <c r="EI105" s="13">
        <f>LN(EH105)</f>
        <v>0</v>
      </c>
      <c r="EJ105" s="13">
        <f>RT0*EI105</f>
        <v>0</v>
      </c>
      <c r="EK105" s="13">
        <f>EJ105+EG105</f>
        <v>5923.4858380648811</v>
      </c>
      <c r="EL105" s="13">
        <f>EH105*EK105</f>
        <v>5923.4858380648811</v>
      </c>
      <c r="EM105" s="1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1" t="s">
        <v>91</v>
      </c>
      <c r="DU106" s="90" t="s">
        <v>161</v>
      </c>
      <c r="DV106" s="90" t="s">
        <v>256</v>
      </c>
      <c r="DW106" s="90" t="s">
        <v>47</v>
      </c>
      <c r="DX106" s="91" t="s">
        <v>91</v>
      </c>
      <c r="DY106" s="90" t="s">
        <v>47</v>
      </c>
      <c r="EA106" s="3" t="s">
        <v>18</v>
      </c>
      <c r="EB106" s="13">
        <f>SUM(EB105)</f>
        <v>194131.36779323628</v>
      </c>
      <c r="EC106" s="13">
        <f>SUM(EC105)</f>
        <v>4.914718171980665</v>
      </c>
      <c r="ED106" s="13">
        <f>SUM(ED105)</f>
        <v>0.1402688</v>
      </c>
      <c r="EE106" s="13">
        <f>SUM(EE105)</f>
        <v>35.037857114202623</v>
      </c>
      <c r="EF106" s="13">
        <f>SUM(EF105)</f>
        <v>5540.6175999999996</v>
      </c>
      <c r="EG106" s="13"/>
      <c r="EH106" s="13"/>
      <c r="EI106" s="13"/>
      <c r="EJ106" s="13"/>
      <c r="EK106" s="13"/>
      <c r="EL106" s="13">
        <f>SUM(EL105)</f>
        <v>5923.4858380648811</v>
      </c>
      <c r="EM106" s="1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2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1" t="s">
        <v>448</v>
      </c>
      <c r="DU107" s="90">
        <f>0.14*10^6</f>
        <v>140000</v>
      </c>
      <c r="DV107" s="11">
        <f>DU107*Btu_to_kJ</f>
        <v>147708.40000000002</v>
      </c>
      <c r="DW107" s="11">
        <f>DV107*($EL$126/1000)</f>
        <v>194131.36779323628</v>
      </c>
      <c r="DX107" s="11">
        <v>1.06</v>
      </c>
      <c r="DY107" s="231">
        <f>DW107*DX107</f>
        <v>205779.24986083046</v>
      </c>
      <c r="EB107" s="3" t="s">
        <v>47</v>
      </c>
      <c r="EC107" s="1" t="s">
        <v>83</v>
      </c>
      <c r="ED107" s="3" t="s">
        <v>85</v>
      </c>
      <c r="EE107" s="3" t="s">
        <v>81</v>
      </c>
      <c r="EF107" s="1" t="s">
        <v>510</v>
      </c>
      <c r="EG107" s="4"/>
      <c r="EH107" s="4"/>
      <c r="EL107" s="3" t="s">
        <v>90</v>
      </c>
      <c r="EM107" s="1" t="s">
        <v>87</v>
      </c>
      <c r="FA107" s="2" t="s">
        <v>40</v>
      </c>
      <c r="FB107" s="2" t="s">
        <v>10</v>
      </c>
      <c r="FC107" s="1" t="s">
        <v>452</v>
      </c>
      <c r="FD107" s="2" t="s">
        <v>11</v>
      </c>
      <c r="FE107" s="2" t="s">
        <v>12</v>
      </c>
      <c r="FF107" s="1" t="s">
        <v>89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2" t="s">
        <v>210</v>
      </c>
      <c r="BJ108" s="4" t="s">
        <v>214</v>
      </c>
      <c r="BK108" s="4" t="s">
        <v>215</v>
      </c>
      <c r="BN108" s="4"/>
      <c r="BO108" s="4"/>
      <c r="BP108" s="4"/>
      <c r="BQ108" s="4"/>
      <c r="BR108" s="4"/>
      <c r="BS108" s="4"/>
      <c r="EZ108" s="189" t="s">
        <v>457</v>
      </c>
      <c r="FA108" s="1" t="s">
        <v>21</v>
      </c>
      <c r="FB108" s="1">
        <f>Slag_BF_out</f>
        <v>229.94813284002646</v>
      </c>
      <c r="FC108" s="35">
        <f>FB108/FB109</f>
        <v>1</v>
      </c>
      <c r="FD108" s="5">
        <f>MW_CaSiO3</f>
        <v>0.11616169999999999</v>
      </c>
      <c r="FE108" s="5">
        <f>FB108/FD108</f>
        <v>1979.552062685261</v>
      </c>
      <c r="FF108" s="26">
        <f>h_CaSiO3</f>
        <v>-89.61</v>
      </c>
      <c r="FG108" s="6">
        <f>b_ch_CaSiO3</f>
        <v>34.288240000000087</v>
      </c>
      <c r="FH108" s="5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7">
        <f>$FE$109*FL108</f>
        <v>67875.356217847453</v>
      </c>
    </row>
    <row r="109" spans="16:169" ht="16" x14ac:dyDescent="0.2">
      <c r="T109" s="12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7" t="s">
        <v>18</v>
      </c>
      <c r="FB109" s="22">
        <f>SUM(FB108)</f>
        <v>229.94813284002646</v>
      </c>
      <c r="FC109" s="22"/>
      <c r="FD109" s="22">
        <f>SUM(FD108)</f>
        <v>0.11616169999999999</v>
      </c>
      <c r="FE109" s="22">
        <f>SUM(FE108)</f>
        <v>1979.552062685261</v>
      </c>
      <c r="FF109" s="7">
        <f t="shared" ref="FF109" si="43">SUM(FF108:FF108)</f>
        <v>-89.61</v>
      </c>
      <c r="FG109" s="22">
        <f>SUM(FG108)</f>
        <v>34.288240000000087</v>
      </c>
      <c r="FH109" s="22">
        <f>SUM(FH108)</f>
        <v>1</v>
      </c>
      <c r="FI109" s="22"/>
      <c r="FJ109" s="22"/>
      <c r="FK109" s="22">
        <f>SUM(FK108)</f>
        <v>34.288240000000087</v>
      </c>
      <c r="FL109" s="22">
        <f>SUM(FL108)</f>
        <v>34.288240000000087</v>
      </c>
      <c r="FM109" s="22">
        <f>SUM(FM108)</f>
        <v>67875.356217847453</v>
      </c>
    </row>
    <row r="110" spans="16:169" ht="19.25" customHeight="1" x14ac:dyDescent="0.25">
      <c r="T110" s="4"/>
      <c r="AD110" s="5"/>
      <c r="AE110" s="5"/>
      <c r="AF110" s="89"/>
      <c r="AG110" s="89"/>
      <c r="AH110" s="89"/>
      <c r="AI110" s="89"/>
      <c r="AJ110" s="89"/>
      <c r="AK110" s="5"/>
      <c r="AL110" s="5"/>
      <c r="AM110" s="5"/>
      <c r="AN110" s="5"/>
      <c r="AO110" s="409" t="s">
        <v>346</v>
      </c>
      <c r="AP110" s="405"/>
      <c r="AQ110" s="405"/>
      <c r="AR110" s="405"/>
      <c r="AS110" s="405"/>
      <c r="AT110" s="405"/>
      <c r="AU110" s="40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405" t="s">
        <v>350</v>
      </c>
      <c r="BH110" s="405"/>
      <c r="BI110" s="405"/>
      <c r="BJ110" s="405"/>
      <c r="BK110" s="405"/>
      <c r="BL110" s="405"/>
      <c r="BM110" s="40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4"/>
      <c r="CV110" s="4"/>
      <c r="CW110" s="4"/>
      <c r="CX110" s="4"/>
      <c r="CY110" s="4"/>
      <c r="DB110" s="4"/>
      <c r="DC110" s="4"/>
      <c r="FA110" s="1"/>
      <c r="FB110" s="1" t="s">
        <v>83</v>
      </c>
      <c r="FC110" s="1"/>
      <c r="FD110" s="3" t="s">
        <v>85</v>
      </c>
      <c r="FE110" s="3" t="s">
        <v>81</v>
      </c>
      <c r="FF110" s="1" t="s">
        <v>510</v>
      </c>
      <c r="FG110" s="4"/>
      <c r="FH110" s="4"/>
      <c r="FL110" s="3" t="s">
        <v>90</v>
      </c>
      <c r="FM110" s="1" t="s">
        <v>87</v>
      </c>
    </row>
    <row r="111" spans="16:169" ht="20" customHeight="1" thickBot="1" x14ac:dyDescent="0.25">
      <c r="P111" s="410" t="s">
        <v>285</v>
      </c>
      <c r="Q111" s="410"/>
      <c r="T111" s="4"/>
      <c r="U111" s="4"/>
      <c r="V111" s="4"/>
      <c r="AD111" s="5"/>
      <c r="AE111" s="5"/>
      <c r="AF111" s="5"/>
      <c r="AG111" s="5"/>
      <c r="AH111" s="5"/>
      <c r="AI111" s="5"/>
      <c r="AJ111" s="5"/>
      <c r="AK111" s="89"/>
      <c r="AL111" s="89"/>
      <c r="AM111" s="89"/>
      <c r="AN111" s="89"/>
      <c r="AO111" s="11" t="s">
        <v>195</v>
      </c>
      <c r="AP111" s="90" t="s">
        <v>194</v>
      </c>
      <c r="AQ111" s="90" t="s">
        <v>166</v>
      </c>
      <c r="AR111" s="90" t="s">
        <v>35</v>
      </c>
      <c r="AS111" s="90" t="s">
        <v>166</v>
      </c>
      <c r="AT111" s="91" t="s">
        <v>250</v>
      </c>
      <c r="AU111" s="90" t="s">
        <v>244</v>
      </c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11" t="s">
        <v>195</v>
      </c>
      <c r="BH111" s="90" t="s">
        <v>194</v>
      </c>
      <c r="BI111" s="90" t="s">
        <v>166</v>
      </c>
      <c r="BJ111" s="90" t="s">
        <v>166</v>
      </c>
      <c r="BK111" s="90" t="s">
        <v>166</v>
      </c>
      <c r="BL111" s="91" t="s">
        <v>250</v>
      </c>
      <c r="BM111" s="90" t="s">
        <v>244</v>
      </c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4"/>
      <c r="CU111" s="4"/>
      <c r="CV111" s="4"/>
      <c r="CW111" s="4"/>
      <c r="CZ111" s="4"/>
      <c r="DA111" s="4"/>
      <c r="ER111" s="12" t="s">
        <v>274</v>
      </c>
      <c r="EV111" s="1"/>
      <c r="EW111" s="1"/>
      <c r="EX111" s="1"/>
      <c r="EY111" s="1"/>
      <c r="EZ111" s="1"/>
    </row>
    <row r="112" spans="16:169" ht="19" customHeight="1" thickBot="1" x14ac:dyDescent="0.3">
      <c r="P112" s="411"/>
      <c r="Q112" s="411"/>
      <c r="T112" s="4"/>
      <c r="U112" s="4"/>
      <c r="V112" s="4"/>
      <c r="AD112" s="5"/>
      <c r="AE112" s="5"/>
      <c r="AF112" s="5"/>
      <c r="AG112" s="5"/>
      <c r="AH112" s="5"/>
      <c r="AI112" s="5"/>
      <c r="AJ112" s="5"/>
      <c r="AK112" s="89"/>
      <c r="AL112" s="89"/>
      <c r="AM112" s="89"/>
      <c r="AN112" s="89"/>
      <c r="AO112" s="11" t="s">
        <v>91</v>
      </c>
      <c r="AP112" s="11" t="s">
        <v>91</v>
      </c>
      <c r="AQ112" s="90" t="s">
        <v>168</v>
      </c>
      <c r="AR112" s="90" t="s">
        <v>167</v>
      </c>
      <c r="AS112" s="90" t="s">
        <v>47</v>
      </c>
      <c r="AT112" s="91" t="s">
        <v>91</v>
      </c>
      <c r="AU112" s="90" t="s">
        <v>47</v>
      </c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11" t="s">
        <v>91</v>
      </c>
      <c r="BH112" s="11" t="s">
        <v>91</v>
      </c>
      <c r="BI112" s="90" t="s">
        <v>161</v>
      </c>
      <c r="BJ112" s="90" t="s">
        <v>256</v>
      </c>
      <c r="BK112" s="90" t="s">
        <v>47</v>
      </c>
      <c r="BL112" s="91" t="s">
        <v>91</v>
      </c>
      <c r="BM112" s="90" t="s">
        <v>47</v>
      </c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CI112" s="5"/>
      <c r="CJ112" s="5"/>
      <c r="CK112" s="5"/>
      <c r="CL112" s="5"/>
      <c r="CM112" s="5"/>
      <c r="CN112" s="5"/>
      <c r="CO112" s="89"/>
      <c r="CP112" s="89"/>
      <c r="CQ112" s="89"/>
      <c r="CR112" s="89"/>
      <c r="CS112" s="89"/>
      <c r="CT112" s="89"/>
      <c r="CU112" s="5"/>
      <c r="CV112" s="94" t="s">
        <v>1</v>
      </c>
      <c r="CW112" s="95" t="s">
        <v>0</v>
      </c>
      <c r="CX112" s="167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6" t="s">
        <v>1</v>
      </c>
      <c r="EM112" s="42" t="s">
        <v>0</v>
      </c>
    </row>
    <row r="113" spans="5:176" ht="18" x14ac:dyDescent="0.25">
      <c r="P113" s="381" t="s">
        <v>269</v>
      </c>
      <c r="Q113" s="114" t="s">
        <v>245</v>
      </c>
      <c r="T113" s="4"/>
      <c r="U113" s="4"/>
      <c r="V113" s="4"/>
      <c r="AD113" s="5"/>
      <c r="AE113" s="5"/>
      <c r="AF113" s="5"/>
      <c r="AG113" s="5"/>
      <c r="AH113" s="5"/>
      <c r="AI113" s="5"/>
      <c r="AJ113" s="5"/>
      <c r="AK113" s="89"/>
      <c r="AL113" s="89"/>
      <c r="AM113" s="89"/>
      <c r="AN113" s="89"/>
      <c r="AO113" s="90" t="s">
        <v>196</v>
      </c>
      <c r="AP113" s="90" t="s">
        <v>232</v>
      </c>
      <c r="AQ113" s="90">
        <v>700</v>
      </c>
      <c r="AR113" s="90">
        <v>387</v>
      </c>
      <c r="AS113" s="11">
        <f>AR113*AQ113*(AE131/1000)</f>
        <v>2824.8856477449194</v>
      </c>
      <c r="AT113" s="11">
        <v>1</v>
      </c>
      <c r="AU113" s="11">
        <f>AS113*AT113</f>
        <v>2824.8856477449194</v>
      </c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11" t="s">
        <v>196</v>
      </c>
      <c r="BH113" s="90" t="s">
        <v>130</v>
      </c>
      <c r="BI113" s="90">
        <f>1660+995</f>
        <v>2655</v>
      </c>
      <c r="BJ113" s="11">
        <f>BI113*Btu_to_kJ</f>
        <v>2801.1843000000003</v>
      </c>
      <c r="BK113" s="11">
        <f>BJ113*($AX$131/1000)</f>
        <v>29.210134092869691</v>
      </c>
      <c r="BL113" s="11">
        <v>1</v>
      </c>
      <c r="BM113" s="11">
        <f>BK113*BL113</f>
        <v>29.210134092869691</v>
      </c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CI113" s="5"/>
      <c r="CJ113" s="5"/>
      <c r="CK113" s="5"/>
      <c r="CL113" s="5"/>
      <c r="CM113" s="5"/>
      <c r="CN113" s="5"/>
      <c r="CO113" s="5"/>
      <c r="CP113" s="5"/>
      <c r="CQ113" s="5"/>
      <c r="CR113" s="89"/>
      <c r="CS113" s="89"/>
      <c r="CT113" s="89"/>
      <c r="CU113" s="5"/>
      <c r="CV113" s="84" t="s">
        <v>252</v>
      </c>
      <c r="CW113" s="85" t="s">
        <v>253</v>
      </c>
      <c r="CX113" s="5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8" t="s">
        <v>83</v>
      </c>
      <c r="EM113" s="47" t="s">
        <v>87</v>
      </c>
    </row>
    <row r="114" spans="5:176" ht="17" thickBot="1" x14ac:dyDescent="0.25">
      <c r="P114" s="382"/>
      <c r="Q114" s="112" t="s">
        <v>47</v>
      </c>
      <c r="T114" s="4"/>
      <c r="U114" s="4"/>
      <c r="V114" s="4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11" t="s">
        <v>196</v>
      </c>
      <c r="BH114" s="90" t="s">
        <v>180</v>
      </c>
      <c r="BI114" s="90">
        <v>332</v>
      </c>
      <c r="BJ114" s="11">
        <f>BI114*Btu_to_kJ</f>
        <v>350.27992000000006</v>
      </c>
      <c r="BK114" s="11">
        <f>BJ114*($AX$131/1000)</f>
        <v>3.6526420033268314</v>
      </c>
      <c r="BL114" s="11">
        <v>1</v>
      </c>
      <c r="BM114" s="11">
        <f t="shared" ref="BM114:BM115" si="44">BK114*BL114</f>
        <v>3.6526420033268314</v>
      </c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CI114" s="5"/>
      <c r="CJ114" s="5"/>
      <c r="CK114" s="5"/>
      <c r="CL114" s="5"/>
      <c r="CM114" s="5"/>
      <c r="CN114" s="5"/>
      <c r="CO114" s="5"/>
      <c r="CP114" s="5"/>
      <c r="CQ114" s="5"/>
      <c r="CR114" s="89" t="s">
        <v>427</v>
      </c>
      <c r="CS114" s="89"/>
      <c r="CT114" s="89"/>
      <c r="CU114" s="5"/>
      <c r="CV114" s="98">
        <f>CL119</f>
        <v>4.9847525450981189</v>
      </c>
      <c r="CW114" s="99">
        <f>CW119</f>
        <v>7739.2511800711582</v>
      </c>
      <c r="CX114" s="89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377</v>
      </c>
      <c r="EI114" s="4"/>
      <c r="EJ114" s="4"/>
      <c r="EK114" s="4"/>
      <c r="EL114" s="40">
        <f>EC119</f>
        <v>44.927545117863247</v>
      </c>
      <c r="EM114" s="38">
        <f>EM119</f>
        <v>2329445.3092260091</v>
      </c>
      <c r="EP114" s="405" t="s">
        <v>352</v>
      </c>
      <c r="EQ114" s="405"/>
      <c r="ER114" s="405"/>
      <c r="ES114" s="405"/>
      <c r="ET114" s="405"/>
      <c r="EU114" s="405"/>
    </row>
    <row r="115" spans="5:176" ht="16" x14ac:dyDescent="0.2">
      <c r="P115" s="115" t="s">
        <v>266</v>
      </c>
      <c r="Q115" s="112">
        <f>(($N$130*($U$130-0)))</f>
        <v>20693.323881806569</v>
      </c>
      <c r="T115" s="4"/>
      <c r="U115" s="4"/>
      <c r="V115" s="4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11" t="s">
        <v>196</v>
      </c>
      <c r="BH115" s="90" t="s">
        <v>190</v>
      </c>
      <c r="BI115" s="90">
        <v>165</v>
      </c>
      <c r="BJ115" s="11">
        <f>BI115*Btu_to_kJ</f>
        <v>174.0849</v>
      </c>
      <c r="BK115" s="11">
        <f>BJ115*($AX$131/1000)</f>
        <v>1.8153190679184552</v>
      </c>
      <c r="BL115" s="11">
        <v>1</v>
      </c>
      <c r="BM115" s="11">
        <f t="shared" si="44"/>
        <v>1.8153190679184552</v>
      </c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CI115" s="5"/>
      <c r="CJ115" s="5"/>
      <c r="CK115" s="5"/>
      <c r="CL115" s="5"/>
      <c r="CM115" s="5"/>
      <c r="CN115" s="5"/>
      <c r="CO115" s="5"/>
      <c r="CP115" s="5"/>
      <c r="CQ115" s="5"/>
      <c r="CR115" s="89"/>
      <c r="CS115" s="89"/>
      <c r="CT115" s="5"/>
      <c r="CU115" s="5"/>
      <c r="CV115" s="89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1" t="s">
        <v>195</v>
      </c>
      <c r="EQ115" s="90" t="s">
        <v>166</v>
      </c>
      <c r="ER115" s="90" t="s">
        <v>166</v>
      </c>
      <c r="ES115" s="90" t="s">
        <v>166</v>
      </c>
      <c r="ET115" s="91" t="s">
        <v>250</v>
      </c>
      <c r="EU115" s="90" t="s">
        <v>244</v>
      </c>
    </row>
    <row r="116" spans="5:176" ht="19.25" customHeight="1" thickBot="1" x14ac:dyDescent="0.3">
      <c r="N116" s="5"/>
      <c r="O116" s="5"/>
      <c r="P116" s="115" t="s">
        <v>489</v>
      </c>
      <c r="Q116" s="112">
        <f>V126</f>
        <v>25297.051877142174</v>
      </c>
      <c r="T116" s="4"/>
      <c r="U116" s="4"/>
      <c r="V116" s="4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11"/>
      <c r="BH116" s="90" t="s">
        <v>18</v>
      </c>
      <c r="BI116" s="90">
        <f>SUM(BI113:BI115)</f>
        <v>3152</v>
      </c>
      <c r="BJ116" s="90">
        <f>SUM(BJ113:BJ115)</f>
        <v>3325.5491200000001</v>
      </c>
      <c r="BK116" s="90">
        <f>SUM(BK113:BK115)</f>
        <v>34.678095164114971</v>
      </c>
      <c r="BL116" s="90"/>
      <c r="BM116" s="90">
        <f>SUM(BM113:BM115)</f>
        <v>34.678095164114971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CI116" s="5"/>
      <c r="CJ116" s="5"/>
      <c r="CK116" s="4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5"/>
      <c r="CY116" s="4"/>
      <c r="DB116" s="4"/>
      <c r="DC116" s="4"/>
      <c r="DT116" s="384" t="s">
        <v>376</v>
      </c>
      <c r="DU116" s="384"/>
      <c r="DV116" s="384"/>
      <c r="DW116" s="384"/>
      <c r="DX116" s="384"/>
      <c r="DY116" s="384"/>
      <c r="EA116" s="4"/>
      <c r="EB116" s="3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1" t="s">
        <v>91</v>
      </c>
      <c r="EQ116" s="90" t="s">
        <v>161</v>
      </c>
      <c r="ER116" s="90" t="s">
        <v>256</v>
      </c>
      <c r="ES116" s="90" t="s">
        <v>47</v>
      </c>
      <c r="ET116" s="91" t="s">
        <v>91</v>
      </c>
      <c r="EU116" s="90" t="s">
        <v>47</v>
      </c>
    </row>
    <row r="117" spans="5:176" ht="19" thickBot="1" x14ac:dyDescent="0.3">
      <c r="N117" s="5"/>
      <c r="O117" s="5"/>
      <c r="P117" s="116" t="s">
        <v>268</v>
      </c>
      <c r="Q117" s="113">
        <f>V130</f>
        <v>21986.192727413487</v>
      </c>
      <c r="T117" s="4"/>
      <c r="U117" s="4"/>
      <c r="V117" s="4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CI117" s="5"/>
      <c r="CJ117" s="5"/>
      <c r="CK117" s="4" t="s">
        <v>40</v>
      </c>
      <c r="CL117" s="1" t="s">
        <v>82</v>
      </c>
      <c r="CM117" s="4" t="s">
        <v>213</v>
      </c>
      <c r="CN117" s="2" t="s">
        <v>84</v>
      </c>
      <c r="CO117" s="2" t="s">
        <v>80</v>
      </c>
      <c r="CP117" s="1" t="s">
        <v>89</v>
      </c>
      <c r="CQ117" s="2" t="s">
        <v>89</v>
      </c>
      <c r="CR117" s="2" t="s">
        <v>24</v>
      </c>
      <c r="CS117" s="2" t="s">
        <v>91</v>
      </c>
      <c r="CT117" s="2" t="s">
        <v>89</v>
      </c>
      <c r="CU117" s="2" t="s">
        <v>89</v>
      </c>
      <c r="CV117" s="2" t="s">
        <v>88</v>
      </c>
      <c r="CW117" s="2" t="s">
        <v>86</v>
      </c>
      <c r="CX117" s="5"/>
      <c r="CY117" s="4"/>
      <c r="CZ117" s="4"/>
      <c r="DA117" s="4"/>
      <c r="DD117" s="4"/>
      <c r="DE117" s="4"/>
      <c r="DT117" s="397"/>
      <c r="DU117" s="397"/>
      <c r="DV117" s="397"/>
      <c r="DW117" s="397"/>
      <c r="DX117" s="397"/>
      <c r="DY117" s="397"/>
      <c r="EA117" s="4" t="s">
        <v>40</v>
      </c>
      <c r="EB117" s="3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1" t="s">
        <v>196</v>
      </c>
      <c r="EQ117" s="90">
        <f>0.23*10^6</f>
        <v>230000</v>
      </c>
      <c r="ER117" s="11">
        <f>EQ117*Btu_to_kJ</f>
        <v>242663.80000000002</v>
      </c>
      <c r="ES117" s="11">
        <f>ER117*($EL$126/1000)</f>
        <v>318930.1042317453</v>
      </c>
      <c r="ET117" s="230">
        <v>1</v>
      </c>
      <c r="EU117" s="232">
        <f t="shared" ref="EU117" si="45">ES117*ET117</f>
        <v>318930.1042317453</v>
      </c>
    </row>
    <row r="118" spans="5:176" ht="17" x14ac:dyDescent="0.25">
      <c r="T118" s="4"/>
      <c r="U118" s="4"/>
      <c r="V118" s="4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V118" s="1"/>
      <c r="BW118" s="1"/>
      <c r="BX118" s="1"/>
      <c r="CI118" s="5"/>
      <c r="CJ118" s="217" t="s">
        <v>427</v>
      </c>
      <c r="CK118" s="88" t="s">
        <v>132</v>
      </c>
      <c r="CL118" s="26">
        <f>MgO_out</f>
        <v>4.9847525450981189</v>
      </c>
      <c r="CM118" s="26">
        <v>1</v>
      </c>
      <c r="CN118" s="26">
        <f>MW_MgO</f>
        <v>4.0304400000000004E-2</v>
      </c>
      <c r="CO118" s="26">
        <f>CL118/CN118</f>
        <v>123.67762688684408</v>
      </c>
      <c r="CP118" s="26">
        <f>h_MgO</f>
        <v>-601.6</v>
      </c>
      <c r="CQ118" s="26">
        <f>b_ch_MgO</f>
        <v>62.576000000000022</v>
      </c>
      <c r="CR118" s="101">
        <f>CO118/CO119</f>
        <v>1</v>
      </c>
      <c r="CS118" s="101">
        <f>LN(CR118)</f>
        <v>0</v>
      </c>
      <c r="CT118" s="101">
        <f>RT0*CS118</f>
        <v>0</v>
      </c>
      <c r="CU118" s="26">
        <f>CT118+CQ118</f>
        <v>62.576000000000022</v>
      </c>
      <c r="CV118" s="26">
        <f>CU118*CR118</f>
        <v>62.576000000000022</v>
      </c>
      <c r="CW118" s="101">
        <f>CV118*CO119</f>
        <v>7739.2511800711582</v>
      </c>
      <c r="CX118" s="89"/>
      <c r="CY118" s="4"/>
      <c r="CZ118" s="4"/>
      <c r="DA118" s="4"/>
      <c r="DB118" s="4"/>
      <c r="DE118" s="4"/>
      <c r="DF118" s="4"/>
      <c r="DT118" s="11" t="s">
        <v>195</v>
      </c>
      <c r="DU118" s="90" t="s">
        <v>166</v>
      </c>
      <c r="DV118" s="90" t="s">
        <v>166</v>
      </c>
      <c r="DW118" s="90" t="s">
        <v>166</v>
      </c>
      <c r="DX118" s="91" t="s">
        <v>250</v>
      </c>
      <c r="DY118" s="90" t="s">
        <v>244</v>
      </c>
      <c r="DZ118" s="189" t="s">
        <v>377</v>
      </c>
      <c r="EA118" s="72" t="s">
        <v>64</v>
      </c>
      <c r="EB118" s="13">
        <f>DW120</f>
        <v>2246377.2558931625</v>
      </c>
      <c r="EC118" s="13">
        <f>EB118/LHV_CH4</f>
        <v>44.927545117863247</v>
      </c>
      <c r="ED118" s="13">
        <f>MW_CH4</f>
        <v>1.604276E-2</v>
      </c>
      <c r="EE118" s="13">
        <f>EC118/ED118</f>
        <v>2800.4872676436753</v>
      </c>
      <c r="EF118" s="26">
        <f>h_CH4</f>
        <v>-74.599999999999994</v>
      </c>
      <c r="EG118" s="13">
        <f>b_ch_CH4</f>
        <v>831.8</v>
      </c>
      <c r="EH118" s="13">
        <f>EE118/EE119</f>
        <v>1</v>
      </c>
      <c r="EI118" s="13">
        <f>LN(EH118)</f>
        <v>0</v>
      </c>
      <c r="EJ118" s="13">
        <f>RT0*EI118</f>
        <v>0</v>
      </c>
      <c r="EK118" s="13">
        <f>EJ118+EG118</f>
        <v>831.8</v>
      </c>
      <c r="EL118" s="13">
        <f>EH118*EK118</f>
        <v>831.8</v>
      </c>
      <c r="EM118" s="13">
        <f>EL118*EE119</f>
        <v>2329445.3092260091</v>
      </c>
    </row>
    <row r="119" spans="5:176" ht="18" x14ac:dyDescent="0.25">
      <c r="T119" s="4"/>
      <c r="U119" s="4"/>
      <c r="V119" s="4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89"/>
      <c r="BF119" s="89"/>
      <c r="BG119" s="89"/>
      <c r="BH119" s="89"/>
      <c r="BI119" s="89"/>
      <c r="BJ119" s="89"/>
      <c r="BK119" s="89"/>
      <c r="BL119" s="89"/>
      <c r="BM119" s="5"/>
      <c r="BN119" s="5"/>
      <c r="BO119" s="5"/>
      <c r="BP119" s="5"/>
      <c r="BQ119" s="5"/>
      <c r="BR119" s="5"/>
      <c r="BS119" s="5"/>
      <c r="BV119" s="1"/>
      <c r="BW119" s="1"/>
      <c r="BX119" s="1"/>
      <c r="BY119" s="4"/>
      <c r="CI119" s="5"/>
      <c r="CJ119" s="89"/>
      <c r="CK119" s="5" t="s">
        <v>18</v>
      </c>
      <c r="CL119" s="5">
        <f>SUM(CL118)</f>
        <v>4.9847525450981189</v>
      </c>
      <c r="CM119" s="5"/>
      <c r="CN119" s="5">
        <f>SUM(CN118)</f>
        <v>4.0304400000000004E-2</v>
      </c>
      <c r="CO119" s="5">
        <f>SUM(CO118)</f>
        <v>123.67762688684408</v>
      </c>
      <c r="CP119" s="5">
        <f>SUM(CP118)</f>
        <v>-601.6</v>
      </c>
      <c r="CQ119" s="5"/>
      <c r="CR119" s="5"/>
      <c r="CS119" s="89"/>
      <c r="CT119" s="89"/>
      <c r="CU119" s="5"/>
      <c r="CV119" s="5">
        <f>SUM(CV118)</f>
        <v>62.576000000000022</v>
      </c>
      <c r="CW119" s="5">
        <f>SUM(CW118)</f>
        <v>7739.2511800711582</v>
      </c>
      <c r="CX119" s="5"/>
      <c r="CY119" s="4"/>
      <c r="CZ119" s="4"/>
      <c r="DA119" s="4"/>
      <c r="DB119" s="4"/>
      <c r="DE119" s="4"/>
      <c r="DF119" s="4"/>
      <c r="DT119" s="11" t="s">
        <v>91</v>
      </c>
      <c r="DU119" s="90" t="s">
        <v>161</v>
      </c>
      <c r="DV119" s="90" t="s">
        <v>256</v>
      </c>
      <c r="DW119" s="90" t="s">
        <v>47</v>
      </c>
      <c r="DX119" s="91" t="s">
        <v>91</v>
      </c>
      <c r="DY119" s="90" t="s">
        <v>47</v>
      </c>
      <c r="EA119" s="13" t="s">
        <v>18</v>
      </c>
      <c r="EB119" s="13">
        <f>SUM(EB118)</f>
        <v>2246377.2558931625</v>
      </c>
      <c r="EC119" s="13">
        <f>SUM(EC118)</f>
        <v>44.927545117863247</v>
      </c>
      <c r="ED119" s="13">
        <f>SUM(ED118)</f>
        <v>1.604276E-2</v>
      </c>
      <c r="EE119" s="13">
        <f>SUM(EE118)</f>
        <v>2800.4872676436753</v>
      </c>
      <c r="EF119" s="5">
        <f>SUM(EF118)</f>
        <v>-74.599999999999994</v>
      </c>
      <c r="EG119" s="13"/>
      <c r="EH119" s="13"/>
      <c r="EI119" s="13"/>
      <c r="EJ119" s="13"/>
      <c r="EK119" s="13"/>
      <c r="EL119" s="13">
        <f>SUM(EL118)</f>
        <v>831.8</v>
      </c>
      <c r="EM119" s="13">
        <f>SUM(EM118)</f>
        <v>2329445.3092260091</v>
      </c>
    </row>
    <row r="120" spans="5:176" ht="18" x14ac:dyDescent="0.25">
      <c r="T120" s="4"/>
      <c r="U120" s="4"/>
      <c r="V120" s="4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4"/>
      <c r="BX120" s="5"/>
      <c r="BY120" s="5"/>
      <c r="CE120" s="3" t="s">
        <v>316</v>
      </c>
      <c r="CI120" s="5"/>
      <c r="CJ120" s="5"/>
      <c r="CK120" s="5"/>
      <c r="CL120" s="5" t="s">
        <v>252</v>
      </c>
      <c r="CM120" s="5"/>
      <c r="CN120" s="89" t="s">
        <v>258</v>
      </c>
      <c r="CO120" s="89" t="s">
        <v>259</v>
      </c>
      <c r="CP120" s="1" t="s">
        <v>510</v>
      </c>
      <c r="CQ120" s="5"/>
      <c r="CR120" s="5"/>
      <c r="CS120" s="89"/>
      <c r="CT120" s="89"/>
      <c r="CU120" s="89"/>
      <c r="CV120" s="89" t="s">
        <v>260</v>
      </c>
      <c r="CW120" s="5" t="s">
        <v>253</v>
      </c>
      <c r="CX120" s="5"/>
      <c r="CY120" s="4"/>
      <c r="CZ120" s="4"/>
      <c r="DA120" s="4"/>
      <c r="DB120" s="4"/>
      <c r="DE120" s="4"/>
      <c r="DF120" s="4"/>
      <c r="DT120" s="11" t="s">
        <v>218</v>
      </c>
      <c r="DU120" s="90">
        <f>1.62*10^6</f>
        <v>1620000</v>
      </c>
      <c r="DV120" s="11">
        <f>DU120*Btu_to_kJ</f>
        <v>1709197.2000000002</v>
      </c>
      <c r="DW120" s="11">
        <f>DV120*($EL$126/1000)</f>
        <v>2246377.2558931625</v>
      </c>
      <c r="DX120" s="11">
        <v>1.04</v>
      </c>
      <c r="DY120" s="11">
        <f>DW120*DX120</f>
        <v>2336232.3461288889</v>
      </c>
      <c r="EB120" s="3" t="s">
        <v>47</v>
      </c>
      <c r="EC120" s="1" t="s">
        <v>83</v>
      </c>
      <c r="ED120" s="3" t="s">
        <v>85</v>
      </c>
      <c r="EE120" s="3" t="s">
        <v>81</v>
      </c>
      <c r="EF120" s="1" t="s">
        <v>510</v>
      </c>
      <c r="EG120" s="4"/>
      <c r="EH120" s="4"/>
      <c r="EL120" s="3" t="s">
        <v>90</v>
      </c>
      <c r="EM120" s="1" t="s">
        <v>87</v>
      </c>
    </row>
    <row r="121" spans="5:176" ht="19.25" customHeight="1" x14ac:dyDescent="0.2">
      <c r="T121" s="4"/>
      <c r="U121" s="4"/>
      <c r="V121" s="4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12" t="s">
        <v>317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89"/>
      <c r="X123" s="5"/>
      <c r="Y123" s="89"/>
      <c r="Z123" s="89"/>
      <c r="AA123" s="89"/>
      <c r="AB123" s="89"/>
      <c r="AC123" s="89"/>
      <c r="AD123" s="5"/>
      <c r="AE123" s="5"/>
      <c r="AF123" s="5"/>
      <c r="AG123" s="5"/>
      <c r="AH123" s="5"/>
      <c r="AI123" s="5"/>
      <c r="AJ123" s="92" t="s">
        <v>249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86" t="s">
        <v>265</v>
      </c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9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94" t="s">
        <v>1</v>
      </c>
      <c r="V124" s="95" t="s">
        <v>0</v>
      </c>
      <c r="W124" s="5"/>
      <c r="X124" s="3" t="s">
        <v>198</v>
      </c>
      <c r="Y124" s="4"/>
      <c r="Z124" s="5"/>
      <c r="AA124" s="5"/>
      <c r="AB124" s="5"/>
      <c r="AC124" s="5"/>
      <c r="AD124" s="92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94" t="s">
        <v>1</v>
      </c>
      <c r="AP124" s="95" t="s">
        <v>0</v>
      </c>
      <c r="AQ124" s="5"/>
      <c r="AR124" s="5"/>
      <c r="AS124" s="5"/>
      <c r="AT124" s="5"/>
      <c r="AU124" s="5"/>
      <c r="AV124" s="5"/>
      <c r="AW124" s="92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94" t="s">
        <v>1</v>
      </c>
      <c r="BI124" s="95" t="s">
        <v>0</v>
      </c>
      <c r="BJ124" s="5"/>
      <c r="BK124" s="5"/>
      <c r="BL124" s="5"/>
      <c r="BM124" s="5"/>
      <c r="BN124" s="5"/>
      <c r="BO124" s="5"/>
      <c r="BP124" s="92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94" t="s">
        <v>1</v>
      </c>
      <c r="CB124" s="95" t="s">
        <v>0</v>
      </c>
      <c r="CC124" s="89"/>
      <c r="CD124" s="89"/>
      <c r="CE124" s="109" t="s">
        <v>62</v>
      </c>
      <c r="CF124" s="89"/>
      <c r="CG124" s="89"/>
      <c r="CH124" s="89"/>
      <c r="CI124" s="89"/>
      <c r="CJ124" s="89"/>
      <c r="CK124" s="5"/>
      <c r="CL124" s="5"/>
      <c r="CM124" s="5"/>
      <c r="CN124" s="5"/>
      <c r="CO124" s="5"/>
      <c r="CP124" s="5"/>
      <c r="CQ124" s="5"/>
      <c r="CR124" s="5"/>
      <c r="CS124" s="89"/>
      <c r="CT124" s="89"/>
      <c r="CU124" s="5"/>
      <c r="CV124" s="94" t="s">
        <v>1</v>
      </c>
      <c r="CW124" s="95" t="s">
        <v>0</v>
      </c>
      <c r="EL124" s="46" t="s">
        <v>1</v>
      </c>
      <c r="EM124" s="42" t="s">
        <v>0</v>
      </c>
      <c r="EY124" s="1"/>
      <c r="EZ124" s="1"/>
      <c r="FA124" s="1"/>
      <c r="FB124" s="1"/>
      <c r="FC124" s="1"/>
      <c r="FL124" s="46" t="s">
        <v>1</v>
      </c>
      <c r="FM124" s="42" t="s">
        <v>0</v>
      </c>
    </row>
    <row r="125" spans="5:176" ht="19" thickBot="1" x14ac:dyDescent="0.3">
      <c r="J125" s="5"/>
      <c r="K125" s="96"/>
      <c r="L125" s="5"/>
      <c r="M125" s="5"/>
      <c r="N125" s="5"/>
      <c r="O125" s="5"/>
      <c r="P125" s="5"/>
      <c r="Q125" s="5"/>
      <c r="R125" s="5"/>
      <c r="S125" s="5"/>
      <c r="T125" s="5"/>
      <c r="U125" s="84" t="s">
        <v>252</v>
      </c>
      <c r="V125" s="85" t="s">
        <v>253</v>
      </c>
      <c r="W125" s="5"/>
      <c r="X125" s="12" t="s">
        <v>199</v>
      </c>
      <c r="Y125" s="4" t="s">
        <v>200</v>
      </c>
      <c r="Z125" s="5"/>
      <c r="AA125" s="5"/>
      <c r="AB125" s="5"/>
      <c r="AC125" s="5"/>
      <c r="AD125" s="5"/>
      <c r="AE125" s="96"/>
      <c r="AF125" s="5"/>
      <c r="AG125" s="5"/>
      <c r="AH125" s="5"/>
      <c r="AI125" s="5"/>
      <c r="AJ125" s="5"/>
      <c r="AK125" s="5"/>
      <c r="AL125" s="5"/>
      <c r="AM125" s="5"/>
      <c r="AN125" s="5"/>
      <c r="AO125" s="84" t="s">
        <v>252</v>
      </c>
      <c r="AP125" s="85" t="s">
        <v>253</v>
      </c>
      <c r="AQ125" s="5"/>
      <c r="AR125" s="5"/>
      <c r="AS125" s="5"/>
      <c r="AT125" s="5"/>
      <c r="AU125" s="5"/>
      <c r="AV125" s="5"/>
      <c r="AW125" s="5"/>
      <c r="AX125" s="96"/>
      <c r="AY125" s="5"/>
      <c r="AZ125" s="5"/>
      <c r="BA125" s="5"/>
      <c r="BB125" s="5"/>
      <c r="BC125" s="5"/>
      <c r="BD125" s="5"/>
      <c r="BE125" s="5"/>
      <c r="BF125" s="5"/>
      <c r="BG125" s="5"/>
      <c r="BH125" s="84" t="s">
        <v>252</v>
      </c>
      <c r="BI125" s="85" t="s">
        <v>253</v>
      </c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84" t="s">
        <v>252</v>
      </c>
      <c r="CB125" s="85" t="s">
        <v>253</v>
      </c>
      <c r="CC125" s="89"/>
      <c r="CD125" s="89"/>
      <c r="CE125" s="110">
        <v>1173.1500000000001</v>
      </c>
      <c r="CF125" s="89"/>
      <c r="CG125" s="89"/>
      <c r="CH125" s="89"/>
      <c r="CI125" s="89"/>
      <c r="CJ125" s="89"/>
      <c r="CK125" s="5"/>
      <c r="CL125" s="5"/>
      <c r="CM125" s="5"/>
      <c r="CN125" s="5"/>
      <c r="CO125" s="5"/>
      <c r="CP125" s="5"/>
      <c r="CQ125" s="5"/>
      <c r="CR125" s="5" t="s">
        <v>425</v>
      </c>
      <c r="CS125" s="89"/>
      <c r="CT125" s="89"/>
      <c r="CU125" s="5"/>
      <c r="CV125" s="84" t="s">
        <v>252</v>
      </c>
      <c r="CW125" s="85" t="s">
        <v>253</v>
      </c>
      <c r="EL125" s="48" t="s">
        <v>83</v>
      </c>
      <c r="EM125" s="47" t="s">
        <v>87</v>
      </c>
      <c r="EY125" s="1"/>
      <c r="EZ125" s="1"/>
      <c r="FA125" s="1"/>
      <c r="FB125" s="1"/>
      <c r="FC125" s="1"/>
      <c r="FL125" s="48" t="s">
        <v>83</v>
      </c>
      <c r="FM125" s="47" t="s">
        <v>87</v>
      </c>
    </row>
    <row r="126" spans="5:176" ht="16.25" customHeight="1" thickBot="1" x14ac:dyDescent="0.25">
      <c r="E126" s="398" t="s">
        <v>413</v>
      </c>
      <c r="F126" s="398"/>
      <c r="G126" s="398"/>
      <c r="H126" s="398"/>
      <c r="J126" s="5"/>
      <c r="K126" s="97"/>
      <c r="L126" s="5"/>
      <c r="M126" s="5"/>
      <c r="N126" s="5"/>
      <c r="O126" s="5"/>
      <c r="P126" s="5"/>
      <c r="Q126" s="5" t="s">
        <v>335</v>
      </c>
      <c r="R126" s="5"/>
      <c r="S126" s="5"/>
      <c r="T126" s="5"/>
      <c r="U126" s="98">
        <f>K132</f>
        <v>208.55560337725498</v>
      </c>
      <c r="V126" s="99">
        <f>V132</f>
        <v>25297.051877142174</v>
      </c>
      <c r="W126" s="406" t="s">
        <v>326</v>
      </c>
      <c r="X126" s="406"/>
      <c r="Y126" s="406"/>
      <c r="Z126" s="406"/>
      <c r="AA126" s="406"/>
      <c r="AB126" s="5"/>
      <c r="AC126" s="5"/>
      <c r="AD126" s="5"/>
      <c r="AE126" s="97"/>
      <c r="AF126" s="5"/>
      <c r="AG126" s="5"/>
      <c r="AH126" s="5"/>
      <c r="AI126" s="5"/>
      <c r="AJ126" s="5"/>
      <c r="AK126" s="5" t="s">
        <v>412</v>
      </c>
      <c r="AL126" s="5"/>
      <c r="AM126" s="5"/>
      <c r="AN126" s="5"/>
      <c r="AO126" s="98">
        <f>AE132</f>
        <v>208.55560337725498</v>
      </c>
      <c r="AP126" s="99">
        <f>AP132</f>
        <v>25297.051877142174</v>
      </c>
      <c r="AQ126" s="406" t="s">
        <v>435</v>
      </c>
      <c r="AR126" s="406"/>
      <c r="AS126" s="406"/>
      <c r="AT126" s="406"/>
      <c r="AU126" s="406"/>
      <c r="AV126" s="5"/>
      <c r="AW126" s="5"/>
      <c r="AX126" s="97"/>
      <c r="AY126" s="5"/>
      <c r="AZ126" s="5"/>
      <c r="BA126" s="5"/>
      <c r="BB126" s="5"/>
      <c r="BC126" s="5"/>
      <c r="BD126" s="5" t="s">
        <v>436</v>
      </c>
      <c r="BE126" s="5"/>
      <c r="BF126" s="5"/>
      <c r="BG126" s="5"/>
      <c r="BH126" s="98">
        <f>AX132</f>
        <v>208.55560337725498</v>
      </c>
      <c r="BI126" s="99">
        <f>BI132</f>
        <v>25297.051877142174</v>
      </c>
      <c r="BJ126" s="406" t="s">
        <v>348</v>
      </c>
      <c r="BK126" s="406"/>
      <c r="BL126" s="406"/>
      <c r="BM126" s="406"/>
      <c r="BN126" s="406"/>
      <c r="BO126" s="5"/>
      <c r="BP126" s="5"/>
      <c r="BQ126" s="97"/>
      <c r="BR126" s="5"/>
      <c r="BS126" s="5"/>
      <c r="BT126" s="5"/>
      <c r="BU126" s="5"/>
      <c r="BV126" s="5"/>
      <c r="BW126" s="5" t="s">
        <v>382</v>
      </c>
      <c r="BX126" s="5"/>
      <c r="BY126" s="5"/>
      <c r="BZ126" s="5"/>
      <c r="CA126" s="98">
        <f>BQ132</f>
        <v>208.55560337725498</v>
      </c>
      <c r="CB126" s="99">
        <f>CB132</f>
        <v>25297.051877142174</v>
      </c>
      <c r="CC126" s="406" t="s">
        <v>349</v>
      </c>
      <c r="CD126" s="406"/>
      <c r="CE126" s="406"/>
      <c r="CF126" s="406"/>
      <c r="CG126" s="406"/>
      <c r="CH126" s="5"/>
      <c r="CI126" s="5"/>
      <c r="CJ126" s="89"/>
      <c r="CK126" s="5"/>
      <c r="CL126" s="5"/>
      <c r="CM126" s="5"/>
      <c r="CN126" s="5"/>
      <c r="CO126" s="5"/>
      <c r="CP126" s="5"/>
      <c r="CQ126" s="5"/>
      <c r="CR126" s="5"/>
      <c r="CS126" s="89"/>
      <c r="CT126" s="89"/>
      <c r="CU126" s="5"/>
      <c r="CV126" s="98">
        <f>CL131</f>
        <v>111.00813284002646</v>
      </c>
      <c r="CW126" s="99">
        <f>CW131</f>
        <v>242016.07607977447</v>
      </c>
      <c r="DS126" s="393" t="s">
        <v>76</v>
      </c>
      <c r="DT126" s="393"/>
      <c r="DU126" s="393"/>
      <c r="DV126" s="393"/>
      <c r="DW126" s="393"/>
      <c r="DX126" s="393"/>
      <c r="DY126" s="393"/>
      <c r="EG126" s="3" t="s">
        <v>445</v>
      </c>
      <c r="EL126" s="143">
        <f>EB134</f>
        <v>1314.2879334772852</v>
      </c>
      <c r="EM126" s="144">
        <f>EM134</f>
        <v>6682782.3361421349</v>
      </c>
      <c r="EN126" s="383" t="s">
        <v>337</v>
      </c>
      <c r="EO126" s="383"/>
      <c r="EP126" s="383"/>
      <c r="EQ126" s="383"/>
      <c r="ER126" s="383"/>
      <c r="ES126" s="383"/>
      <c r="ET126" s="383"/>
      <c r="EY126" s="1"/>
      <c r="EZ126" s="1"/>
      <c r="FA126" s="1"/>
      <c r="FB126" s="1"/>
      <c r="FC126" s="1"/>
      <c r="FD126" s="1"/>
      <c r="FE126" s="3" t="s">
        <v>446</v>
      </c>
      <c r="FL126" s="40">
        <f>FB131</f>
        <v>616.23583583508366</v>
      </c>
      <c r="FM126" s="38">
        <f>FM131</f>
        <v>4157895.2984628798</v>
      </c>
      <c r="FN126" s="383" t="s">
        <v>331</v>
      </c>
      <c r="FO126" s="383"/>
      <c r="FP126" s="383"/>
      <c r="FQ126" s="383"/>
      <c r="FR126" s="383"/>
      <c r="FS126" s="383"/>
      <c r="FT126" s="383"/>
    </row>
    <row r="127" spans="5:176" ht="16.25" customHeight="1" thickBot="1" x14ac:dyDescent="0.25">
      <c r="E127" s="398"/>
      <c r="F127" s="398"/>
      <c r="G127" s="398"/>
      <c r="H127" s="398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07"/>
      <c r="X127" s="407"/>
      <c r="Y127" s="407"/>
      <c r="Z127" s="407"/>
      <c r="AA127" s="407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406"/>
      <c r="AR127" s="406"/>
      <c r="AS127" s="406"/>
      <c r="AT127" s="406"/>
      <c r="AU127" s="406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406"/>
      <c r="BK127" s="406"/>
      <c r="BL127" s="406"/>
      <c r="BM127" s="406"/>
      <c r="BN127" s="406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406"/>
      <c r="CD127" s="406"/>
      <c r="CE127" s="406"/>
      <c r="CF127" s="406"/>
      <c r="CG127" s="406"/>
      <c r="CH127" s="89"/>
      <c r="CI127" s="89"/>
      <c r="CJ127" s="89"/>
      <c r="CK127" s="5"/>
      <c r="CL127" s="5"/>
      <c r="CM127" s="5"/>
      <c r="CN127" s="5"/>
      <c r="CO127" s="5"/>
      <c r="CP127" s="5"/>
      <c r="CQ127" s="5"/>
      <c r="CR127" s="5"/>
      <c r="CS127" s="89"/>
      <c r="CT127" s="89"/>
      <c r="CU127" s="5"/>
      <c r="CV127" s="5"/>
      <c r="CW127" s="89"/>
      <c r="DS127" s="393"/>
      <c r="DT127" s="393"/>
      <c r="DU127" s="393"/>
      <c r="DV127" s="393"/>
      <c r="DW127" s="393"/>
      <c r="DX127" s="393"/>
      <c r="DY127" s="393"/>
      <c r="EN127" s="383"/>
      <c r="EO127" s="383"/>
      <c r="EP127" s="383"/>
      <c r="EQ127" s="383"/>
      <c r="ER127" s="383"/>
      <c r="ES127" s="383"/>
      <c r="ET127" s="383"/>
      <c r="EY127" s="1"/>
      <c r="EZ127" s="1"/>
      <c r="FA127" s="1"/>
      <c r="FB127" s="1"/>
      <c r="FC127" s="1"/>
      <c r="FD127" s="1"/>
      <c r="FE127" s="1"/>
      <c r="FF127" s="1"/>
      <c r="FG127" s="1"/>
      <c r="FN127" s="383"/>
      <c r="FO127" s="383"/>
      <c r="FP127" s="383"/>
      <c r="FQ127" s="383"/>
      <c r="FR127" s="383"/>
      <c r="FS127" s="383"/>
      <c r="FT127" s="383"/>
    </row>
    <row r="128" spans="5:176" ht="19.75" customHeight="1" thickBot="1" x14ac:dyDescent="0.3">
      <c r="J128" s="4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7" t="s">
        <v>339</v>
      </c>
      <c r="X128" s="77" t="s">
        <v>379</v>
      </c>
      <c r="Y128" s="111" t="s">
        <v>273</v>
      </c>
      <c r="Z128" s="381" t="s">
        <v>269</v>
      </c>
      <c r="AA128" s="114" t="s">
        <v>245</v>
      </c>
      <c r="AB128" s="1"/>
      <c r="AC128" s="5"/>
      <c r="AD128" s="4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7" t="s">
        <v>339</v>
      </c>
      <c r="AR128" s="77" t="s">
        <v>379</v>
      </c>
      <c r="AS128" s="111" t="s">
        <v>273</v>
      </c>
      <c r="AT128" s="381" t="s">
        <v>269</v>
      </c>
      <c r="AU128" s="114" t="s">
        <v>245</v>
      </c>
      <c r="AV128" s="1"/>
      <c r="AW128" s="4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7" t="s">
        <v>339</v>
      </c>
      <c r="BK128" s="77" t="s">
        <v>379</v>
      </c>
      <c r="BL128" s="111" t="s">
        <v>273</v>
      </c>
      <c r="BM128" s="381" t="s">
        <v>269</v>
      </c>
      <c r="BN128" s="114" t="s">
        <v>245</v>
      </c>
      <c r="BO128" s="1"/>
      <c r="BP128" s="4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7" t="s">
        <v>339</v>
      </c>
      <c r="CD128" s="77" t="s">
        <v>379</v>
      </c>
      <c r="CE128" s="111" t="s">
        <v>273</v>
      </c>
      <c r="CF128" s="381" t="s">
        <v>269</v>
      </c>
      <c r="CG128" s="114" t="s">
        <v>245</v>
      </c>
      <c r="CH128" s="89"/>
      <c r="CI128" s="89"/>
      <c r="CJ128" s="89"/>
      <c r="CK128" s="4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93"/>
      <c r="DT128" s="393"/>
      <c r="DU128" s="393"/>
      <c r="DV128" s="393"/>
      <c r="DW128" s="393"/>
      <c r="DX128" s="393"/>
      <c r="DY128" s="393"/>
      <c r="EA128" s="4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3"/>
      <c r="EO128" s="383"/>
      <c r="EP128" s="383"/>
      <c r="EQ128" s="383"/>
      <c r="ER128" s="383"/>
      <c r="ES128" s="383"/>
      <c r="ET128" s="383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3"/>
      <c r="FO128" s="383"/>
      <c r="FP128" s="383"/>
      <c r="FQ128" s="383"/>
      <c r="FR128" s="383"/>
      <c r="FS128" s="383"/>
      <c r="FT128" s="383"/>
    </row>
    <row r="129" spans="2:171" ht="19.25" customHeight="1" x14ac:dyDescent="0.25">
      <c r="J129" s="4" t="s">
        <v>40</v>
      </c>
      <c r="K129" s="1" t="s">
        <v>82</v>
      </c>
      <c r="L129" s="4" t="s">
        <v>213</v>
      </c>
      <c r="M129" s="2" t="s">
        <v>84</v>
      </c>
      <c r="N129" s="2" t="s">
        <v>80</v>
      </c>
      <c r="O129" s="1" t="s">
        <v>89</v>
      </c>
      <c r="P129" s="2" t="s">
        <v>89</v>
      </c>
      <c r="Q129" s="2" t="s">
        <v>24</v>
      </c>
      <c r="R129" s="2" t="s">
        <v>91</v>
      </c>
      <c r="S129" s="2" t="s">
        <v>89</v>
      </c>
      <c r="T129" s="2" t="s">
        <v>89</v>
      </c>
      <c r="U129" s="2" t="s">
        <v>88</v>
      </c>
      <c r="V129" s="2" t="s">
        <v>86</v>
      </c>
      <c r="W129" s="180" t="s">
        <v>47</v>
      </c>
      <c r="X129" s="87" t="s">
        <v>47</v>
      </c>
      <c r="Y129" s="87" t="s">
        <v>252</v>
      </c>
      <c r="Z129" s="382"/>
      <c r="AA129" s="112" t="s">
        <v>77</v>
      </c>
      <c r="AB129" s="4"/>
      <c r="AC129" s="5"/>
      <c r="AD129" s="4" t="s">
        <v>40</v>
      </c>
      <c r="AE129" s="1" t="s">
        <v>82</v>
      </c>
      <c r="AF129" s="4" t="s">
        <v>213</v>
      </c>
      <c r="AG129" s="2" t="s">
        <v>84</v>
      </c>
      <c r="AH129" s="2" t="s">
        <v>80</v>
      </c>
      <c r="AI129" s="1" t="s">
        <v>89</v>
      </c>
      <c r="AJ129" s="2" t="s">
        <v>89</v>
      </c>
      <c r="AK129" s="2" t="s">
        <v>24</v>
      </c>
      <c r="AL129" s="2" t="s">
        <v>91</v>
      </c>
      <c r="AM129" s="2" t="s">
        <v>89</v>
      </c>
      <c r="AN129" s="2" t="s">
        <v>89</v>
      </c>
      <c r="AO129" s="2" t="s">
        <v>88</v>
      </c>
      <c r="AP129" s="2" t="s">
        <v>86</v>
      </c>
      <c r="AQ129" s="180" t="s">
        <v>47</v>
      </c>
      <c r="AR129" s="87" t="s">
        <v>47</v>
      </c>
      <c r="AS129" s="87" t="s">
        <v>252</v>
      </c>
      <c r="AT129" s="382"/>
      <c r="AU129" s="112" t="s">
        <v>77</v>
      </c>
      <c r="AV129" s="4"/>
      <c r="AW129" s="4" t="s">
        <v>40</v>
      </c>
      <c r="AX129" s="1" t="s">
        <v>82</v>
      </c>
      <c r="AY129" s="4" t="s">
        <v>213</v>
      </c>
      <c r="AZ129" s="2" t="s">
        <v>84</v>
      </c>
      <c r="BA129" s="2" t="s">
        <v>80</v>
      </c>
      <c r="BB129" s="1" t="s">
        <v>89</v>
      </c>
      <c r="BC129" s="2" t="s">
        <v>89</v>
      </c>
      <c r="BD129" s="2" t="s">
        <v>24</v>
      </c>
      <c r="BE129" s="2" t="s">
        <v>91</v>
      </c>
      <c r="BF129" s="2" t="s">
        <v>89</v>
      </c>
      <c r="BG129" s="2" t="s">
        <v>89</v>
      </c>
      <c r="BH129" s="2" t="s">
        <v>88</v>
      </c>
      <c r="BI129" s="2" t="s">
        <v>86</v>
      </c>
      <c r="BJ129" s="180" t="s">
        <v>47</v>
      </c>
      <c r="BK129" s="87" t="s">
        <v>47</v>
      </c>
      <c r="BL129" s="87" t="s">
        <v>252</v>
      </c>
      <c r="BM129" s="382"/>
      <c r="BN129" s="112" t="s">
        <v>77</v>
      </c>
      <c r="BO129" s="4"/>
      <c r="BP129" s="4" t="s">
        <v>40</v>
      </c>
      <c r="BQ129" s="1" t="s">
        <v>82</v>
      </c>
      <c r="BR129" s="4" t="s">
        <v>213</v>
      </c>
      <c r="BS129" s="2" t="s">
        <v>84</v>
      </c>
      <c r="BT129" s="2" t="s">
        <v>80</v>
      </c>
      <c r="BU129" s="1" t="s">
        <v>89</v>
      </c>
      <c r="BV129" s="2" t="s">
        <v>89</v>
      </c>
      <c r="BW129" s="2" t="s">
        <v>24</v>
      </c>
      <c r="BX129" s="2" t="s">
        <v>91</v>
      </c>
      <c r="BY129" s="2" t="s">
        <v>89</v>
      </c>
      <c r="BZ129" s="2" t="s">
        <v>89</v>
      </c>
      <c r="CA129" s="2" t="s">
        <v>88</v>
      </c>
      <c r="CB129" s="2" t="s">
        <v>86</v>
      </c>
      <c r="CC129" s="180" t="s">
        <v>47</v>
      </c>
      <c r="CD129" s="87" t="s">
        <v>47</v>
      </c>
      <c r="CE129" s="87" t="s">
        <v>252</v>
      </c>
      <c r="CF129" s="382"/>
      <c r="CG129" s="112" t="s">
        <v>77</v>
      </c>
      <c r="CH129" s="89"/>
      <c r="CI129" s="89"/>
      <c r="CK129" s="4" t="s">
        <v>40</v>
      </c>
      <c r="CL129" s="1" t="s">
        <v>82</v>
      </c>
      <c r="CM129" s="4" t="s">
        <v>213</v>
      </c>
      <c r="CN129" s="2" t="s">
        <v>84</v>
      </c>
      <c r="CO129" s="2" t="s">
        <v>80</v>
      </c>
      <c r="CP129" s="1" t="s">
        <v>89</v>
      </c>
      <c r="CQ129" s="2" t="s">
        <v>89</v>
      </c>
      <c r="CR129" s="2" t="s">
        <v>24</v>
      </c>
      <c r="CS129" s="2" t="s">
        <v>91</v>
      </c>
      <c r="CT129" s="2" t="s">
        <v>89</v>
      </c>
      <c r="CU129" s="2" t="s">
        <v>89</v>
      </c>
      <c r="CV129" s="2" t="s">
        <v>88</v>
      </c>
      <c r="CW129" s="2" t="s">
        <v>86</v>
      </c>
      <c r="DT129" s="17" t="s">
        <v>339</v>
      </c>
      <c r="DU129" s="17" t="s">
        <v>379</v>
      </c>
      <c r="DV129" s="135" t="s">
        <v>264</v>
      </c>
      <c r="DW129" s="394" t="s">
        <v>269</v>
      </c>
      <c r="DX129" s="79" t="s">
        <v>245</v>
      </c>
      <c r="DY129" s="1"/>
      <c r="EA129" s="4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7" t="s">
        <v>339</v>
      </c>
      <c r="EP129" s="17" t="s">
        <v>379</v>
      </c>
      <c r="EQ129" s="161" t="s">
        <v>264</v>
      </c>
      <c r="ER129" s="385" t="s">
        <v>269</v>
      </c>
      <c r="ES129" s="79" t="s">
        <v>245</v>
      </c>
      <c r="FA129" s="2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thickBot="1" x14ac:dyDescent="0.3">
      <c r="I130" s="387" t="s">
        <v>335</v>
      </c>
      <c r="J130" s="22" t="s">
        <v>254</v>
      </c>
      <c r="K130" s="22">
        <f>Limestone_for_BF</f>
        <v>198.12782320839224</v>
      </c>
      <c r="L130" s="22">
        <v>0.95</v>
      </c>
      <c r="M130" s="22">
        <f>MW_CaCO3</f>
        <v>0.1000872</v>
      </c>
      <c r="N130" s="22">
        <f>K130/M130</f>
        <v>1979.5520626852608</v>
      </c>
      <c r="O130" s="22">
        <f>h_CaCO3</f>
        <v>-1207.5999999999999</v>
      </c>
      <c r="P130" s="22">
        <f>b_ch_CaCO3</f>
        <v>11.256799999999885</v>
      </c>
      <c r="Q130" s="22">
        <f>N130/N132</f>
        <v>0.94119632891260407</v>
      </c>
      <c r="R130" s="22">
        <f>LN(Q130)</f>
        <v>-6.0603522569383693E-2</v>
      </c>
      <c r="S130" s="22">
        <f>RT0*R130</f>
        <v>-0.15014959061927308</v>
      </c>
      <c r="T130" s="22">
        <f>S130+P130</f>
        <v>11.106650409380611</v>
      </c>
      <c r="U130" s="22">
        <f>T130*Q130</f>
        <v>10.453538591824703</v>
      </c>
      <c r="V130" s="22">
        <f>U130*N132</f>
        <v>21986.192727413487</v>
      </c>
      <c r="W130" s="81">
        <f>AP142</f>
        <v>6.7177820097776806</v>
      </c>
      <c r="X130" s="100">
        <f>SUM(V126,V140,V163,V151)-$AP$126-AP142</f>
        <v>275.72728743553762</v>
      </c>
      <c r="Y130" s="163">
        <f>SUM(U126,U140,U151,U163) - SUM(AO126,AO142)</f>
        <v>0</v>
      </c>
      <c r="Z130" s="115" t="s">
        <v>489</v>
      </c>
      <c r="AA130" s="112">
        <f>($AP$126+AP142)/(SUM(V126,V140,V163,V151))</f>
        <v>0.98922076974338935</v>
      </c>
      <c r="AB130" s="4"/>
      <c r="AC130" s="387" t="s">
        <v>412</v>
      </c>
      <c r="AD130" s="22" t="s">
        <v>254</v>
      </c>
      <c r="AE130" s="22">
        <f>Limestone_for_BF</f>
        <v>198.12782320839224</v>
      </c>
      <c r="AF130" s="22">
        <v>0.95</v>
      </c>
      <c r="AG130" s="22">
        <f>MW_CaCO3</f>
        <v>0.1000872</v>
      </c>
      <c r="AH130" s="22">
        <f>AE130/AG130</f>
        <v>1979.5520626852608</v>
      </c>
      <c r="AI130" s="22">
        <f>h_CaCO3</f>
        <v>-1207.5999999999999</v>
      </c>
      <c r="AJ130" s="22">
        <f>b_ch_CaCO3</f>
        <v>11.256799999999885</v>
      </c>
      <c r="AK130" s="22">
        <f>AH130/AH132</f>
        <v>0.94119632891260407</v>
      </c>
      <c r="AL130" s="22">
        <f>LN(AK130)</f>
        <v>-6.0603522569383693E-2</v>
      </c>
      <c r="AM130" s="22">
        <f>RT0*AL130</f>
        <v>-0.15014959061927308</v>
      </c>
      <c r="AN130" s="22">
        <f>AM130+AJ130</f>
        <v>11.106650409380611</v>
      </c>
      <c r="AO130" s="22">
        <f>AN130*AK130</f>
        <v>10.453538591824703</v>
      </c>
      <c r="AP130" s="22">
        <f>AO130*AH132</f>
        <v>21986.192727413487</v>
      </c>
      <c r="AQ130" s="81">
        <f>0</f>
        <v>0</v>
      </c>
      <c r="AR130" s="100">
        <f>AP126+AU113-BI126</f>
        <v>2824.885647744919</v>
      </c>
      <c r="AS130" s="163">
        <f>BH126-AO126</f>
        <v>0</v>
      </c>
      <c r="AT130" s="115" t="s">
        <v>489</v>
      </c>
      <c r="AU130" s="112">
        <f>BI126/(AU113+AP126)</f>
        <v>0.89954868347015648</v>
      </c>
      <c r="AV130" s="387" t="s">
        <v>436</v>
      </c>
      <c r="AW130" s="22" t="s">
        <v>254</v>
      </c>
      <c r="AX130" s="22">
        <f>Limestone_for_BF</f>
        <v>198.12782320839224</v>
      </c>
      <c r="AY130" s="22">
        <v>0.95</v>
      </c>
      <c r="AZ130" s="22">
        <f>MW_CaCO3</f>
        <v>0.1000872</v>
      </c>
      <c r="BA130" s="22">
        <f>AX130/AZ130</f>
        <v>1979.5520626852608</v>
      </c>
      <c r="BB130" s="22">
        <f>h_CaCO3</f>
        <v>-1207.5999999999999</v>
      </c>
      <c r="BC130" s="22">
        <f>b_ch_CaCO3</f>
        <v>11.256799999999885</v>
      </c>
      <c r="BD130" s="22">
        <f>BA130/BA132</f>
        <v>0.94119632891260407</v>
      </c>
      <c r="BE130" s="22">
        <f>LN(BD130)</f>
        <v>-6.0603522569383693E-2</v>
      </c>
      <c r="BF130" s="22">
        <f>RT0*BE130</f>
        <v>-0.15014959061927308</v>
      </c>
      <c r="BG130" s="22">
        <f>BF130+BC130</f>
        <v>11.106650409380611</v>
      </c>
      <c r="BH130" s="22">
        <f>BG130*BD130</f>
        <v>10.453538591824703</v>
      </c>
      <c r="BI130" s="22">
        <f>BH130*BA132</f>
        <v>21986.192727413487</v>
      </c>
      <c r="BJ130" s="81">
        <v>0</v>
      </c>
      <c r="BK130" s="100">
        <f>BI126+BM116-CB126</f>
        <v>34.678095164115803</v>
      </c>
      <c r="BL130" s="163">
        <f>CA126-BH126</f>
        <v>0</v>
      </c>
      <c r="BM130" s="115" t="s">
        <v>489</v>
      </c>
      <c r="BN130" s="112">
        <f>CB126/(BM113+BI126)</f>
        <v>0.99884664645418608</v>
      </c>
      <c r="BO130" s="387" t="s">
        <v>424</v>
      </c>
      <c r="BP130" s="22" t="s">
        <v>254</v>
      </c>
      <c r="BQ130" s="22">
        <f>Limestone_for_BF</f>
        <v>198.12782320839224</v>
      </c>
      <c r="BR130" s="22">
        <v>0.95</v>
      </c>
      <c r="BS130" s="22">
        <f>MW_CaCO3</f>
        <v>0.1000872</v>
      </c>
      <c r="BT130" s="22">
        <f>BQ130/BS130</f>
        <v>1979.5520626852608</v>
      </c>
      <c r="BU130" s="22">
        <f>h_CaCO3</f>
        <v>-1207.5999999999999</v>
      </c>
      <c r="BV130" s="22">
        <f>b_ch_CaCO3</f>
        <v>11.256799999999885</v>
      </c>
      <c r="BW130" s="22">
        <f>BT130/BT132</f>
        <v>0.94119632891260407</v>
      </c>
      <c r="BX130" s="22">
        <f>LN(BW130)</f>
        <v>-6.0603522569383693E-2</v>
      </c>
      <c r="BY130" s="22">
        <f>RT0*BX130</f>
        <v>-0.15014959061927308</v>
      </c>
      <c r="BZ130" s="22">
        <f>BY130+BV130</f>
        <v>11.106650409380611</v>
      </c>
      <c r="CA130" s="22">
        <f>BZ130*BW130</f>
        <v>10.453538591824703</v>
      </c>
      <c r="CB130" s="22">
        <f>CA130*BT132</f>
        <v>21986.192727413487</v>
      </c>
      <c r="CC130" s="81">
        <f>CW114+CW138</f>
        <v>94961.386511485034</v>
      </c>
      <c r="CD130" s="100">
        <f>CB126+CB140+CB152-CW114-CW126-CW138</f>
        <v>1642067.5780806448</v>
      </c>
      <c r="CE130" s="163">
        <f>SUM(CV138,CV126,CV114) - SUM(CA126,CA140,CA152)</f>
        <v>0</v>
      </c>
      <c r="CF130" s="115" t="s">
        <v>489</v>
      </c>
      <c r="CG130" s="112">
        <f>(CW138+CW126+CW114)/(CB140+CB126+CB152)</f>
        <v>0.17027276068302746</v>
      </c>
      <c r="CH130" s="89"/>
      <c r="CI130" s="89"/>
      <c r="CJ130" s="189" t="s">
        <v>425</v>
      </c>
      <c r="CK130" s="88" t="s">
        <v>113</v>
      </c>
      <c r="CL130" s="26">
        <f>Quicklime_for_BF</f>
        <v>111.00813284002646</v>
      </c>
      <c r="CM130" s="26">
        <v>1</v>
      </c>
      <c r="CN130" s="26">
        <f>MW_CaO</f>
        <v>5.6077400000000006E-2</v>
      </c>
      <c r="CO130" s="26">
        <f>CL130/CN130</f>
        <v>1979.5520626852608</v>
      </c>
      <c r="CP130" s="26">
        <f>h_CaO</f>
        <v>-634.9</v>
      </c>
      <c r="CQ130" s="26">
        <f>b_ch_CaO</f>
        <v>122.25799999999992</v>
      </c>
      <c r="CR130" s="101">
        <f>CO130/CO131</f>
        <v>1</v>
      </c>
      <c r="CS130" s="101">
        <f>LN(CR130)</f>
        <v>0</v>
      </c>
      <c r="CT130" s="101">
        <f>RT0*CS130</f>
        <v>0</v>
      </c>
      <c r="CU130" s="26">
        <f>CT130+CQ130</f>
        <v>122.25799999999992</v>
      </c>
      <c r="CV130" s="26">
        <f>CU130*CR130</f>
        <v>122.25799999999992</v>
      </c>
      <c r="CW130" s="101">
        <f>CV130*CO131</f>
        <v>242016.07607977447</v>
      </c>
      <c r="DT130" s="180" t="s">
        <v>47</v>
      </c>
      <c r="DU130" s="8" t="s">
        <v>47</v>
      </c>
      <c r="DV130" s="1" t="s">
        <v>83</v>
      </c>
      <c r="DW130" s="395"/>
      <c r="DX130" s="112" t="s">
        <v>77</v>
      </c>
      <c r="DY130" s="4"/>
      <c r="DZ130" s="387" t="s">
        <v>445</v>
      </c>
      <c r="EA130" s="7" t="s">
        <v>14</v>
      </c>
      <c r="EB130" s="145">
        <f>Fe2O3_BF_in</f>
        <v>881.06000000000006</v>
      </c>
      <c r="EC130" s="145">
        <f>EB130/$EB$134</f>
        <v>0.67037060719939068</v>
      </c>
      <c r="ED130" s="146">
        <f>MW_Fe2O3</f>
        <v>0.1596882</v>
      </c>
      <c r="EE130" s="146">
        <f>EB130/ED130</f>
        <v>5517.3769884061567</v>
      </c>
      <c r="EF130" s="146">
        <f>h_Fe2O3</f>
        <v>-824.2</v>
      </c>
      <c r="EG130" s="146">
        <f>b_ch_Fe2O3</f>
        <v>17.358400000000074</v>
      </c>
      <c r="EH130" s="146">
        <f>EE130/$EE$134</f>
        <v>0.20286330971780439</v>
      </c>
      <c r="EI130" s="147">
        <f>LN(EH130)</f>
        <v>-1.5952228778868696</v>
      </c>
      <c r="EJ130" s="147">
        <f>RT0*EI130</f>
        <v>-3.9522795360119272</v>
      </c>
      <c r="EK130" s="147">
        <f>EG130+EJ130</f>
        <v>13.406120463988147</v>
      </c>
      <c r="EL130" s="147">
        <f>EK130*EH130</f>
        <v>2.7196099678002228</v>
      </c>
      <c r="EM130" s="147">
        <f>$EE$134*EL130</f>
        <v>73966.620551809072</v>
      </c>
      <c r="EO130" s="180" t="s">
        <v>47</v>
      </c>
      <c r="EP130" s="8" t="s">
        <v>47</v>
      </c>
      <c r="EQ130" s="8" t="s">
        <v>83</v>
      </c>
      <c r="ER130" s="386"/>
      <c r="ES130" s="112" t="s">
        <v>77</v>
      </c>
      <c r="EZ130" s="189" t="s">
        <v>446</v>
      </c>
      <c r="FA130" s="1" t="s">
        <v>15</v>
      </c>
      <c r="FB130" s="35">
        <f>Fe_BF_out</f>
        <v>616.23583583508366</v>
      </c>
      <c r="FC130" s="35">
        <f>FB130/FB131</f>
        <v>1</v>
      </c>
      <c r="FD130" s="26">
        <f>MW_Fe</f>
        <v>5.5844999999999999E-2</v>
      </c>
      <c r="FE130" s="26">
        <f>FB130/FD130</f>
        <v>11034.753976812313</v>
      </c>
      <c r="FF130" s="26">
        <f>h_Fe</f>
        <v>0</v>
      </c>
      <c r="FG130" s="234">
        <f>b_ch_Fe</f>
        <v>376.8</v>
      </c>
      <c r="FH130" s="26">
        <f>FE130/FE131</f>
        <v>1</v>
      </c>
      <c r="FI130" s="35">
        <f>LN(FH130)</f>
        <v>0</v>
      </c>
      <c r="FJ130" s="35">
        <f>RT0*FI130</f>
        <v>0</v>
      </c>
      <c r="FK130" s="35">
        <f>FG130+FJ130</f>
        <v>376.8</v>
      </c>
      <c r="FL130" s="35">
        <f>FK130*FH130</f>
        <v>376.8</v>
      </c>
      <c r="FM130" s="35">
        <f>FE131*FL130</f>
        <v>4157895.2984628798</v>
      </c>
    </row>
    <row r="131" spans="2:171" ht="19" thickBot="1" x14ac:dyDescent="0.3">
      <c r="I131" s="387"/>
      <c r="J131" s="5" t="s">
        <v>257</v>
      </c>
      <c r="K131" s="5">
        <f>(K130*L131)/L130</f>
        <v>10.427780168862752</v>
      </c>
      <c r="L131" s="5">
        <v>0.05</v>
      </c>
      <c r="M131" s="5">
        <f>MW_MgCO3</f>
        <v>8.4314200000000006E-2</v>
      </c>
      <c r="N131" s="5">
        <f>K131/M131</f>
        <v>123.6776268868441</v>
      </c>
      <c r="O131" s="5">
        <f>h_MgCO3</f>
        <v>-1095.8</v>
      </c>
      <c r="P131" s="5">
        <f>b_ch_MgCO3</f>
        <v>33.790400000000034</v>
      </c>
      <c r="Q131" s="5">
        <f>N131/N132</f>
        <v>5.880367108739603E-2</v>
      </c>
      <c r="R131" s="5">
        <f>LN(Q131)</f>
        <v>-2.8335509925673268</v>
      </c>
      <c r="S131" s="5">
        <f>RT0*R131</f>
        <v>-7.0203265997570163</v>
      </c>
      <c r="T131" s="5">
        <f>S131+P131</f>
        <v>26.770073400243017</v>
      </c>
      <c r="U131" s="5">
        <f>T131*Q131</f>
        <v>1.5741785912133399</v>
      </c>
      <c r="V131" s="5">
        <f>U131*N132</f>
        <v>3310.8591497286861</v>
      </c>
      <c r="W131" s="5"/>
      <c r="X131" s="5"/>
      <c r="Y131" s="5"/>
      <c r="Z131" s="116" t="s">
        <v>318</v>
      </c>
      <c r="AA131" s="113">
        <f>$AP$130/(SUM(V126,V140,V163,V151))</f>
        <v>0.85952404667389759</v>
      </c>
      <c r="AB131" s="4"/>
      <c r="AC131" s="387"/>
      <c r="AD131" s="5" t="s">
        <v>257</v>
      </c>
      <c r="AE131" s="5">
        <f>(AE130*AF131)/AF130</f>
        <v>10.427780168862752</v>
      </c>
      <c r="AF131" s="5">
        <v>0.05</v>
      </c>
      <c r="AG131" s="5">
        <f>MW_MgCO3</f>
        <v>8.4314200000000006E-2</v>
      </c>
      <c r="AH131" s="5">
        <f>AE131/AG131</f>
        <v>123.6776268868441</v>
      </c>
      <c r="AI131" s="5">
        <f>h_MgCO3</f>
        <v>-1095.8</v>
      </c>
      <c r="AJ131" s="5">
        <f>b_ch_MgCO3</f>
        <v>33.790400000000034</v>
      </c>
      <c r="AK131" s="5">
        <f>AH131/AH132</f>
        <v>5.880367108739603E-2</v>
      </c>
      <c r="AL131" s="5">
        <f>LN(AK131)</f>
        <v>-2.8335509925673268</v>
      </c>
      <c r="AM131" s="5">
        <f>RT0*AL131</f>
        <v>-7.0203265997570163</v>
      </c>
      <c r="AN131" s="5">
        <f>AM131+AJ131</f>
        <v>26.770073400243017</v>
      </c>
      <c r="AO131" s="5">
        <f>AN131*AK131</f>
        <v>1.5741785912133399</v>
      </c>
      <c r="AP131" s="5">
        <f>AO131*AH132</f>
        <v>3310.8591497286861</v>
      </c>
      <c r="AQ131" s="5"/>
      <c r="AR131" s="5"/>
      <c r="AS131" s="4"/>
      <c r="AT131" s="116" t="s">
        <v>318</v>
      </c>
      <c r="AU131" s="113">
        <f>BI130/(AU113+AP126)</f>
        <v>0.78181642740498758</v>
      </c>
      <c r="AV131" s="387"/>
      <c r="AW131" s="5" t="s">
        <v>257</v>
      </c>
      <c r="AX131" s="5">
        <f>(AX130*AY131)/AY130</f>
        <v>10.427780168862752</v>
      </c>
      <c r="AY131" s="5">
        <v>0.05</v>
      </c>
      <c r="AZ131" s="5">
        <f>MW_MgCO3</f>
        <v>8.4314200000000006E-2</v>
      </c>
      <c r="BA131" s="5">
        <f>AX131/AZ131</f>
        <v>123.6776268868441</v>
      </c>
      <c r="BB131" s="5">
        <f>h_MgCO3</f>
        <v>-1095.8</v>
      </c>
      <c r="BC131" s="5">
        <f>b_ch_MgCO3</f>
        <v>33.790400000000034</v>
      </c>
      <c r="BD131" s="5">
        <f>BA131/BA132</f>
        <v>5.880367108739603E-2</v>
      </c>
      <c r="BE131" s="5">
        <f>LN(BD131)</f>
        <v>-2.8335509925673268</v>
      </c>
      <c r="BF131" s="5">
        <f>RT0*BE131</f>
        <v>-7.0203265997570163</v>
      </c>
      <c r="BG131" s="5">
        <f>BF131+BC131</f>
        <v>26.770073400243017</v>
      </c>
      <c r="BH131" s="5">
        <f>BG131*BD131</f>
        <v>1.5741785912133399</v>
      </c>
      <c r="BI131" s="5">
        <f>BH131*BA132</f>
        <v>3310.8591497286861</v>
      </c>
      <c r="BJ131" s="5"/>
      <c r="BK131" s="5"/>
      <c r="BL131" s="4"/>
      <c r="BM131" s="116" t="s">
        <v>318</v>
      </c>
      <c r="BN131" s="113">
        <f>CB130/(BM113+BI126)</f>
        <v>0.86811834757376105</v>
      </c>
      <c r="BO131" s="387"/>
      <c r="BP131" s="5" t="s">
        <v>257</v>
      </c>
      <c r="BQ131" s="5">
        <f>(BQ130*BR131)/BR130</f>
        <v>10.427780168862752</v>
      </c>
      <c r="BR131" s="5">
        <v>0.05</v>
      </c>
      <c r="BS131" s="5">
        <f>MW_MgCO3</f>
        <v>8.4314200000000006E-2</v>
      </c>
      <c r="BT131" s="5">
        <f>BQ131/BS131</f>
        <v>123.6776268868441</v>
      </c>
      <c r="BU131" s="5">
        <f>h_MgCO3</f>
        <v>-1095.8</v>
      </c>
      <c r="BV131" s="5">
        <f>b_ch_MgCO3</f>
        <v>33.790400000000034</v>
      </c>
      <c r="BW131" s="5">
        <f>BT131/BT132</f>
        <v>5.880367108739603E-2</v>
      </c>
      <c r="BX131" s="5">
        <f>LN(BW131)</f>
        <v>-2.8335509925673268</v>
      </c>
      <c r="BY131" s="5">
        <f>RT0*BX131</f>
        <v>-7.0203265997570163</v>
      </c>
      <c r="BZ131" s="5">
        <f>BY131+BV131</f>
        <v>26.770073400243017</v>
      </c>
      <c r="CA131" s="5">
        <f>BZ131*BW131</f>
        <v>1.5741785912133399</v>
      </c>
      <c r="CB131" s="5">
        <f>CA131*BT132</f>
        <v>3310.8591497286861</v>
      </c>
      <c r="CC131" s="89"/>
      <c r="CD131" s="5"/>
      <c r="CF131" s="116" t="s">
        <v>318</v>
      </c>
      <c r="CG131" s="113">
        <f>CW130/(CB126+CB152+CB140)</f>
        <v>0.1222893219234706</v>
      </c>
      <c r="CH131" s="89"/>
      <c r="CI131" s="89"/>
      <c r="CK131" s="5" t="s">
        <v>18</v>
      </c>
      <c r="CL131" s="5">
        <f>SUM(CL130)</f>
        <v>111.00813284002646</v>
      </c>
      <c r="CM131" s="5"/>
      <c r="CN131" s="5">
        <f>SUM(CN130)</f>
        <v>5.6077400000000006E-2</v>
      </c>
      <c r="CO131" s="5">
        <f>SUM(CO130)</f>
        <v>1979.5520626852608</v>
      </c>
      <c r="CP131" s="5">
        <f>SUM(CP130)</f>
        <v>-634.9</v>
      </c>
      <c r="CQ131" s="5"/>
      <c r="CR131" s="5"/>
      <c r="CS131" s="89"/>
      <c r="CT131" s="89"/>
      <c r="CU131" s="5"/>
      <c r="CV131" s="5">
        <f>SUM(CV130)</f>
        <v>122.25799999999992</v>
      </c>
      <c r="CW131" s="5">
        <f>SUM(CW130)</f>
        <v>242016.07607977447</v>
      </c>
      <c r="DT131" s="81">
        <f>0</f>
        <v>0</v>
      </c>
      <c r="DU131" s="76">
        <f>(CW126+CA42+CW206)-(EM126)</f>
        <v>55594.067320963368</v>
      </c>
      <c r="DV131" s="117">
        <f>EL126-CV126-CV206-BZ42</f>
        <v>0</v>
      </c>
      <c r="DW131" s="115" t="s">
        <v>489</v>
      </c>
      <c r="DX131" s="80">
        <f>EM126/(CW126+CW206+CA42)</f>
        <v>0.99174963463121601</v>
      </c>
      <c r="DY131" s="4"/>
      <c r="DZ131" s="387"/>
      <c r="EA131" s="1" t="s">
        <v>16</v>
      </c>
      <c r="EB131" s="148">
        <f>SiO2_BF_in</f>
        <v>118.94000000000001</v>
      </c>
      <c r="EC131" s="148">
        <f t="shared" ref="EC131:EC133" si="46">EB131/$EB$134</f>
        <v>9.0497673280248256E-2</v>
      </c>
      <c r="ED131" s="138">
        <f>MW_SIO2</f>
        <v>6.00843E-2</v>
      </c>
      <c r="EE131" s="138">
        <f>EB131/ED131</f>
        <v>1979.5520626852608</v>
      </c>
      <c r="EF131" s="138">
        <f>h_SiO2</f>
        <v>-910.7</v>
      </c>
      <c r="EG131" s="138">
        <f>b_ch_SiO2</f>
        <v>1.5260000000000673</v>
      </c>
      <c r="EH131" s="138">
        <f>EE131/$EE$134</f>
        <v>7.2784311102701241E-2</v>
      </c>
      <c r="EI131" s="149">
        <f t="shared" ref="EI131:EI133" si="47">LN(EH131)</f>
        <v>-2.6202548538354575</v>
      </c>
      <c r="EJ131" s="149">
        <f>RT0*EI131</f>
        <v>-6.4918700587268221</v>
      </c>
      <c r="EK131" s="149">
        <f t="shared" ref="EK131:EK133" si="48">EG131+EJ131</f>
        <v>-4.9658700587267548</v>
      </c>
      <c r="EL131" s="149">
        <f t="shared" ref="EL131:EL133" si="49">EK131*EH131</f>
        <v>-0.36143743124995742</v>
      </c>
      <c r="EM131" s="149">
        <f>$EE$134*EL131</f>
        <v>-9830.1983177795246</v>
      </c>
      <c r="EO131" s="81">
        <f>FM141+FM104</f>
        <v>472084.51440660493</v>
      </c>
      <c r="EP131" s="243">
        <f>SUM(EM101,EM114,EM126,EM140,EM152)-(FM126+FM141+FM104)</f>
        <v>7253543.9652409712</v>
      </c>
      <c r="EQ131" s="242">
        <f>(SUM(BF_SolidWaste,FL126,FL141))-SUM(EL101,EL114,EL126,EL140,EL152)</f>
        <v>0</v>
      </c>
      <c r="ER131" s="115" t="s">
        <v>489</v>
      </c>
      <c r="ES131" s="80">
        <f>SUM(FM104,FM126,FM141)/SUM(EU117,EM101,EM114,EM126,EM140,EM152)</f>
        <v>0.37943022424115741</v>
      </c>
      <c r="FA131" s="7" t="s">
        <v>18</v>
      </c>
      <c r="FB131" s="7">
        <f t="shared" ref="FB131" si="50">SUM(FB130:FB130)</f>
        <v>616.23583583508366</v>
      </c>
      <c r="FC131" s="7"/>
      <c r="FD131" s="7">
        <f t="shared" ref="FD131:FM131" si="51">SUM(FD130:FD130)</f>
        <v>5.5844999999999999E-2</v>
      </c>
      <c r="FE131" s="7">
        <f t="shared" si="51"/>
        <v>11034.753976812313</v>
      </c>
      <c r="FF131" s="7">
        <f t="shared" si="51"/>
        <v>0</v>
      </c>
      <c r="FG131" s="7">
        <f t="shared" si="51"/>
        <v>376.8</v>
      </c>
      <c r="FH131" s="7">
        <f t="shared" si="51"/>
        <v>1</v>
      </c>
      <c r="FI131" s="7">
        <f t="shared" si="51"/>
        <v>0</v>
      </c>
      <c r="FJ131" s="7">
        <f t="shared" si="51"/>
        <v>0</v>
      </c>
      <c r="FK131" s="7">
        <f t="shared" si="51"/>
        <v>376.8</v>
      </c>
      <c r="FL131" s="7">
        <f t="shared" si="51"/>
        <v>376.8</v>
      </c>
      <c r="FM131" s="7">
        <f t="shared" si="51"/>
        <v>4157895.2984628798</v>
      </c>
    </row>
    <row r="132" spans="2:171" ht="19" thickBot="1" x14ac:dyDescent="0.3">
      <c r="J132" s="22" t="s">
        <v>18</v>
      </c>
      <c r="K132" s="22">
        <f>SUM(K130:K131)</f>
        <v>208.55560337725498</v>
      </c>
      <c r="L132" s="22">
        <f>SUM(L130:L131)</f>
        <v>1</v>
      </c>
      <c r="M132" s="22">
        <f>SUM(M130:M131)</f>
        <v>0.18440139999999999</v>
      </c>
      <c r="N132" s="22">
        <f>SUM(N130:N131)</f>
        <v>2103.2296895721047</v>
      </c>
      <c r="O132" s="13" cm="1">
        <f t="array" ref="O132">SUM(K130:K131*O130:O131) / K132</f>
        <v>-1202.01</v>
      </c>
      <c r="P132" s="22"/>
      <c r="Q132" s="22">
        <f>SUM(Q130:Q131)</f>
        <v>1</v>
      </c>
      <c r="R132" s="102"/>
      <c r="S132" s="102"/>
      <c r="T132" s="102"/>
      <c r="U132" s="22">
        <f>SUM(U130:U131)</f>
        <v>12.027717183038042</v>
      </c>
      <c r="V132" s="22">
        <f>SUM(V130:V131)</f>
        <v>25297.051877142174</v>
      </c>
      <c r="W132" s="5"/>
      <c r="X132" s="5"/>
      <c r="Y132" s="5"/>
      <c r="AB132" s="4"/>
      <c r="AC132" s="5"/>
      <c r="AD132" s="22" t="s">
        <v>18</v>
      </c>
      <c r="AE132" s="22">
        <f>SUM(AE130:AE131)</f>
        <v>208.55560337725498</v>
      </c>
      <c r="AF132" s="22">
        <f>SUM(AF130:AF131)</f>
        <v>1</v>
      </c>
      <c r="AG132" s="22">
        <f>SUM(AG130:AG131)</f>
        <v>0.18440139999999999</v>
      </c>
      <c r="AH132" s="22">
        <f>SUM(AH130:AH131)</f>
        <v>2103.2296895721047</v>
      </c>
      <c r="AI132" s="13" cm="1">
        <f t="array" ref="AI132">SUM(AE130:AE131*AI130:AI131) / AE132</f>
        <v>-1202.01</v>
      </c>
      <c r="AJ132" s="22"/>
      <c r="AK132" s="22">
        <f>SUM(AK130:AK131)</f>
        <v>1</v>
      </c>
      <c r="AL132" s="102"/>
      <c r="AM132" s="102"/>
      <c r="AN132" s="102"/>
      <c r="AO132" s="22">
        <f>SUM(AO130:AO131)</f>
        <v>12.027717183038042</v>
      </c>
      <c r="AP132" s="22">
        <f>SUM(AP130:AP131)</f>
        <v>25297.051877142174</v>
      </c>
      <c r="AQ132" s="5"/>
      <c r="AR132" s="5"/>
      <c r="AS132" s="4"/>
      <c r="AV132" s="4"/>
      <c r="AW132" s="22" t="s">
        <v>18</v>
      </c>
      <c r="AX132" s="22">
        <f>SUM(AX130:AX131)</f>
        <v>208.55560337725498</v>
      </c>
      <c r="AY132" s="22">
        <f>SUM(AY130:AY131)</f>
        <v>1</v>
      </c>
      <c r="AZ132" s="22">
        <f>SUM(AZ130:AZ131)</f>
        <v>0.18440139999999999</v>
      </c>
      <c r="BA132" s="22">
        <f>SUM(BA130:BA131)</f>
        <v>2103.2296895721047</v>
      </c>
      <c r="BB132" s="13" cm="1">
        <f t="array" ref="BB132">SUM(AX130:AX131*BB130:BB131) / AX132</f>
        <v>-1202.01</v>
      </c>
      <c r="BC132" s="22"/>
      <c r="BD132" s="22">
        <f>SUM(BD130:BD131)</f>
        <v>1</v>
      </c>
      <c r="BE132" s="102"/>
      <c r="BF132" s="102"/>
      <c r="BG132" s="102"/>
      <c r="BH132" s="22">
        <f>SUM(BH130:BH131)</f>
        <v>12.027717183038042</v>
      </c>
      <c r="BI132" s="22">
        <f>SUM(BI130:BI131)</f>
        <v>25297.051877142174</v>
      </c>
      <c r="BJ132" s="5"/>
      <c r="BK132" s="5"/>
      <c r="BL132" s="4"/>
      <c r="BO132" s="4"/>
      <c r="BP132" s="22" t="s">
        <v>18</v>
      </c>
      <c r="BQ132" s="22">
        <f>SUM(BQ130:BQ131)</f>
        <v>208.55560337725498</v>
      </c>
      <c r="BR132" s="22">
        <f>SUM(BR130:BR131)</f>
        <v>1</v>
      </c>
      <c r="BS132" s="22">
        <f>SUM(BS130:BS131)</f>
        <v>0.18440139999999999</v>
      </c>
      <c r="BT132" s="22">
        <f>SUM(BT130:BT131)</f>
        <v>2103.2296895721047</v>
      </c>
      <c r="BU132" s="13" cm="1">
        <f t="array" ref="BU132">SUM(BQ130:BQ131*BU130:BU131) / BQ132</f>
        <v>-1202.01</v>
      </c>
      <c r="BV132" s="22"/>
      <c r="BW132" s="22">
        <f>SUM(BW130:BW131)</f>
        <v>1</v>
      </c>
      <c r="BX132" s="102"/>
      <c r="BY132" s="102"/>
      <c r="BZ132" s="102"/>
      <c r="CA132" s="22">
        <f>SUM(CA130:CA131)</f>
        <v>12.027717183038042</v>
      </c>
      <c r="CB132" s="22">
        <f>SUM(CB130:CB131)</f>
        <v>25297.051877142174</v>
      </c>
      <c r="CC132" s="89"/>
      <c r="CD132" s="89"/>
      <c r="CH132" s="89"/>
      <c r="CI132" s="89"/>
      <c r="CK132" s="5"/>
      <c r="CL132" s="5" t="s">
        <v>252</v>
      </c>
      <c r="CM132" s="5"/>
      <c r="CN132" s="89" t="s">
        <v>258</v>
      </c>
      <c r="CO132" s="89" t="s">
        <v>259</v>
      </c>
      <c r="CP132" s="1" t="s">
        <v>510</v>
      </c>
      <c r="CQ132" s="5"/>
      <c r="CR132" s="5"/>
      <c r="CS132" s="89"/>
      <c r="CT132" s="89"/>
      <c r="CU132" s="89"/>
      <c r="CV132" s="89" t="s">
        <v>260</v>
      </c>
      <c r="CW132" s="5" t="s">
        <v>253</v>
      </c>
      <c r="DU132" s="4"/>
      <c r="DV132" s="4"/>
      <c r="DW132" s="116" t="s">
        <v>318</v>
      </c>
      <c r="DX132" s="76">
        <f>EM130/(CW126+CW206+CA42)</f>
        <v>1.0976920273227081E-2</v>
      </c>
      <c r="DY132" s="4"/>
      <c r="DZ132" s="387"/>
      <c r="EA132" s="1" t="s">
        <v>113</v>
      </c>
      <c r="EB132" s="148">
        <f>CV126</f>
        <v>111.00813284002646</v>
      </c>
      <c r="EC132" s="148">
        <f t="shared" si="46"/>
        <v>8.4462567153246265E-2</v>
      </c>
      <c r="ED132" s="138">
        <f>MW_CaO</f>
        <v>5.6077400000000006E-2</v>
      </c>
      <c r="EE132" s="138">
        <f>EB132/ED132</f>
        <v>1979.5520626852608</v>
      </c>
      <c r="EF132" s="138">
        <f>h_CaO</f>
        <v>-634.9</v>
      </c>
      <c r="EG132" s="138">
        <f>b_ch_CaO</f>
        <v>122.25799999999992</v>
      </c>
      <c r="EH132" s="138">
        <f>EE132/$EE$134</f>
        <v>7.2784311102701241E-2</v>
      </c>
      <c r="EI132" s="149">
        <f t="shared" si="47"/>
        <v>-2.6202548538354575</v>
      </c>
      <c r="EJ132" s="149">
        <f>RT0*EI132</f>
        <v>-6.4918700587268221</v>
      </c>
      <c r="EK132" s="149">
        <f t="shared" si="48"/>
        <v>115.76612994127311</v>
      </c>
      <c r="EL132" s="149">
        <f t="shared" si="49"/>
        <v>8.4259580168013581</v>
      </c>
      <c r="EM132" s="149">
        <f>$EE$134*EL132</f>
        <v>229165.08131433709</v>
      </c>
      <c r="EP132" s="4"/>
      <c r="EQ132" s="4"/>
      <c r="ER132" s="116" t="s">
        <v>318</v>
      </c>
      <c r="ES132" s="76">
        <f>FM130/SUM(EU117,EM152,EM140,EM126,EM114,EM101)</f>
        <v>0.34074255379728524</v>
      </c>
      <c r="FA132" s="1"/>
      <c r="FB132" s="1" t="s">
        <v>83</v>
      </c>
      <c r="FC132" s="1"/>
      <c r="FD132" s="3" t="s">
        <v>85</v>
      </c>
      <c r="FE132" s="3" t="s">
        <v>81</v>
      </c>
      <c r="FF132" s="1" t="s">
        <v>510</v>
      </c>
      <c r="FG132" s="4"/>
      <c r="FH132" s="4"/>
      <c r="FL132" s="3" t="s">
        <v>90</v>
      </c>
      <c r="FM132" s="1" t="s">
        <v>87</v>
      </c>
    </row>
    <row r="133" spans="2:171" ht="18" x14ac:dyDescent="0.25">
      <c r="J133" s="5"/>
      <c r="K133" s="5" t="s">
        <v>252</v>
      </c>
      <c r="L133" s="5"/>
      <c r="M133" s="89" t="s">
        <v>258</v>
      </c>
      <c r="N133" s="89" t="s">
        <v>259</v>
      </c>
      <c r="O133" s="1" t="s">
        <v>510</v>
      </c>
      <c r="P133" s="5"/>
      <c r="Q133" s="5"/>
      <c r="R133" s="89"/>
      <c r="S133" s="89"/>
      <c r="T133" s="89"/>
      <c r="U133" s="89" t="s">
        <v>260</v>
      </c>
      <c r="V133" s="5" t="s">
        <v>253</v>
      </c>
      <c r="W133" s="5"/>
      <c r="X133" s="5"/>
      <c r="Y133" s="5"/>
      <c r="Z133" s="5"/>
      <c r="AA133" s="5"/>
      <c r="AB133" s="5"/>
      <c r="AC133" s="5"/>
      <c r="AD133" s="5"/>
      <c r="AE133" s="5" t="s">
        <v>252</v>
      </c>
      <c r="AF133" s="5"/>
      <c r="AG133" s="89" t="s">
        <v>258</v>
      </c>
      <c r="AH133" s="89" t="s">
        <v>259</v>
      </c>
      <c r="AI133" s="1" t="s">
        <v>510</v>
      </c>
      <c r="AJ133" s="5"/>
      <c r="AK133" s="5"/>
      <c r="AL133" s="89"/>
      <c r="AM133" s="89"/>
      <c r="AN133" s="89"/>
      <c r="AO133" s="89" t="s">
        <v>260</v>
      </c>
      <c r="AP133" s="5" t="s">
        <v>253</v>
      </c>
      <c r="AQ133" s="5"/>
      <c r="AR133" s="5"/>
      <c r="AS133" s="4"/>
      <c r="AT133" s="5"/>
      <c r="AU133" s="5"/>
      <c r="AV133" s="5"/>
      <c r="AW133" s="5"/>
      <c r="AX133" s="5" t="s">
        <v>252</v>
      </c>
      <c r="AY133" s="5"/>
      <c r="AZ133" s="89" t="s">
        <v>258</v>
      </c>
      <c r="BA133" s="89" t="s">
        <v>259</v>
      </c>
      <c r="BB133" s="1" t="s">
        <v>510</v>
      </c>
      <c r="BC133" s="5"/>
      <c r="BD133" s="5"/>
      <c r="BE133" s="89"/>
      <c r="BF133" s="89"/>
      <c r="BG133" s="89"/>
      <c r="BH133" s="89" t="s">
        <v>260</v>
      </c>
      <c r="BI133" s="5" t="s">
        <v>253</v>
      </c>
      <c r="BJ133" s="5"/>
      <c r="BK133" s="5"/>
      <c r="BL133" s="4"/>
      <c r="BM133" s="5"/>
      <c r="BN133" s="5"/>
      <c r="BO133" s="5"/>
      <c r="BP133" s="5"/>
      <c r="BQ133" s="5" t="s">
        <v>252</v>
      </c>
      <c r="BR133" s="5"/>
      <c r="BS133" s="89" t="s">
        <v>258</v>
      </c>
      <c r="BT133" s="89" t="s">
        <v>259</v>
      </c>
      <c r="BU133" s="1" t="s">
        <v>510</v>
      </c>
      <c r="BV133" s="5"/>
      <c r="BW133" s="5"/>
      <c r="BX133" s="89"/>
      <c r="BY133" s="89"/>
      <c r="BZ133" s="89"/>
      <c r="CA133" s="89" t="s">
        <v>260</v>
      </c>
      <c r="CB133" s="5" t="s">
        <v>253</v>
      </c>
      <c r="CC133" s="89"/>
      <c r="CD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DY133" s="4"/>
      <c r="DZ133" s="387"/>
      <c r="EA133" s="27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48">
        <f>CV206</f>
        <v>203.27980063725872</v>
      </c>
      <c r="EC133" s="148">
        <f t="shared" si="46"/>
        <v>0.15466915236711484</v>
      </c>
      <c r="ED133" s="138">
        <f>MW_Coke</f>
        <v>217.63525920401193</v>
      </c>
      <c r="EE133" s="138">
        <f>mol_C_to_BF</f>
        <v>17721.029348224434</v>
      </c>
      <c r="EF133" s="138">
        <f>NCV_dry_anthrocite</f>
        <v>30080</v>
      </c>
      <c r="EG133" s="138">
        <f>(b_ch_coke*EB133)/EE133</f>
        <v>361.62056363730647</v>
      </c>
      <c r="EH133" s="138">
        <f>EE133/$EE$134</f>
        <v>0.65156806807679313</v>
      </c>
      <c r="EI133" s="149">
        <f t="shared" si="47"/>
        <v>-0.42837340886205988</v>
      </c>
      <c r="EJ133" s="149">
        <f>RT0*EI133</f>
        <v>-1.0613259633411913</v>
      </c>
      <c r="EK133" s="149">
        <f t="shared" si="48"/>
        <v>360.5592376739653</v>
      </c>
      <c r="EL133" s="149">
        <f t="shared" si="49"/>
        <v>234.92888591846685</v>
      </c>
      <c r="EM133" s="149">
        <f>$EE$134*EL133</f>
        <v>6389480.8325937679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08" t="s">
        <v>475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08" t="s">
        <v>475</v>
      </c>
      <c r="BN134" s="4"/>
      <c r="BO134" s="4"/>
      <c r="BP134" s="4"/>
      <c r="BQ134" s="4"/>
      <c r="BR134" s="4"/>
      <c r="BS134" s="4"/>
      <c r="BW134" s="4"/>
      <c r="BX134" s="4"/>
      <c r="CB134" s="89"/>
      <c r="DT134" s="4"/>
      <c r="DU134" s="4"/>
      <c r="DV134" s="4"/>
      <c r="DW134" s="4"/>
      <c r="DX134" s="4"/>
      <c r="DY134" s="4"/>
      <c r="EA134" s="1" t="s">
        <v>18</v>
      </c>
      <c r="EB134" s="145">
        <f>SUM(EB130:EB133)</f>
        <v>1314.2879334772852</v>
      </c>
      <c r="EC134" s="145"/>
      <c r="ED134" s="146">
        <f>SUM(ED130:ED133)</f>
        <v>217.91110910401193</v>
      </c>
      <c r="EE134" s="146">
        <f>SUM(EE130:EE133)</f>
        <v>27197.510462001112</v>
      </c>
      <c r="EF134" s="13" cm="1">
        <f t="array" ref="EF134">SUM(EB130:EB133*EF130:EF133) / EB134</f>
        <v>3963.8871338071585</v>
      </c>
      <c r="EG134" s="146"/>
      <c r="EH134" s="146">
        <f>SUM(EH130:EH133)</f>
        <v>1</v>
      </c>
      <c r="EI134" s="146"/>
      <c r="EJ134" s="146"/>
      <c r="EK134" s="146"/>
      <c r="EL134" s="146"/>
      <c r="EM134" s="146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08" t="s">
        <v>475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477</v>
      </c>
      <c r="AS135" s="1" t="s">
        <v>477</v>
      </c>
      <c r="AT135" s="1" t="s">
        <v>477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477</v>
      </c>
      <c r="BL135" s="1" t="s">
        <v>477</v>
      </c>
      <c r="BM135" s="1" t="s">
        <v>477</v>
      </c>
      <c r="BN135" s="4"/>
      <c r="BO135" s="4"/>
      <c r="BP135" s="4"/>
      <c r="BQ135" s="4"/>
      <c r="BR135" s="4"/>
      <c r="BS135" s="4"/>
      <c r="BW135" s="4"/>
      <c r="BX135" s="4"/>
      <c r="EB135" s="150" t="s">
        <v>83</v>
      </c>
      <c r="EC135" s="150"/>
      <c r="ED135" s="138" t="s">
        <v>85</v>
      </c>
      <c r="EE135" s="138" t="s">
        <v>81</v>
      </c>
      <c r="EF135" s="1" t="s">
        <v>510</v>
      </c>
      <c r="EG135" s="151"/>
      <c r="EH135" s="151"/>
      <c r="EI135" s="138"/>
      <c r="EJ135" s="138"/>
      <c r="EK135" s="138"/>
      <c r="EL135" s="138" t="s">
        <v>90</v>
      </c>
      <c r="EM135" s="149" t="s">
        <v>87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477</v>
      </c>
      <c r="Z136" s="1" t="s">
        <v>477</v>
      </c>
      <c r="AA136" s="1" t="s">
        <v>477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476</v>
      </c>
      <c r="AS136" s="3" t="s">
        <v>476</v>
      </c>
      <c r="AT136" s="3" t="s">
        <v>476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476</v>
      </c>
      <c r="BL136" s="3" t="s">
        <v>476</v>
      </c>
      <c r="BM136" s="3" t="s">
        <v>476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08" t="s">
        <v>475</v>
      </c>
      <c r="CH136" s="1"/>
      <c r="CI136" s="1"/>
      <c r="CL136" s="4"/>
      <c r="CM136" s="4"/>
      <c r="CV136" s="46" t="s">
        <v>1</v>
      </c>
      <c r="CW136" s="42" t="s">
        <v>0</v>
      </c>
      <c r="EG136" s="148"/>
      <c r="EH136" s="138"/>
      <c r="EI136" s="138"/>
      <c r="EJ136" s="138"/>
      <c r="EK136" s="138"/>
      <c r="EL136" s="138"/>
      <c r="EM136" s="138"/>
      <c r="EN136" s="138"/>
      <c r="EO136" s="138"/>
      <c r="EP136" s="138"/>
      <c r="FC136" s="4"/>
      <c r="FD136" s="1"/>
      <c r="FE136" s="1"/>
      <c r="FF136" s="1"/>
      <c r="FI136" s="4"/>
      <c r="FJ136" s="4"/>
    </row>
    <row r="137" spans="2:171" ht="19" thickBot="1" x14ac:dyDescent="0.3">
      <c r="B137" s="384" t="s">
        <v>386</v>
      </c>
      <c r="C137" s="384"/>
      <c r="D137" s="384"/>
      <c r="E137" s="384"/>
      <c r="F137" s="384"/>
      <c r="G137" s="384"/>
      <c r="H137" s="384"/>
      <c r="T137" s="4"/>
      <c r="U137" s="4"/>
      <c r="V137" s="4"/>
      <c r="W137" s="4"/>
      <c r="X137" s="4" t="s">
        <v>59</v>
      </c>
      <c r="Y137" s="3" t="s">
        <v>476</v>
      </c>
      <c r="Z137" s="3" t="s">
        <v>476</v>
      </c>
      <c r="AA137" s="3" t="s">
        <v>476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60">
        <f>AH130</f>
        <v>1979.5520626852608</v>
      </c>
      <c r="AS137" s="60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60">
        <f>BA130</f>
        <v>1979.5520626852608</v>
      </c>
      <c r="BL137" s="60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477</v>
      </c>
      <c r="CF137" s="1" t="s">
        <v>477</v>
      </c>
      <c r="CG137" s="1" t="s">
        <v>477</v>
      </c>
      <c r="CH137" s="1"/>
      <c r="CI137" s="1"/>
      <c r="CL137" s="4"/>
      <c r="CM137" s="4"/>
      <c r="CV137" s="48" t="s">
        <v>83</v>
      </c>
      <c r="CW137" s="47" t="s">
        <v>87</v>
      </c>
      <c r="EB137" s="148"/>
      <c r="EC137" s="148"/>
      <c r="ED137" s="138"/>
      <c r="EE137" s="138"/>
      <c r="EF137" s="138"/>
      <c r="EG137" s="138"/>
      <c r="EH137" s="138"/>
      <c r="EI137" s="138"/>
      <c r="EJ137" s="138"/>
      <c r="EK137" s="138"/>
      <c r="EL137" s="138"/>
      <c r="EM137" s="138"/>
      <c r="EP137" s="4"/>
      <c r="EQ137" s="3" t="s">
        <v>2</v>
      </c>
      <c r="ER137" s="3" t="s">
        <v>3</v>
      </c>
      <c r="ES137" s="108" t="s">
        <v>475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97"/>
      <c r="C138" s="397"/>
      <c r="D138" s="397"/>
      <c r="E138" s="397"/>
      <c r="F138" s="397"/>
      <c r="G138" s="397"/>
      <c r="H138" s="397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6" t="s">
        <v>1</v>
      </c>
      <c r="V138" s="42" t="s">
        <v>0</v>
      </c>
      <c r="W138" s="4"/>
      <c r="X138" s="3" t="s">
        <v>30</v>
      </c>
      <c r="Y138" s="60">
        <f>N130</f>
        <v>1979.5520626852608</v>
      </c>
      <c r="Z138" s="60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60">
        <f>AH130+AH131</f>
        <v>2103.2296895721047</v>
      </c>
      <c r="AS138" s="60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60">
        <f>BA130+BA131</f>
        <v>2103.2296895721047</v>
      </c>
      <c r="BL138" s="60">
        <f>BT130+BT131</f>
        <v>2103.2296895721047</v>
      </c>
      <c r="BM138" s="3">
        <f>BK138-BL138</f>
        <v>0</v>
      </c>
      <c r="BN138" s="4"/>
      <c r="BO138" s="4"/>
      <c r="BZ138" s="133" t="s">
        <v>265</v>
      </c>
      <c r="CA138" s="131" t="s">
        <v>1</v>
      </c>
      <c r="CB138" s="42" t="s">
        <v>0</v>
      </c>
      <c r="CD138" s="4" t="s">
        <v>59</v>
      </c>
      <c r="CE138" s="3" t="s">
        <v>476</v>
      </c>
      <c r="CF138" s="3" t="s">
        <v>476</v>
      </c>
      <c r="CG138" s="3" t="s">
        <v>476</v>
      </c>
      <c r="CH138" s="1"/>
      <c r="CI138" s="1"/>
      <c r="CJ138" s="1"/>
      <c r="CK138" s="1"/>
      <c r="CL138" s="1"/>
      <c r="CO138" s="4"/>
      <c r="CP138" s="4"/>
      <c r="CQ138" s="4"/>
      <c r="CR138" s="3" t="s">
        <v>426</v>
      </c>
      <c r="CV138" s="40">
        <f>CL145</f>
        <v>774.43493010294708</v>
      </c>
      <c r="CW138" s="38">
        <f>CW145</f>
        <v>87222.135331413883</v>
      </c>
      <c r="EB138" s="148"/>
      <c r="EC138" s="148"/>
      <c r="ED138" s="138"/>
      <c r="EE138" s="138"/>
      <c r="EF138" s="138"/>
      <c r="EG138" s="138"/>
      <c r="EH138" s="138"/>
      <c r="EI138" s="138"/>
      <c r="EJ138" s="138"/>
      <c r="EK138" s="138"/>
      <c r="EL138" s="152" t="s">
        <v>1</v>
      </c>
      <c r="EM138" s="153" t="s">
        <v>0</v>
      </c>
      <c r="EP138" s="4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1" t="s">
        <v>195</v>
      </c>
      <c r="C139" s="90" t="s">
        <v>194</v>
      </c>
      <c r="D139" s="90" t="s">
        <v>166</v>
      </c>
      <c r="E139" s="90" t="s">
        <v>166</v>
      </c>
      <c r="F139" s="90" t="s">
        <v>166</v>
      </c>
      <c r="G139" s="91" t="s">
        <v>250</v>
      </c>
      <c r="H139" s="90" t="s">
        <v>244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8" t="s">
        <v>83</v>
      </c>
      <c r="V139" s="47" t="s">
        <v>87</v>
      </c>
      <c r="W139" s="4"/>
      <c r="X139" s="3" t="s">
        <v>17</v>
      </c>
      <c r="Y139" s="60">
        <f>N130+N131+(12*N144)+(8*N155)</f>
        <v>2103.6726491469517</v>
      </c>
      <c r="Z139" s="60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240</v>
      </c>
      <c r="AR139" s="60">
        <f>AH131</f>
        <v>123.6776268868441</v>
      </c>
      <c r="AS139" s="60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240</v>
      </c>
      <c r="BK139" s="60">
        <f>BA131</f>
        <v>123.6776268868441</v>
      </c>
      <c r="BL139" s="60">
        <f>BT131</f>
        <v>123.6776268868441</v>
      </c>
      <c r="BM139" s="3">
        <f t="shared" ref="BM139:BM140" si="53">BK139-BL139</f>
        <v>0</v>
      </c>
      <c r="BN139" s="4"/>
      <c r="BO139" s="4"/>
      <c r="BZ139" s="134" t="s">
        <v>62</v>
      </c>
      <c r="CA139" s="18" t="s">
        <v>83</v>
      </c>
      <c r="CB139" s="47" t="s">
        <v>87</v>
      </c>
      <c r="CD139" s="3" t="s">
        <v>30</v>
      </c>
      <c r="CE139" s="60">
        <f>BT130</f>
        <v>1979.5520626852608</v>
      </c>
      <c r="CF139" s="60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48"/>
      <c r="EC139" s="148"/>
      <c r="ED139" s="138"/>
      <c r="EE139" s="138"/>
      <c r="EF139" s="138"/>
      <c r="EG139" s="138"/>
      <c r="EH139" s="138"/>
      <c r="EI139" s="138"/>
      <c r="EJ139" s="138"/>
      <c r="EK139" s="138"/>
      <c r="EL139" s="154" t="s">
        <v>83</v>
      </c>
      <c r="EM139" s="155" t="s">
        <v>87</v>
      </c>
      <c r="EP139" s="4" t="s">
        <v>59</v>
      </c>
      <c r="EQ139" s="3" t="s">
        <v>476</v>
      </c>
      <c r="ER139" s="3" t="s">
        <v>476</v>
      </c>
      <c r="ES139" s="3" t="s">
        <v>476</v>
      </c>
      <c r="EZ139" s="1"/>
      <c r="FA139" s="1"/>
      <c r="FB139" s="1"/>
      <c r="FE139" s="4"/>
      <c r="FF139" s="4"/>
      <c r="FG139" s="4"/>
      <c r="FL139" s="46" t="s">
        <v>1</v>
      </c>
      <c r="FM139" s="42" t="s">
        <v>0</v>
      </c>
    </row>
    <row r="140" spans="2:171" ht="19" thickBot="1" x14ac:dyDescent="0.3">
      <c r="B140" s="11" t="s">
        <v>91</v>
      </c>
      <c r="C140" s="11" t="s">
        <v>91</v>
      </c>
      <c r="D140" s="90" t="s">
        <v>255</v>
      </c>
      <c r="E140" s="90" t="s">
        <v>256</v>
      </c>
      <c r="F140" s="90" t="s">
        <v>47</v>
      </c>
      <c r="G140" s="91" t="s">
        <v>91</v>
      </c>
      <c r="H140" s="90" t="s">
        <v>47</v>
      </c>
      <c r="J140" s="4"/>
      <c r="K140" s="4"/>
      <c r="L140" s="4"/>
      <c r="M140" s="4"/>
      <c r="N140" s="4"/>
      <c r="O140" s="4"/>
      <c r="P140" s="4"/>
      <c r="Q140" s="173" t="s">
        <v>466</v>
      </c>
      <c r="R140" s="4"/>
      <c r="S140" s="4"/>
      <c r="T140" s="4"/>
      <c r="U140" s="40">
        <f>L145</f>
        <v>5.671161105764883E-3</v>
      </c>
      <c r="V140" s="38">
        <f>V145</f>
        <v>257.99399332425372</v>
      </c>
      <c r="W140" s="4"/>
      <c r="X140" s="3" t="s">
        <v>240</v>
      </c>
      <c r="Y140" s="60">
        <f>N131</f>
        <v>123.6776268868441</v>
      </c>
      <c r="Z140" s="60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46" t="s">
        <v>1</v>
      </c>
      <c r="AP140" s="42" t="s">
        <v>0</v>
      </c>
      <c r="AQ140" s="3" t="s">
        <v>28</v>
      </c>
      <c r="AR140" s="60">
        <f>3*(AH130+AH131)</f>
        <v>6309.6890687163141</v>
      </c>
      <c r="AS140" s="60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60">
        <f>3*(BA130+BA131)</f>
        <v>6309.6890687163141</v>
      </c>
      <c r="BL140" s="60">
        <f>3*(BT130+BT131)</f>
        <v>6309.6890687163141</v>
      </c>
      <c r="BM140" s="3">
        <f t="shared" si="53"/>
        <v>0</v>
      </c>
      <c r="BN140" s="4"/>
      <c r="BO140" s="4"/>
      <c r="BW140" s="3" t="s">
        <v>420</v>
      </c>
      <c r="BZ140" s="98">
        <v>298.14999999999998</v>
      </c>
      <c r="CA140" s="132">
        <f>BQ146</f>
        <v>644.2421909044931</v>
      </c>
      <c r="CB140" s="38">
        <f>CB146</f>
        <v>2671.5132120132448</v>
      </c>
      <c r="CD140" s="3" t="s">
        <v>17</v>
      </c>
      <c r="CE140" s="60">
        <f>BT130+BT131+BT156</f>
        <v>4448.8373784188816</v>
      </c>
      <c r="CF140" s="60">
        <f>CO143</f>
        <v>4448.8373784188816</v>
      </c>
      <c r="CG140" s="3">
        <f>CE140-CF140</f>
        <v>0</v>
      </c>
      <c r="CK140" s="4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48"/>
      <c r="EC140" s="148"/>
      <c r="ED140" s="138"/>
      <c r="EE140" s="138"/>
      <c r="EF140" s="138"/>
      <c r="EG140" s="138"/>
      <c r="EH140" s="138" t="s">
        <v>420</v>
      </c>
      <c r="EI140" s="138"/>
      <c r="EJ140" s="138"/>
      <c r="EK140" s="138"/>
      <c r="EL140" s="143">
        <f>EB146</f>
        <v>2852.0490535886452</v>
      </c>
      <c r="EM140" s="144">
        <f>EM146</f>
        <v>11826.742854693757</v>
      </c>
      <c r="EP140" s="3" t="s">
        <v>15</v>
      </c>
      <c r="EQ140" s="60">
        <f>2*EE130</f>
        <v>11034.753976812313</v>
      </c>
      <c r="ER140" s="60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48" t="s">
        <v>83</v>
      </c>
      <c r="FM140" s="47" t="s">
        <v>87</v>
      </c>
    </row>
    <row r="141" spans="2:171" ht="19.25" customHeight="1" thickBot="1" x14ac:dyDescent="0.3">
      <c r="B141" s="11" t="s">
        <v>209</v>
      </c>
      <c r="C141" s="90" t="s">
        <v>201</v>
      </c>
      <c r="D141" s="11">
        <v>5570</v>
      </c>
      <c r="E141" s="90">
        <f t="shared" ref="E141:E148" si="55">D141*Btu_to_kJ</f>
        <v>5876.6842000000006</v>
      </c>
      <c r="F141" s="90">
        <f t="shared" ref="F141:F148" si="56">E141*($AE$131/1000)</f>
        <v>61.28077095942907</v>
      </c>
      <c r="G141" s="90">
        <v>1.06</v>
      </c>
      <c r="H141" s="90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60">
        <f>(3*(N130+N131))+(2*N167)</f>
        <v>6311.0055270044713</v>
      </c>
      <c r="Z141" s="60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48" t="s">
        <v>83</v>
      </c>
      <c r="AP141" s="47" t="s">
        <v>87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240</v>
      </c>
      <c r="CE141" s="60">
        <f>BT131</f>
        <v>123.6776268868441</v>
      </c>
      <c r="CF141" s="60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82</v>
      </c>
      <c r="CM141" s="4" t="s">
        <v>213</v>
      </c>
      <c r="CN141" s="2" t="s">
        <v>84</v>
      </c>
      <c r="CO141" s="2" t="s">
        <v>80</v>
      </c>
      <c r="CP141" s="1" t="s">
        <v>89</v>
      </c>
      <c r="CQ141" s="2" t="s">
        <v>89</v>
      </c>
      <c r="CR141" s="2" t="s">
        <v>24</v>
      </c>
      <c r="CS141" s="2" t="s">
        <v>91</v>
      </c>
      <c r="CT141" s="2" t="s">
        <v>89</v>
      </c>
      <c r="CU141" s="2" t="s">
        <v>89</v>
      </c>
      <c r="CV141" s="2" t="s">
        <v>88</v>
      </c>
      <c r="CW141" s="2" t="s">
        <v>86</v>
      </c>
      <c r="EB141" s="148"/>
      <c r="EC141" s="148"/>
      <c r="ED141" s="138"/>
      <c r="EE141" s="138"/>
      <c r="EF141" s="138"/>
      <c r="EG141" s="138"/>
      <c r="EH141" s="138"/>
      <c r="EI141" s="138"/>
      <c r="EJ141" s="138"/>
      <c r="EK141" s="138"/>
      <c r="EL141" s="138"/>
      <c r="EM141" s="138"/>
      <c r="EP141" s="3" t="s">
        <v>29</v>
      </c>
      <c r="EQ141" s="253">
        <f>EE131</f>
        <v>1979.5520626852608</v>
      </c>
      <c r="ER141" s="60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447</v>
      </c>
      <c r="FL141" s="40">
        <f>FB149</f>
        <v>3402.2651449800928</v>
      </c>
      <c r="FM141" s="38">
        <f>FM149</f>
        <v>404209.15818875749</v>
      </c>
    </row>
    <row r="142" spans="2:171" ht="19" thickBot="1" x14ac:dyDescent="0.3">
      <c r="B142" s="11" t="s">
        <v>209</v>
      </c>
      <c r="C142" s="11" t="s">
        <v>202</v>
      </c>
      <c r="D142" s="11">
        <v>5140</v>
      </c>
      <c r="E142" s="90">
        <f t="shared" si="55"/>
        <v>5423.0084000000006</v>
      </c>
      <c r="F142" s="90">
        <f t="shared" si="56"/>
        <v>56.549939449096122</v>
      </c>
      <c r="G142" s="90">
        <v>1.06</v>
      </c>
      <c r="H142" s="90">
        <f t="shared" si="57"/>
        <v>59.942935816041896</v>
      </c>
      <c r="J142" s="4"/>
      <c r="K142" s="3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4"/>
      <c r="X142" s="4" t="s">
        <v>135</v>
      </c>
      <c r="Y142" s="248">
        <f>(23*N144)+(18*N155)</f>
        <v>0.86107827692526073</v>
      </c>
      <c r="Z142" s="248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437</v>
      </c>
      <c r="AO142" s="40">
        <f>AE149</f>
        <v>9.658257192857822E-2</v>
      </c>
      <c r="AP142" s="3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84" t="s">
        <v>414</v>
      </c>
      <c r="BL142" s="384"/>
      <c r="BM142" s="384"/>
      <c r="BN142" s="384"/>
      <c r="BP142" s="4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3" t="s">
        <v>28</v>
      </c>
      <c r="CE142" s="60">
        <f>(3*BT130)+(3*BT131)+(2*BT144)</f>
        <v>15692.119824103422</v>
      </c>
      <c r="CF142" s="60">
        <f>CO118+CO130+(CO142)+(2*CO143)</f>
        <v>15692.119824103422</v>
      </c>
      <c r="CG142" s="3">
        <f t="shared" si="58"/>
        <v>0</v>
      </c>
      <c r="CJ142" s="379" t="s">
        <v>426</v>
      </c>
      <c r="CK142" s="13" t="s">
        <v>67</v>
      </c>
      <c r="CL142" s="7">
        <f>H2O_Kiln_Out</f>
        <v>84.513558569455128</v>
      </c>
      <c r="CM142" s="7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7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7">
        <f>$CO$145*CV142</f>
        <v>24373.650783094952</v>
      </c>
      <c r="DV142" s="384" t="s">
        <v>414</v>
      </c>
      <c r="DW142" s="384"/>
      <c r="DX142" s="384"/>
      <c r="DY142" s="384"/>
      <c r="EA142" s="4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3" t="s">
        <v>30</v>
      </c>
      <c r="EQ142" s="253">
        <f>EE132</f>
        <v>1979.5520626852608</v>
      </c>
      <c r="ER142" s="60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1" t="s">
        <v>209</v>
      </c>
      <c r="C143" s="11" t="s">
        <v>183</v>
      </c>
      <c r="D143" s="11">
        <f>3660+2040+1020+133</f>
        <v>6853</v>
      </c>
      <c r="E143" s="90">
        <f t="shared" si="55"/>
        <v>7230.3261800000009</v>
      </c>
      <c r="F143" s="90">
        <f t="shared" si="56"/>
        <v>75.396251954213184</v>
      </c>
      <c r="G143" s="90">
        <v>1.06</v>
      </c>
      <c r="H143" s="90">
        <f t="shared" si="57"/>
        <v>79.920027071465981</v>
      </c>
      <c r="J143" s="4" t="s">
        <v>40</v>
      </c>
      <c r="K143" s="3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4"/>
      <c r="X143" s="4" t="s">
        <v>284</v>
      </c>
      <c r="Y143" s="248">
        <f>2*N168</f>
        <v>4.9498831634702833</v>
      </c>
      <c r="Z143" s="248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84"/>
      <c r="BL143" s="384"/>
      <c r="BM143" s="384"/>
      <c r="BN143" s="384"/>
      <c r="BO143" s="4"/>
      <c r="BP143" s="4" t="s">
        <v>40</v>
      </c>
      <c r="BQ143" s="1" t="s">
        <v>82</v>
      </c>
      <c r="BR143" s="4" t="s">
        <v>213</v>
      </c>
      <c r="BS143" s="2" t="s">
        <v>84</v>
      </c>
      <c r="BT143" s="2" t="s">
        <v>80</v>
      </c>
      <c r="BU143" s="1" t="s">
        <v>89</v>
      </c>
      <c r="BV143" s="2" t="s">
        <v>89</v>
      </c>
      <c r="BW143" s="2" t="s">
        <v>24</v>
      </c>
      <c r="BX143" s="2" t="s">
        <v>91</v>
      </c>
      <c r="BY143" s="2" t="s">
        <v>89</v>
      </c>
      <c r="BZ143" s="2" t="s">
        <v>89</v>
      </c>
      <c r="CA143" s="2" t="s">
        <v>88</v>
      </c>
      <c r="CB143" s="2" t="s">
        <v>86</v>
      </c>
      <c r="CD143" s="3" t="s">
        <v>284</v>
      </c>
      <c r="CE143" s="60">
        <f>(2*BT145)</f>
        <v>35277.939640255521</v>
      </c>
      <c r="CF143" s="60">
        <f>(2*CO144)</f>
        <v>35277.939640255521</v>
      </c>
      <c r="CG143" s="3">
        <f t="shared" si="58"/>
        <v>0</v>
      </c>
      <c r="CJ143" s="379"/>
      <c r="CK143" s="3" t="s">
        <v>479</v>
      </c>
      <c r="CL143" s="251">
        <f>CO2_Kiln_Out+CO2_Kiln_out_from_methane</f>
        <v>195.79244325673932</v>
      </c>
      <c r="CM143" s="251">
        <f>CL143/CL145</f>
        <v>0.25281974720679534</v>
      </c>
      <c r="CN143" s="251">
        <f>MW_CO2</f>
        <v>4.4009800000000002E-2</v>
      </c>
      <c r="CO143" s="251">
        <f>CL143/CN143</f>
        <v>4448.8373784188816</v>
      </c>
      <c r="CP143" s="251">
        <f>h_CO2</f>
        <v>-393.5</v>
      </c>
      <c r="CQ143" s="251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84"/>
      <c r="DW143" s="384"/>
      <c r="DX143" s="384"/>
      <c r="DY143" s="384"/>
      <c r="EA143" s="71" t="s">
        <v>40</v>
      </c>
      <c r="EB143" s="156" t="s">
        <v>82</v>
      </c>
      <c r="EC143" s="1" t="s">
        <v>452</v>
      </c>
      <c r="ED143" s="157" t="s">
        <v>84</v>
      </c>
      <c r="EE143" s="157" t="s">
        <v>80</v>
      </c>
      <c r="EF143" s="1" t="s">
        <v>89</v>
      </c>
      <c r="EG143" s="157" t="s">
        <v>89</v>
      </c>
      <c r="EH143" s="157" t="s">
        <v>24</v>
      </c>
      <c r="EI143" s="157" t="s">
        <v>91</v>
      </c>
      <c r="EJ143" s="157" t="s">
        <v>89</v>
      </c>
      <c r="EK143" s="157" t="s">
        <v>89</v>
      </c>
      <c r="EL143" s="157" t="s">
        <v>88</v>
      </c>
      <c r="EM143" s="157" t="s">
        <v>86</v>
      </c>
      <c r="EN143" s="1"/>
      <c r="EP143" s="3" t="s">
        <v>17</v>
      </c>
      <c r="EQ143" s="60">
        <f>(EE133/coke_C_coeff)+EE157+EE118+(10*EE105)</f>
        <v>20331.250270534823</v>
      </c>
      <c r="ER143" s="60">
        <f>FE145</f>
        <v>20331.250270534823</v>
      </c>
      <c r="ES143" s="3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1" t="s">
        <v>209</v>
      </c>
      <c r="C144" s="11" t="s">
        <v>203</v>
      </c>
      <c r="D144" s="11">
        <f>3100</f>
        <v>3100</v>
      </c>
      <c r="E144" s="90">
        <f t="shared" si="55"/>
        <v>3270.6860000000001</v>
      </c>
      <c r="F144" s="90">
        <f t="shared" si="56"/>
        <v>34.105994609377035</v>
      </c>
      <c r="G144" s="90">
        <v>1.06</v>
      </c>
      <c r="H144" s="90">
        <f t="shared" si="57"/>
        <v>36.152354285939658</v>
      </c>
      <c r="I144" s="244" t="s">
        <v>466</v>
      </c>
      <c r="J144" s="45" t="s">
        <v>389</v>
      </c>
      <c r="K144" s="13">
        <f>F149</f>
        <v>241.59146310558401</v>
      </c>
      <c r="L144" s="13">
        <f>K144/LHV_Diesel</f>
        <v>5.671161105764883E-3</v>
      </c>
      <c r="M144" s="13">
        <f>MW_C12H23</f>
        <v>0.16731462</v>
      </c>
      <c r="N144" s="13">
        <f>L144/M144</f>
        <v>3.3895191620223523E-2</v>
      </c>
      <c r="O144" s="13">
        <f>LHV_Diesel*M144</f>
        <v>7127.6028120000001</v>
      </c>
      <c r="P144" s="13">
        <f>b_ch_Diesel</f>
        <v>45492.270191724252</v>
      </c>
      <c r="Q144" s="13">
        <f>N144/N145</f>
        <v>1</v>
      </c>
      <c r="R144" s="13">
        <f>LN(Q144)</f>
        <v>0</v>
      </c>
      <c r="S144" s="13">
        <f>RT0*R144</f>
        <v>0</v>
      </c>
      <c r="T144" s="13">
        <f>S144+P144</f>
        <v>45492.270191724252</v>
      </c>
      <c r="U144" s="13">
        <f>Q144*T144</f>
        <v>45492.270191724252</v>
      </c>
      <c r="V144" s="13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79" t="s">
        <v>420</v>
      </c>
      <c r="BP144" s="7" t="s">
        <v>233</v>
      </c>
      <c r="BQ144" s="13">
        <f>O2_Kiln_in</f>
        <v>150.11326262774048</v>
      </c>
      <c r="BR144" s="13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2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135</v>
      </c>
      <c r="CE144" s="60">
        <f>(4*BT156)</f>
        <v>9382.4307553871076</v>
      </c>
      <c r="CF144" s="60">
        <f>(2*CO142)</f>
        <v>9382.4307553871076</v>
      </c>
      <c r="CG144" s="3">
        <f t="shared" si="58"/>
        <v>0</v>
      </c>
      <c r="CJ144" s="379"/>
      <c r="CK144" s="6" t="s">
        <v>66</v>
      </c>
      <c r="CL144" s="252">
        <f>N2_Kiln_in</f>
        <v>494.12892827675262</v>
      </c>
      <c r="CM144" s="1">
        <f>CL144/$CL$145</f>
        <v>0.63805093116224387</v>
      </c>
      <c r="CN144" s="5">
        <f>MW_N2</f>
        <v>2.801348E-2</v>
      </c>
      <c r="CO144" s="1">
        <f>CL144/CN144</f>
        <v>17638.969820127761</v>
      </c>
      <c r="CP144" s="1">
        <f>h_N2</f>
        <v>0</v>
      </c>
      <c r="CQ144" s="5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9" t="s">
        <v>420</v>
      </c>
      <c r="EA144" s="1" t="s">
        <v>233</v>
      </c>
      <c r="EB144" s="148">
        <f>(EE105*O2_Oil_molcoeff*MW_O2)+(EE118*O2_Naturalgas_molcoeff*MW_O2) + O2_in_BF_for_COG+O2_in_BF_for_coke+O2_in_BF</f>
        <v>664.54882131744762</v>
      </c>
      <c r="EC144" s="145">
        <f>EB144/EB146</f>
        <v>0.23300750051310176</v>
      </c>
      <c r="ED144" s="223">
        <f>MW_O2</f>
        <v>3.1998800000000001E-2</v>
      </c>
      <c r="EE144" s="138">
        <f>EB144/ED144</f>
        <v>20767.929463525121</v>
      </c>
      <c r="EF144" s="22">
        <f>h_O2</f>
        <v>0</v>
      </c>
      <c r="EG144" s="138">
        <f>b_ch_O2</f>
        <v>4</v>
      </c>
      <c r="EH144" s="138">
        <f>EE144/$EE$146</f>
        <v>0.21008403361344541</v>
      </c>
      <c r="EI144" s="149">
        <f>LN(EH144)</f>
        <v>-1.5602476682433284</v>
      </c>
      <c r="EJ144" s="149">
        <f>RT0*EI144</f>
        <v>-3.8656259359049594</v>
      </c>
      <c r="EK144" s="149">
        <f>EG144+EJ144</f>
        <v>0.1343740640950406</v>
      </c>
      <c r="EL144" s="149">
        <f>EK144*EH144</f>
        <v>2.8229845398117778E-2</v>
      </c>
      <c r="EM144" s="149">
        <f>$EE$146*EL144</f>
        <v>2790.671084853007</v>
      </c>
      <c r="EP144" s="3" t="s">
        <v>28</v>
      </c>
      <c r="EQ144" s="60">
        <f>(3*EE130)+(2*EE131)+EE132+(2*EE144)+(2*EE158)+(EE133/coke_O_coeff)</f>
        <v>64219.066359849749</v>
      </c>
      <c r="ER144" s="60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x14ac:dyDescent="0.25">
      <c r="B145" s="11" t="s">
        <v>209</v>
      </c>
      <c r="C145" s="11" t="s">
        <v>204</v>
      </c>
      <c r="D145" s="11">
        <v>1060</v>
      </c>
      <c r="E145" s="90">
        <f t="shared" si="55"/>
        <v>1118.3636000000001</v>
      </c>
      <c r="F145" s="90">
        <f t="shared" si="56"/>
        <v>11.662049769657957</v>
      </c>
      <c r="G145" s="90">
        <v>1.06</v>
      </c>
      <c r="H145" s="90">
        <f t="shared" si="57"/>
        <v>12.361772755837434</v>
      </c>
      <c r="J145" s="13" t="s">
        <v>18</v>
      </c>
      <c r="K145" s="13">
        <f>SUM(K144)</f>
        <v>241.59146310558401</v>
      </c>
      <c r="L145" s="13">
        <f>SUM(L144)</f>
        <v>5.671161105764883E-3</v>
      </c>
      <c r="M145" s="13">
        <f>SUM(M144)</f>
        <v>0.16731462</v>
      </c>
      <c r="N145" s="13">
        <f>SUM(N144)</f>
        <v>3.3895191620223523E-2</v>
      </c>
      <c r="O145" s="13">
        <f>SUM(O144)</f>
        <v>7127.6028120000001</v>
      </c>
      <c r="P145" s="13"/>
      <c r="Q145" s="13"/>
      <c r="R145" s="13"/>
      <c r="S145" s="13"/>
      <c r="T145" s="13"/>
      <c r="U145" s="13">
        <f>SUM(U144)</f>
        <v>45492.270191724252</v>
      </c>
      <c r="V145" s="13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82</v>
      </c>
      <c r="AF145" s="4" t="s">
        <v>213</v>
      </c>
      <c r="AG145" s="2" t="s">
        <v>84</v>
      </c>
      <c r="AH145" s="2" t="s">
        <v>80</v>
      </c>
      <c r="AI145" s="1" t="s">
        <v>89</v>
      </c>
      <c r="AJ145" s="2" t="s">
        <v>89</v>
      </c>
      <c r="AK145" s="2" t="s">
        <v>24</v>
      </c>
      <c r="AL145" s="2" t="s">
        <v>91</v>
      </c>
      <c r="AM145" s="2" t="s">
        <v>89</v>
      </c>
      <c r="AN145" s="2" t="s">
        <v>89</v>
      </c>
      <c r="AO145" s="2" t="s">
        <v>88</v>
      </c>
      <c r="AP145" s="2" t="s">
        <v>86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79"/>
      <c r="BP145" s="43" t="s">
        <v>66</v>
      </c>
      <c r="BQ145" s="23">
        <f>N2_Kiln_in</f>
        <v>494.12892827675262</v>
      </c>
      <c r="BR145" s="3">
        <f>N2_Kiln_in/BQ146</f>
        <v>0.76699249948689818</v>
      </c>
      <c r="BS145" s="23">
        <f>MW_N2</f>
        <v>2.801348E-2</v>
      </c>
      <c r="BT145" s="23">
        <f>BQ145/BS145</f>
        <v>17638.969820127761</v>
      </c>
      <c r="BU145" s="5">
        <f>h_N2</f>
        <v>0</v>
      </c>
      <c r="BV145" s="23">
        <f>b_ch_N2</f>
        <v>0.7</v>
      </c>
      <c r="BW145" s="23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79"/>
      <c r="CK145" s="13" t="s">
        <v>18</v>
      </c>
      <c r="CL145" s="1">
        <f>SUM(CL142:CL144)</f>
        <v>774.43493010294708</v>
      </c>
      <c r="CM145" s="7">
        <f>SUM(CM142:CM144)</f>
        <v>1</v>
      </c>
      <c r="CN145" s="7">
        <f>SUM(CN142:CN144)</f>
        <v>9.0038560000000004E-2</v>
      </c>
      <c r="CO145" s="7">
        <f>SUM(CO142:CO144)</f>
        <v>26779.022576240197</v>
      </c>
      <c r="CP145" s="13" cm="1">
        <f t="array" ref="CP145">SUM(CL142:CL144*CP142:CP144) / CL145</f>
        <v>-125.87204049624027</v>
      </c>
      <c r="CQ145" s="45"/>
      <c r="CR145" s="7">
        <f>SUM(CR142:CR144)</f>
        <v>1</v>
      </c>
      <c r="CS145" s="13"/>
      <c r="CT145" s="13"/>
      <c r="CU145" s="13"/>
      <c r="CV145" s="7">
        <f>SUM(CV142:CV144)</f>
        <v>3.2571067552257156</v>
      </c>
      <c r="CW145" s="7">
        <f>SUM(CW142:CW144)</f>
        <v>87222.135331413883</v>
      </c>
      <c r="DZ145" s="379"/>
      <c r="EA145" s="43" t="s">
        <v>66</v>
      </c>
      <c r="EB145" s="158">
        <f>ED145*EE145</f>
        <v>2187.5002322711975</v>
      </c>
      <c r="EC145" s="158">
        <f>EB145/EB146</f>
        <v>0.76699249948689829</v>
      </c>
      <c r="ED145" s="229">
        <f>MW_N2</f>
        <v>2.801348E-2</v>
      </c>
      <c r="EE145" s="159">
        <f>N2_molcoeff*EE144</f>
        <v>78087.414782854452</v>
      </c>
      <c r="EF145" s="5">
        <f>h_N2</f>
        <v>0</v>
      </c>
      <c r="EG145" s="159">
        <f>b_ch_N2</f>
        <v>0.7</v>
      </c>
      <c r="EH145" s="159">
        <f>EE145/$EE$146</f>
        <v>0.7899159663865547</v>
      </c>
      <c r="EI145" s="157">
        <f>LN(EH145)</f>
        <v>-0.23582871084152537</v>
      </c>
      <c r="EJ145" s="157">
        <f>RT0*EI145</f>
        <v>-0.58428261077705967</v>
      </c>
      <c r="EK145" s="157">
        <f>EG145+EJ145</f>
        <v>0.11571738922294028</v>
      </c>
      <c r="EL145" s="157">
        <f>EK145*EH145</f>
        <v>9.1407013335767964E-2</v>
      </c>
      <c r="EM145" s="157">
        <f>$EE$146*EL145</f>
        <v>9036.0717698407498</v>
      </c>
      <c r="EP145" s="3" t="s">
        <v>135</v>
      </c>
      <c r="EQ145" s="60">
        <f>(20*EE105)+(4*EE118)+(2*EE156)+(4*EE157)+(EE133/coke_H_coeff)+(2*EE159)</f>
        <v>34893.980176118836</v>
      </c>
      <c r="ER145" s="60">
        <f>2*FE146</f>
        <v>34893.980176118828</v>
      </c>
      <c r="ES145" s="3">
        <f t="shared" si="59"/>
        <v>0</v>
      </c>
      <c r="EZ145" s="379" t="s">
        <v>447</v>
      </c>
      <c r="FA145" s="3" t="s">
        <v>22</v>
      </c>
      <c r="FB145" s="7">
        <f>CO2_out_BF_from_COG+(EE105*Co2_Oil_molcoef*MW_CO2)+(EE118*Co2_Naturalgas_molcoeff*MW_CO2)+CO2_out_BF_from_coke</f>
        <v>894.77425815618358</v>
      </c>
      <c r="FC145" s="7">
        <f>BF_CO2Waste/$FB$149</f>
        <v>0.26299368803645051</v>
      </c>
      <c r="FD145" s="7">
        <f>MW_CO2</f>
        <v>4.4009800000000002E-2</v>
      </c>
      <c r="FE145" s="7">
        <f>FB145/FD145</f>
        <v>20331.250270534823</v>
      </c>
      <c r="FF145" s="7">
        <f>h_CO2</f>
        <v>-393.5</v>
      </c>
      <c r="FG145" s="7">
        <f>b_ch_CO2</f>
        <v>19.900000000000034</v>
      </c>
      <c r="FH145" s="7">
        <f>FE145/$FE$149</f>
        <v>0.17533231989148279</v>
      </c>
      <c r="FI145" s="7">
        <f>LN(FH145)</f>
        <v>-1.7410721350158418</v>
      </c>
      <c r="FJ145" s="7">
        <f>RT0*FI145</f>
        <v>-4.3136315716954687</v>
      </c>
      <c r="FK145" s="7">
        <f>FG145+FJ145</f>
        <v>15.586368428304565</v>
      </c>
      <c r="FL145" s="7">
        <f>FK145*FH145</f>
        <v>2.7327941352180041</v>
      </c>
      <c r="FM145" s="7">
        <f>$FE$149*FL145</f>
        <v>316890.35732462263</v>
      </c>
    </row>
    <row r="146" spans="2:169" ht="21" customHeight="1" x14ac:dyDescent="0.25">
      <c r="B146" s="11" t="s">
        <v>209</v>
      </c>
      <c r="C146" s="93" t="s">
        <v>205</v>
      </c>
      <c r="D146" s="11">
        <v>60</v>
      </c>
      <c r="E146" s="90">
        <f t="shared" si="55"/>
        <v>63.303600000000003</v>
      </c>
      <c r="F146" s="90">
        <f t="shared" si="56"/>
        <v>0.6601160246976201</v>
      </c>
      <c r="G146" s="90">
        <v>1.06</v>
      </c>
      <c r="H146" s="90">
        <f t="shared" si="57"/>
        <v>0.69972298617947737</v>
      </c>
      <c r="K146" s="3" t="s">
        <v>47</v>
      </c>
      <c r="L146" s="1" t="s">
        <v>83</v>
      </c>
      <c r="M146" s="3" t="s">
        <v>85</v>
      </c>
      <c r="N146" s="3" t="s">
        <v>81</v>
      </c>
      <c r="O146" s="1" t="s">
        <v>510</v>
      </c>
      <c r="P146" s="4"/>
      <c r="Q146" s="4"/>
      <c r="U146" s="3" t="s">
        <v>90</v>
      </c>
      <c r="V146" s="1" t="s">
        <v>87</v>
      </c>
      <c r="W146" s="4"/>
      <c r="X146" s="4"/>
      <c r="Y146" s="4"/>
      <c r="Z146" s="4"/>
      <c r="AA146" s="4"/>
      <c r="AB146" s="4"/>
      <c r="AC146" s="379" t="s">
        <v>395</v>
      </c>
      <c r="AD146" s="13" t="s">
        <v>22</v>
      </c>
      <c r="AE146" s="7">
        <f>AG146*AH146</f>
        <v>1.949456229710942E-2</v>
      </c>
      <c r="AF146" s="7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7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7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3"/>
      <c r="BS146" s="3">
        <f>SUM(BS144:BS145)</f>
        <v>6.0012280000000001E-2</v>
      </c>
      <c r="BT146" s="3">
        <f>SUM(BT144:BT145)</f>
        <v>22330.185197821316</v>
      </c>
      <c r="BU146" s="22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83</v>
      </c>
      <c r="CM146" s="1"/>
      <c r="CN146" s="3" t="s">
        <v>85</v>
      </c>
      <c r="CO146" s="3" t="s">
        <v>81</v>
      </c>
      <c r="CP146" s="1" t="s">
        <v>510</v>
      </c>
      <c r="CQ146" s="4"/>
      <c r="CR146" s="4"/>
      <c r="CV146" s="3" t="s">
        <v>90</v>
      </c>
      <c r="CW146" s="1" t="s">
        <v>87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2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284</v>
      </c>
      <c r="EQ146" s="60">
        <f>(2*EE145)+(EE133/coke_N_coeff)</f>
        <v>156189.34256449644</v>
      </c>
      <c r="ER146" s="60">
        <f>2*FE148</f>
        <v>156189.34256449644</v>
      </c>
      <c r="ES146" s="3">
        <f t="shared" si="59"/>
        <v>0</v>
      </c>
      <c r="EZ146" s="379"/>
      <c r="FA146" s="3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1" t="s">
        <v>209</v>
      </c>
      <c r="C147" s="11" t="s">
        <v>206</v>
      </c>
      <c r="D147" s="90">
        <v>170</v>
      </c>
      <c r="E147" s="90">
        <f t="shared" si="55"/>
        <v>179.36020000000002</v>
      </c>
      <c r="F147" s="90">
        <f t="shared" si="56"/>
        <v>1.8703287366432571</v>
      </c>
      <c r="G147" s="90">
        <v>1.06</v>
      </c>
      <c r="H147" s="90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79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5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5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83</v>
      </c>
      <c r="BS147" s="3" t="s">
        <v>85</v>
      </c>
      <c r="BT147" s="3" t="s">
        <v>81</v>
      </c>
      <c r="BU147" s="1" t="s">
        <v>510</v>
      </c>
      <c r="BV147" s="4"/>
      <c r="BW147" s="4"/>
      <c r="CA147" s="3" t="s">
        <v>90</v>
      </c>
      <c r="CB147" s="1" t="s">
        <v>87</v>
      </c>
      <c r="EB147" s="1" t="s">
        <v>83</v>
      </c>
      <c r="EC147" s="1"/>
      <c r="ED147" s="3" t="s">
        <v>85</v>
      </c>
      <c r="EE147" s="3" t="s">
        <v>81</v>
      </c>
      <c r="EF147" s="1" t="s">
        <v>510</v>
      </c>
      <c r="EG147" s="4"/>
      <c r="EH147" s="4"/>
      <c r="EL147" s="3" t="s">
        <v>90</v>
      </c>
      <c r="EM147" s="1" t="s">
        <v>87</v>
      </c>
      <c r="EP147" s="3" t="s">
        <v>133</v>
      </c>
      <c r="EQ147" s="60">
        <f>EE159+(EE133/coke_S_coeff)</f>
        <v>85.459771332449549</v>
      </c>
      <c r="ER147" s="60">
        <f>FE147</f>
        <v>85.459771332449534</v>
      </c>
      <c r="ES147" s="3">
        <f t="shared" si="59"/>
        <v>0</v>
      </c>
      <c r="EZ147" s="379"/>
      <c r="FA147" s="280" t="s">
        <v>561</v>
      </c>
      <c r="FB147" s="280">
        <f>SO2_out_BF_from_COG+SO2_out_BF_from_coke</f>
        <v>5.4749631584591132</v>
      </c>
      <c r="FC147" s="1">
        <f>FB147/$FB$149</f>
        <v>1.6092111946469558E-3</v>
      </c>
      <c r="FD147" s="280">
        <f>MW_SO2</f>
        <v>6.4064800000000005E-2</v>
      </c>
      <c r="FE147" s="1">
        <f>FB147/FD147</f>
        <v>85.459771332449534</v>
      </c>
      <c r="FF147" s="280">
        <f>h_SO2</f>
        <v>-296.8</v>
      </c>
      <c r="FG147" s="280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1" t="s">
        <v>209</v>
      </c>
      <c r="C148" s="90" t="s">
        <v>208</v>
      </c>
      <c r="D148" s="90">
        <v>6</v>
      </c>
      <c r="E148" s="90">
        <f t="shared" si="55"/>
        <v>6.3303600000000007</v>
      </c>
      <c r="F148" s="90">
        <f t="shared" si="56"/>
        <v>6.601160246976201E-2</v>
      </c>
      <c r="G148" s="90">
        <v>1.06</v>
      </c>
      <c r="H148" s="90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79"/>
      <c r="AD148" s="6" t="s">
        <v>66</v>
      </c>
      <c r="AE148" s="1">
        <f>AG148*AH148</f>
        <v>6.933172650110575E-2</v>
      </c>
      <c r="AF148" s="1">
        <f>AE148/AE149</f>
        <v>0.71784924667750427</v>
      </c>
      <c r="AG148" s="5">
        <f>MW_N2</f>
        <v>2.801348E-2</v>
      </c>
      <c r="AH148" s="1">
        <f>N168</f>
        <v>2.4749415817351417</v>
      </c>
      <c r="AI148" s="1">
        <f>h_N2</f>
        <v>0</v>
      </c>
      <c r="AJ148" s="5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43" t="s">
        <v>66</v>
      </c>
      <c r="FB148" s="150">
        <f>FD148*FE148</f>
        <v>2187.7035120718351</v>
      </c>
      <c r="FC148" s="1">
        <f>FB148/FB149</f>
        <v>0.64301382133597229</v>
      </c>
      <c r="FD148" s="5">
        <f>MW_N2</f>
        <v>2.801348E-2</v>
      </c>
      <c r="FE148" s="5">
        <f>((EE133/coke_N_coeff)/2)+EE145</f>
        <v>78094.671282248222</v>
      </c>
      <c r="FF148" s="5">
        <f>h_N2</f>
        <v>0</v>
      </c>
      <c r="FG148" s="6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6" t="s">
        <v>1</v>
      </c>
      <c r="V149" s="42" t="s">
        <v>0</v>
      </c>
      <c r="W149" s="4"/>
      <c r="X149" s="4"/>
      <c r="Y149" s="4"/>
      <c r="Z149" s="4"/>
      <c r="AA149" s="4"/>
      <c r="AB149" s="4"/>
      <c r="AC149" s="379"/>
      <c r="AD149" s="13" t="s">
        <v>18</v>
      </c>
      <c r="AE149" s="7">
        <f>SUM(AE146:AE148)</f>
        <v>9.658257192857822E-2</v>
      </c>
      <c r="AF149" s="7">
        <f>SUM(AF146:AF148)</f>
        <v>1</v>
      </c>
      <c r="AG149" s="7">
        <f>SUM(AG146:AG148)</f>
        <v>9.0038560000000004E-2</v>
      </c>
      <c r="AH149" s="7">
        <f>SUM(AH146:AH148)</f>
        <v>3.3484402950449521</v>
      </c>
      <c r="AI149" s="13" cm="1">
        <f t="array" ref="AI149">SUM(AE146:AE148*AI146:AI148) / AE149</f>
        <v>-98.84370786785361</v>
      </c>
      <c r="AJ149" s="45"/>
      <c r="AK149" s="7">
        <f>SUM(AK146:AK148)</f>
        <v>0.99999999999999989</v>
      </c>
      <c r="AL149" s="13"/>
      <c r="AM149" s="13"/>
      <c r="AN149" s="13"/>
      <c r="AO149" s="7">
        <f>SUM(AO146:AO148)</f>
        <v>2.0062421359934972</v>
      </c>
      <c r="AP149" s="7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2">
        <f>SUM(FB145:FB148)</f>
        <v>3402.2651449800928</v>
      </c>
      <c r="FC149" s="22">
        <f>SUM(FC145:FC148)</f>
        <v>1</v>
      </c>
      <c r="FD149" s="22">
        <f>SUM(FD145:FD148)</f>
        <v>0.15410336000000002</v>
      </c>
      <c r="FE149" s="22">
        <f>SUM(FE145:FE148)</f>
        <v>115958.37141217491</v>
      </c>
      <c r="FF149" s="13" cm="1">
        <f t="array" ref="FF149">SUM(FB145:FB148*FF145:FF148) / FB149</f>
        <v>-126.30390709179704</v>
      </c>
      <c r="FG149" s="22"/>
      <c r="FH149" s="22">
        <f>SUM(FH145:FH148)</f>
        <v>1</v>
      </c>
      <c r="FI149" s="22"/>
      <c r="FJ149" s="22"/>
      <c r="FK149" s="22"/>
      <c r="FL149" s="22">
        <f>SUM(FL145:FL148)</f>
        <v>3.4858126521283488</v>
      </c>
      <c r="FM149" s="22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8" t="s">
        <v>83</v>
      </c>
      <c r="V150" s="47" t="s">
        <v>87</v>
      </c>
      <c r="W150" s="4"/>
      <c r="X150" s="4"/>
      <c r="Y150" s="4"/>
      <c r="Z150" s="4"/>
      <c r="AA150" s="4"/>
      <c r="AB150" s="4"/>
      <c r="AE150" s="1" t="s">
        <v>83</v>
      </c>
      <c r="AF150" s="1"/>
      <c r="AG150" s="3" t="s">
        <v>85</v>
      </c>
      <c r="AH150" s="3" t="s">
        <v>81</v>
      </c>
      <c r="AI150" s="1" t="s">
        <v>510</v>
      </c>
      <c r="AJ150" s="4"/>
      <c r="AK150" s="4"/>
      <c r="AO150" s="3" t="s">
        <v>90</v>
      </c>
      <c r="AP150" s="1" t="s">
        <v>87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36"/>
      <c r="BZ150" s="133" t="s">
        <v>265</v>
      </c>
      <c r="CA150" s="131" t="s">
        <v>1</v>
      </c>
      <c r="CB150" s="42" t="s">
        <v>0</v>
      </c>
      <c r="EL150" s="152" t="s">
        <v>1</v>
      </c>
      <c r="EM150" s="153" t="s">
        <v>0</v>
      </c>
      <c r="FB150" s="1" t="s">
        <v>83</v>
      </c>
      <c r="FC150" s="1"/>
      <c r="FD150" s="3" t="s">
        <v>85</v>
      </c>
      <c r="FE150" s="3" t="s">
        <v>81</v>
      </c>
      <c r="FF150" s="1" t="s">
        <v>510</v>
      </c>
      <c r="FG150" s="4"/>
      <c r="FH150" s="4"/>
      <c r="FL150" s="3" t="s">
        <v>90</v>
      </c>
      <c r="FM150" s="1" t="s">
        <v>87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73" t="s">
        <v>467</v>
      </c>
      <c r="R151" s="4"/>
      <c r="S151" s="4"/>
      <c r="T151" s="4"/>
      <c r="U151" s="40">
        <f>L156</f>
        <v>5.1714158616864253E-4</v>
      </c>
      <c r="V151" s="3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68"/>
      <c r="BJ151" s="168"/>
      <c r="BK151" s="168"/>
      <c r="BL151" s="168"/>
      <c r="BM151" s="4"/>
      <c r="BN151" s="4"/>
      <c r="BO151" s="4"/>
      <c r="BP151" s="36"/>
      <c r="BZ151" s="39" t="s">
        <v>62</v>
      </c>
      <c r="CA151" s="31" t="s">
        <v>10</v>
      </c>
      <c r="CB151" s="37" t="s">
        <v>47</v>
      </c>
      <c r="EL151" s="154" t="s">
        <v>83</v>
      </c>
      <c r="EM151" s="155" t="s">
        <v>87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36"/>
      <c r="BW152" s="3" t="s">
        <v>377</v>
      </c>
      <c r="BZ152" s="98">
        <v>298.14999999999998</v>
      </c>
      <c r="CA152" s="50">
        <f>BR156</f>
        <v>37.630021206323519</v>
      </c>
      <c r="CB152" s="38">
        <f>CB156</f>
        <v>1951076.4755827489</v>
      </c>
      <c r="EH152" s="3" t="s">
        <v>517</v>
      </c>
      <c r="EL152" s="143">
        <f>EB160</f>
        <v>32.269863299428096</v>
      </c>
      <c r="EM152" s="144">
        <f>EM160</f>
        <v>2830357.1263978118</v>
      </c>
    </row>
    <row r="153" spans="2:169" ht="19.25" customHeight="1" x14ac:dyDescent="0.25">
      <c r="B153" s="384" t="s">
        <v>387</v>
      </c>
      <c r="C153" s="384"/>
      <c r="D153" s="384"/>
      <c r="E153" s="384"/>
      <c r="F153" s="384"/>
      <c r="G153" s="384"/>
      <c r="H153" s="384"/>
      <c r="J153" s="4"/>
      <c r="K153" s="3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97"/>
      <c r="C154" s="397"/>
      <c r="D154" s="397"/>
      <c r="E154" s="397"/>
      <c r="F154" s="397"/>
      <c r="G154" s="397"/>
      <c r="H154" s="397"/>
      <c r="J154" s="4" t="s">
        <v>40</v>
      </c>
      <c r="K154" s="3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84" t="s">
        <v>376</v>
      </c>
      <c r="BL154" s="384"/>
      <c r="BM154" s="384"/>
      <c r="BN154" s="384"/>
      <c r="BP154" s="4"/>
      <c r="BQ154" s="3" t="s">
        <v>454</v>
      </c>
      <c r="BR154" s="1" t="s">
        <v>449</v>
      </c>
      <c r="BS154" s="1" t="s">
        <v>579</v>
      </c>
      <c r="BT154" s="3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20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x14ac:dyDescent="0.25">
      <c r="B155" s="11" t="s">
        <v>195</v>
      </c>
      <c r="C155" s="90" t="s">
        <v>194</v>
      </c>
      <c r="D155" s="90" t="s">
        <v>166</v>
      </c>
      <c r="E155" s="90" t="s">
        <v>166</v>
      </c>
      <c r="F155" s="90" t="s">
        <v>166</v>
      </c>
      <c r="G155" s="91" t="s">
        <v>250</v>
      </c>
      <c r="H155" s="90" t="s">
        <v>244</v>
      </c>
      <c r="I155" s="244" t="s">
        <v>467</v>
      </c>
      <c r="J155" s="45" t="s">
        <v>388</v>
      </c>
      <c r="K155" s="13">
        <f>F157</f>
        <v>22.443944839719084</v>
      </c>
      <c r="L155" s="13">
        <f>K155/LHV_Gasoline</f>
        <v>5.1714158616864253E-4</v>
      </c>
      <c r="M155" s="13">
        <f>MW_C8H18</f>
        <v>0.11423092</v>
      </c>
      <c r="N155" s="13">
        <f>L155/M155</f>
        <v>4.5271594255622081E-3</v>
      </c>
      <c r="O155" s="13">
        <f>h_C8H18</f>
        <v>-250.1</v>
      </c>
      <c r="P155" s="13">
        <f>b_ch_Gasoline</f>
        <v>46556.366885754731</v>
      </c>
      <c r="Q155" s="13">
        <f>N155/N156</f>
        <v>1</v>
      </c>
      <c r="R155" s="13">
        <f>LN(Q155)</f>
        <v>0</v>
      </c>
      <c r="S155" s="13">
        <f>RT0*R155</f>
        <v>0</v>
      </c>
      <c r="T155" s="13">
        <f>S155+P155</f>
        <v>46556.366885754731</v>
      </c>
      <c r="U155" s="13">
        <f>Q155*T155</f>
        <v>46556.366885754731</v>
      </c>
      <c r="V155" s="13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84"/>
      <c r="BL155" s="384"/>
      <c r="BM155" s="384"/>
      <c r="BN155" s="384"/>
      <c r="BP155" s="4"/>
      <c r="BQ155" s="3" t="s">
        <v>453</v>
      </c>
      <c r="BR155" s="1" t="s">
        <v>82</v>
      </c>
      <c r="BS155" s="1" t="s">
        <v>84</v>
      </c>
      <c r="BT155" s="2" t="s">
        <v>80</v>
      </c>
      <c r="BU155" s="1" t="s">
        <v>89</v>
      </c>
      <c r="BV155" s="2" t="s">
        <v>89</v>
      </c>
      <c r="BW155" s="2" t="s">
        <v>24</v>
      </c>
      <c r="BX155" s="1" t="s">
        <v>91</v>
      </c>
      <c r="BY155" s="2" t="s">
        <v>89</v>
      </c>
      <c r="BZ155" s="2" t="s">
        <v>89</v>
      </c>
      <c r="CA155" s="2" t="s">
        <v>88</v>
      </c>
      <c r="CB155" s="1" t="s">
        <v>86</v>
      </c>
      <c r="EA155" s="3" t="s">
        <v>40</v>
      </c>
      <c r="EB155" s="3" t="s">
        <v>10</v>
      </c>
      <c r="EC155" s="1" t="s">
        <v>452</v>
      </c>
      <c r="ED155" s="1" t="s">
        <v>78</v>
      </c>
      <c r="EE155" s="3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1" t="s">
        <v>91</v>
      </c>
      <c r="C156" s="11" t="s">
        <v>91</v>
      </c>
      <c r="D156" s="90" t="s">
        <v>255</v>
      </c>
      <c r="E156" s="90" t="s">
        <v>256</v>
      </c>
      <c r="F156" s="90" t="s">
        <v>47</v>
      </c>
      <c r="G156" s="91" t="s">
        <v>91</v>
      </c>
      <c r="H156" s="90" t="s">
        <v>47</v>
      </c>
      <c r="J156" s="13" t="s">
        <v>18</v>
      </c>
      <c r="K156" s="13">
        <f>SUM(K155)</f>
        <v>22.443944839719084</v>
      </c>
      <c r="L156" s="13">
        <f>SUM(L155)</f>
        <v>5.1714158616864253E-4</v>
      </c>
      <c r="M156" s="13">
        <f>SUM(M155)</f>
        <v>0.11423092</v>
      </c>
      <c r="N156" s="13">
        <f>SUM(N155)</f>
        <v>4.5271594255622081E-3</v>
      </c>
      <c r="O156" s="13">
        <f>SUM(O155)</f>
        <v>-250.1</v>
      </c>
      <c r="P156" s="13"/>
      <c r="Q156" s="13"/>
      <c r="R156" s="13"/>
      <c r="S156" s="13"/>
      <c r="T156" s="13"/>
      <c r="U156" s="13">
        <f>SUM(U155)</f>
        <v>46556.366885754731</v>
      </c>
      <c r="V156" s="13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92"/>
      <c r="BN156" s="4"/>
      <c r="BO156" s="218" t="s">
        <v>377</v>
      </c>
      <c r="BP156" s="72" t="s">
        <v>64</v>
      </c>
      <c r="BQ156" s="72">
        <f>BR156*LHV_CH4</f>
        <v>1881501.0603161759</v>
      </c>
      <c r="BR156" s="35">
        <f>CH4_into_Kiln</f>
        <v>37.630021206323519</v>
      </c>
      <c r="BS156" s="26" cm="1">
        <f t="array" ref="BS156">MW_CH4</f>
        <v>1.604276E-2</v>
      </c>
      <c r="BT156" s="26">
        <f>BR156/BS156</f>
        <v>2345.6076888467769</v>
      </c>
      <c r="BU156" s="26">
        <f>h_CH4</f>
        <v>-74.599999999999994</v>
      </c>
      <c r="BV156" s="35">
        <f>b_ch_CH4</f>
        <v>831.8</v>
      </c>
      <c r="BW156" s="26">
        <f>BT156/BT156</f>
        <v>1</v>
      </c>
      <c r="BX156" s="35">
        <f>LN(BW156)</f>
        <v>0</v>
      </c>
      <c r="BY156" s="35">
        <f>RT0*BX156</f>
        <v>0</v>
      </c>
      <c r="BZ156" s="35">
        <f>BV156+BY156</f>
        <v>831.8</v>
      </c>
      <c r="CA156" s="35">
        <f>BZ156*BW156</f>
        <v>831.8</v>
      </c>
      <c r="CB156" s="28">
        <f>BT156*CA156</f>
        <v>1951076.4755827489</v>
      </c>
      <c r="DZ156" s="388" t="s">
        <v>517</v>
      </c>
      <c r="EA156" s="13" t="s">
        <v>65</v>
      </c>
      <c r="EB156" s="13">
        <f>H2_to_BF</f>
        <v>19.567197401950619</v>
      </c>
      <c r="EC156" s="13">
        <f>EB156/$EB$160</f>
        <v>0.60636133535456904</v>
      </c>
      <c r="ED156" s="13">
        <f>MW_H*2</f>
        <v>2.0158800000000003E-3</v>
      </c>
      <c r="EE156" s="13">
        <f>EB156/ED156</f>
        <v>9706.528861812516</v>
      </c>
      <c r="EF156" s="13">
        <f>h_H2</f>
        <v>0</v>
      </c>
      <c r="EG156" s="13">
        <f>b_ch_H2</f>
        <v>236.1</v>
      </c>
      <c r="EH156" s="13">
        <f>EE156/$EE$160</f>
        <v>0.9319822987183759</v>
      </c>
      <c r="EI156" s="13">
        <f>LN(EH156)</f>
        <v>-7.044145726835338E-2</v>
      </c>
      <c r="EJ156" s="13">
        <f>RT0*EI156</f>
        <v>-0.17452378216726883</v>
      </c>
      <c r="EK156" s="13">
        <f>EG156+EJ156</f>
        <v>235.92547621783274</v>
      </c>
      <c r="EL156" s="13">
        <f>EK156*EH156</f>
        <v>219.87836765172327</v>
      </c>
      <c r="EM156" s="13">
        <f>EL156*$EE$160</f>
        <v>2290017.4441452557</v>
      </c>
    </row>
    <row r="157" spans="2:169" ht="18" customHeight="1" x14ac:dyDescent="0.25">
      <c r="B157" s="11" t="s">
        <v>385</v>
      </c>
      <c r="C157" s="90" t="s">
        <v>207</v>
      </c>
      <c r="D157" s="90">
        <v>2040</v>
      </c>
      <c r="E157" s="90">
        <f>D157*Btu_to_kJ</f>
        <v>2152.3224</v>
      </c>
      <c r="F157" s="90">
        <f>E157*($AE$131/1000)</f>
        <v>22.443944839719084</v>
      </c>
      <c r="G157" s="90">
        <v>1.04</v>
      </c>
      <c r="H157" s="90">
        <f>F157*G157</f>
        <v>23.341702633307847</v>
      </c>
      <c r="K157" s="3" t="s">
        <v>47</v>
      </c>
      <c r="L157" s="1" t="s">
        <v>83</v>
      </c>
      <c r="M157" s="3" t="s">
        <v>85</v>
      </c>
      <c r="N157" s="3" t="s">
        <v>81</v>
      </c>
      <c r="O157" s="1" t="s">
        <v>510</v>
      </c>
      <c r="P157" s="4"/>
      <c r="Q157" s="4"/>
      <c r="U157" s="3" t="s">
        <v>90</v>
      </c>
      <c r="V157" s="1" t="s">
        <v>87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5">
        <f>BS156</f>
        <v>1.604276E-2</v>
      </c>
      <c r="BT157" s="5">
        <f>BT156</f>
        <v>2345.6076888467769</v>
      </c>
      <c r="BU157" s="5">
        <f>BU156</f>
        <v>-74.599999999999994</v>
      </c>
      <c r="BV157" s="1"/>
      <c r="BW157" s="5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88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83</v>
      </c>
      <c r="BS158" s="3" t="s">
        <v>85</v>
      </c>
      <c r="BT158" s="3" t="s">
        <v>81</v>
      </c>
      <c r="BU158" s="1" t="s">
        <v>510</v>
      </c>
      <c r="BV158" s="4"/>
      <c r="BW158" s="4"/>
      <c r="CA158" s="3" t="s">
        <v>90</v>
      </c>
      <c r="CB158" s="1" t="s">
        <v>87</v>
      </c>
      <c r="DZ158" s="388"/>
      <c r="EA158" s="201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2" t="s">
        <v>210</v>
      </c>
      <c r="E159" s="74" t="s">
        <v>211</v>
      </c>
      <c r="F159" s="4" t="s">
        <v>212</v>
      </c>
      <c r="I159" s="18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5"/>
      <c r="BT159" s="5"/>
      <c r="BU159" s="5"/>
      <c r="BV159" s="1"/>
      <c r="BW159" s="5"/>
      <c r="BX159" s="1"/>
      <c r="BY159" s="1"/>
      <c r="BZ159" s="1"/>
      <c r="CA159" s="1"/>
      <c r="CB159" s="1"/>
      <c r="DZ159" s="388"/>
      <c r="EA159" s="3" t="s">
        <v>289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5"/>
      <c r="BT160" s="5"/>
      <c r="BU160" s="5"/>
      <c r="BV160" s="1"/>
      <c r="BW160" s="5"/>
      <c r="BX160" s="1"/>
      <c r="BY160" s="1"/>
      <c r="BZ160" s="1"/>
      <c r="CA160" s="1"/>
      <c r="CB160" s="1"/>
      <c r="DZ160" s="228"/>
      <c r="EA160" s="13" t="s">
        <v>18</v>
      </c>
      <c r="EB160" s="13">
        <f>0.7*DF241</f>
        <v>32.269863299428096</v>
      </c>
      <c r="EC160" s="13"/>
      <c r="ED160" s="13">
        <f>0.7*DH241</f>
        <v>5.8897524E-2</v>
      </c>
      <c r="EE160" s="13">
        <f>SUM(EE156:EE159)</f>
        <v>10414.928346987426</v>
      </c>
      <c r="EF160" s="13" cm="1">
        <f t="array" ref="EF160">SUM(EB156:EB159*EF156:EF159) / EB160</f>
        <v>-23.917987170512156</v>
      </c>
      <c r="EG160" s="13">
        <f>SUM(EG156:EG159)</f>
        <v>1882.2463999999998</v>
      </c>
      <c r="EH160" s="13">
        <f>SUM(EH156:EH159)</f>
        <v>1.0000000000000002</v>
      </c>
      <c r="EI160" s="13"/>
      <c r="EJ160" s="13"/>
      <c r="EK160" s="13"/>
      <c r="EL160" s="13">
        <f>SUM(EL156:EL159)</f>
        <v>271.75963502586245</v>
      </c>
      <c r="EM160" s="13">
        <f>SUM(EM156:EM159)</f>
        <v>2830357.1263978118</v>
      </c>
    </row>
    <row r="161" spans="1:143" ht="18" x14ac:dyDescent="0.25">
      <c r="U161" s="46" t="s">
        <v>1</v>
      </c>
      <c r="V161" s="42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5"/>
      <c r="BT161" s="5"/>
      <c r="BU161" s="5"/>
      <c r="BV161" s="1"/>
      <c r="BW161" s="5"/>
      <c r="BX161" s="1"/>
      <c r="BY161" s="1"/>
      <c r="BZ161" s="1"/>
      <c r="CA161" s="1"/>
      <c r="CB161" s="1"/>
      <c r="DZ161" s="228"/>
      <c r="EB161" s="1" t="s">
        <v>83</v>
      </c>
      <c r="EC161" s="1"/>
      <c r="ED161" s="3" t="s">
        <v>85</v>
      </c>
      <c r="EE161" s="3" t="s">
        <v>81</v>
      </c>
      <c r="EF161" s="1" t="s">
        <v>510</v>
      </c>
      <c r="EG161" s="4"/>
      <c r="EH161" s="4"/>
      <c r="EL161" s="3" t="s">
        <v>90</v>
      </c>
      <c r="EM161" s="1" t="s">
        <v>87</v>
      </c>
    </row>
    <row r="162" spans="1:143" ht="18" x14ac:dyDescent="0.25">
      <c r="U162" s="48" t="s">
        <v>83</v>
      </c>
      <c r="V162" s="47" t="s">
        <v>87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5"/>
      <c r="BT162" s="5"/>
      <c r="BU162" s="5"/>
      <c r="BV162" s="1"/>
      <c r="BW162" s="5"/>
      <c r="BX162" s="1"/>
      <c r="BY162" s="1"/>
      <c r="BZ162" s="1"/>
      <c r="CA162" s="1"/>
      <c r="CB162" s="1"/>
      <c r="DZ162" s="228"/>
    </row>
    <row r="163" spans="1:143" ht="17" thickBot="1" x14ac:dyDescent="0.25">
      <c r="Q163" s="3" t="s">
        <v>420</v>
      </c>
      <c r="U163" s="40">
        <f>K169</f>
        <v>9.0394269236644703E-2</v>
      </c>
      <c r="V163" s="3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5"/>
      <c r="BT163" s="5"/>
      <c r="BU163" s="5"/>
      <c r="BV163" s="1"/>
      <c r="BW163" s="5"/>
      <c r="BX163" s="1"/>
      <c r="BY163" s="1"/>
      <c r="BZ163" s="1"/>
      <c r="CA163" s="1"/>
      <c r="CB163" s="1"/>
      <c r="DZ163" s="228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5"/>
      <c r="BT164" s="5"/>
      <c r="BU164" s="5"/>
      <c r="BV164" s="1"/>
      <c r="BW164" s="5"/>
      <c r="BX164" s="1"/>
      <c r="BY164" s="1"/>
      <c r="BZ164" s="1"/>
      <c r="CA164" s="1"/>
      <c r="CB164" s="1"/>
      <c r="DZ164" s="228"/>
      <c r="EK164" s="138"/>
    </row>
    <row r="165" spans="1:143" ht="18" x14ac:dyDescent="0.25">
      <c r="E165" s="384" t="s">
        <v>414</v>
      </c>
      <c r="F165" s="384"/>
      <c r="G165" s="384"/>
      <c r="H165" s="384"/>
      <c r="J165" s="4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5"/>
      <c r="BT165" s="5"/>
      <c r="BU165" s="5"/>
      <c r="BV165" s="1"/>
      <c r="BW165" s="5"/>
      <c r="BX165" s="1"/>
      <c r="BY165" s="1"/>
      <c r="BZ165" s="1"/>
      <c r="CA165" s="1"/>
      <c r="CB165" s="1"/>
      <c r="DZ165" s="228"/>
      <c r="EB165" s="148"/>
    </row>
    <row r="166" spans="1:143" ht="18" x14ac:dyDescent="0.25">
      <c r="E166" s="384"/>
      <c r="F166" s="384"/>
      <c r="G166" s="384"/>
      <c r="H166" s="384"/>
      <c r="J166" s="4" t="s">
        <v>40</v>
      </c>
      <c r="K166" s="1" t="s">
        <v>82</v>
      </c>
      <c r="L166" s="4" t="s">
        <v>213</v>
      </c>
      <c r="M166" s="2" t="s">
        <v>84</v>
      </c>
      <c r="N166" s="2" t="s">
        <v>80</v>
      </c>
      <c r="O166" s="1" t="s">
        <v>89</v>
      </c>
      <c r="P166" s="2" t="s">
        <v>89</v>
      </c>
      <c r="Q166" s="2" t="s">
        <v>24</v>
      </c>
      <c r="R166" s="2" t="s">
        <v>91</v>
      </c>
      <c r="S166" s="2" t="s">
        <v>89</v>
      </c>
      <c r="T166" s="2" t="s">
        <v>89</v>
      </c>
      <c r="U166" s="2" t="s">
        <v>88</v>
      </c>
      <c r="V166" s="2" t="s">
        <v>86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5"/>
      <c r="BT166" s="5"/>
      <c r="BU166" s="5"/>
      <c r="BV166" s="1"/>
      <c r="BW166" s="5"/>
      <c r="BX166" s="1"/>
      <c r="BY166" s="1"/>
      <c r="BZ166" s="1"/>
      <c r="CA166" s="1"/>
      <c r="CB166" s="1"/>
      <c r="DZ166" s="228"/>
    </row>
    <row r="167" spans="1:143" ht="18" x14ac:dyDescent="0.25">
      <c r="I167" s="379" t="s">
        <v>420</v>
      </c>
      <c r="J167" s="7" t="s">
        <v>233</v>
      </c>
      <c r="K167" s="13">
        <f>M167*N167</f>
        <v>2.1062542735538953E-2</v>
      </c>
      <c r="L167" s="13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3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5"/>
      <c r="BT167" s="5"/>
      <c r="BU167" s="5"/>
      <c r="BV167" s="1"/>
      <c r="BW167" s="5"/>
      <c r="BX167" s="1"/>
      <c r="BY167" s="1"/>
      <c r="BZ167" s="1"/>
      <c r="CA167" s="1"/>
      <c r="CB167" s="1"/>
      <c r="DZ167" s="228"/>
    </row>
    <row r="168" spans="1:143" ht="18" x14ac:dyDescent="0.25">
      <c r="I168" s="379"/>
      <c r="J168" s="43" t="s">
        <v>66</v>
      </c>
      <c r="K168" s="3">
        <f>M168*N168</f>
        <v>6.933172650110575E-2</v>
      </c>
      <c r="L168" s="3">
        <f>K168/K169</f>
        <v>0.76699249948689818</v>
      </c>
      <c r="M168" s="23">
        <f>MW_N2</f>
        <v>2.801348E-2</v>
      </c>
      <c r="N168" s="23">
        <f>N2_molcoeff*N167</f>
        <v>2.4749415817351417</v>
      </c>
      <c r="O168" s="23">
        <f>h_N2</f>
        <v>0</v>
      </c>
      <c r="P168" s="23">
        <f>b_ch_N2</f>
        <v>0.7</v>
      </c>
      <c r="Q168" s="23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5"/>
      <c r="BT168" s="5"/>
      <c r="BU168" s="5"/>
      <c r="BV168" s="1"/>
      <c r="BW168" s="5"/>
      <c r="BX168" s="1"/>
      <c r="BY168" s="1"/>
      <c r="BZ168" s="1"/>
      <c r="CA168" s="1"/>
      <c r="CB168" s="1"/>
      <c r="DZ168" s="228"/>
    </row>
    <row r="169" spans="1:143" ht="16" x14ac:dyDescent="0.2">
      <c r="J169" s="3" t="s">
        <v>18</v>
      </c>
      <c r="K169" s="13">
        <f>SUM(K167:K168)</f>
        <v>9.0394269236644703E-2</v>
      </c>
      <c r="L169" s="13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3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5"/>
      <c r="BT169" s="5"/>
      <c r="BU169" s="5"/>
      <c r="BV169" s="1"/>
      <c r="BW169" s="5"/>
      <c r="BX169" s="1"/>
      <c r="BY169" s="1"/>
      <c r="BZ169" s="1"/>
      <c r="CA169" s="1"/>
      <c r="CB169" s="1"/>
      <c r="DZ169" s="228"/>
    </row>
    <row r="170" spans="1:143" ht="18" x14ac:dyDescent="0.25">
      <c r="K170" s="1" t="s">
        <v>83</v>
      </c>
      <c r="L170" s="1"/>
      <c r="M170" s="3" t="s">
        <v>85</v>
      </c>
      <c r="N170" s="3" t="s">
        <v>81</v>
      </c>
      <c r="O170" s="1" t="s">
        <v>510</v>
      </c>
      <c r="P170" s="4"/>
      <c r="Q170" s="4"/>
      <c r="U170" s="3" t="s">
        <v>90</v>
      </c>
      <c r="V170" s="1" t="s">
        <v>87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5"/>
      <c r="BT170" s="5"/>
      <c r="BU170" s="5"/>
      <c r="BV170" s="1"/>
      <c r="BW170" s="5"/>
      <c r="BX170" s="1"/>
      <c r="BY170" s="1"/>
      <c r="BZ170" s="1"/>
      <c r="CA170" s="1"/>
      <c r="CB170" s="1"/>
      <c r="DZ170" s="228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5"/>
      <c r="BT171" s="5"/>
      <c r="BU171" s="5"/>
      <c r="BV171" s="1"/>
      <c r="BW171" s="5"/>
      <c r="BX171" s="1"/>
      <c r="BY171" s="1"/>
      <c r="BZ171" s="1"/>
      <c r="CA171" s="1"/>
      <c r="CB171" s="1"/>
      <c r="DZ171" s="228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5"/>
      <c r="BT172" s="5"/>
      <c r="BU172" s="5"/>
      <c r="BV172" s="1"/>
      <c r="BW172" s="5"/>
      <c r="BX172" s="1"/>
      <c r="BY172" s="1"/>
      <c r="BZ172" s="1"/>
      <c r="CA172" s="1"/>
      <c r="CB172" s="1"/>
      <c r="DZ172" s="228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5"/>
      <c r="BT173" s="5"/>
      <c r="BU173" s="5"/>
      <c r="BV173" s="1"/>
      <c r="BW173" s="5"/>
      <c r="BX173" s="1"/>
      <c r="BY173" s="1"/>
      <c r="BZ173" s="1"/>
      <c r="CA173" s="1"/>
      <c r="CB173" s="1"/>
      <c r="DZ173" s="228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5"/>
      <c r="BT174" s="5"/>
      <c r="BU174" s="5"/>
      <c r="BV174" s="1"/>
      <c r="BW174" s="5"/>
      <c r="BX174" s="1"/>
      <c r="BY174" s="1"/>
      <c r="BZ174" s="1"/>
      <c r="CA174" s="1"/>
      <c r="CB174" s="1"/>
      <c r="DZ174" s="228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5"/>
      <c r="BT175" s="5"/>
      <c r="BU175" s="5"/>
      <c r="BV175" s="1"/>
      <c r="BW175" s="5"/>
      <c r="BX175" s="1"/>
      <c r="BY175" s="1"/>
      <c r="BZ175" s="1"/>
      <c r="CA175" s="1"/>
      <c r="CB175" s="1"/>
      <c r="DZ175" s="228"/>
    </row>
    <row r="176" spans="1:143" ht="17" thickBot="1" x14ac:dyDescent="0.2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118"/>
      <c r="BQ176" s="119"/>
      <c r="BR176" s="119"/>
      <c r="BS176" s="75"/>
      <c r="BT176" s="75"/>
      <c r="BU176" s="75"/>
      <c r="BV176" s="67"/>
      <c r="BW176" s="67"/>
      <c r="BX176" s="75"/>
      <c r="BY176" s="75"/>
      <c r="BZ176" s="75"/>
      <c r="CA176" s="75"/>
      <c r="CB176" s="119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Z176" s="228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36"/>
      <c r="BN177" s="1"/>
      <c r="BO177" s="1"/>
      <c r="BR177" s="4"/>
      <c r="BS177" s="4"/>
      <c r="BY177" s="1"/>
      <c r="DZ177" s="228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36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91" t="s">
        <v>345</v>
      </c>
      <c r="X182" s="391"/>
      <c r="Y182" s="391"/>
      <c r="Z182" s="391"/>
      <c r="AA182" s="391"/>
      <c r="AB182" s="391"/>
      <c r="AC182" s="39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44" t="s">
        <v>195</v>
      </c>
      <c r="X183" s="9" t="s">
        <v>194</v>
      </c>
      <c r="Y183" s="9" t="s">
        <v>166</v>
      </c>
      <c r="Z183" s="9" t="s">
        <v>166</v>
      </c>
      <c r="AA183" s="9" t="s">
        <v>166</v>
      </c>
      <c r="AB183" s="82" t="s">
        <v>250</v>
      </c>
      <c r="AC183" s="9" t="s">
        <v>244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48"/>
      <c r="CS183" s="4"/>
      <c r="CT183" s="4"/>
    </row>
    <row r="184" spans="16:130" ht="17" x14ac:dyDescent="0.25">
      <c r="T184" s="4"/>
      <c r="U184" s="4"/>
      <c r="V184" s="4"/>
      <c r="W184" s="44" t="s">
        <v>91</v>
      </c>
      <c r="X184" s="44" t="s">
        <v>91</v>
      </c>
      <c r="Y184" s="9" t="s">
        <v>162</v>
      </c>
      <c r="Z184" s="9" t="s">
        <v>165</v>
      </c>
      <c r="AA184" s="9" t="s">
        <v>47</v>
      </c>
      <c r="AB184" s="27" t="s">
        <v>91</v>
      </c>
      <c r="AC184" s="9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44" t="s">
        <v>196</v>
      </c>
      <c r="X185" s="9" t="s">
        <v>182</v>
      </c>
      <c r="Y185" s="44">
        <v>132000</v>
      </c>
      <c r="Z185" s="9">
        <f t="shared" ref="Z185:Z194" si="70">Y185*Btu_to_kJ</f>
        <v>139267.92000000001</v>
      </c>
      <c r="AA185" s="9">
        <f t="shared" ref="AA185:AA194" si="71">Z185*($K$218/1000)</f>
        <v>41587.472483735088</v>
      </c>
      <c r="AB185" s="3">
        <v>1</v>
      </c>
      <c r="AC185" s="9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44" t="s">
        <v>196</v>
      </c>
      <c r="X186" s="44" t="s">
        <v>181</v>
      </c>
      <c r="Y186" s="44">
        <v>58600</v>
      </c>
      <c r="Z186" s="9">
        <f t="shared" si="70"/>
        <v>61826.516000000003</v>
      </c>
      <c r="AA186" s="9">
        <f t="shared" si="71"/>
        <v>18462.317329900576</v>
      </c>
      <c r="AB186" s="9">
        <v>1</v>
      </c>
      <c r="AC186" s="9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44" t="s">
        <v>196</v>
      </c>
      <c r="X187" s="44" t="s">
        <v>184</v>
      </c>
      <c r="Y187" s="44">
        <v>4120</v>
      </c>
      <c r="Z187" s="9">
        <f t="shared" si="70"/>
        <v>4346.8472000000002</v>
      </c>
      <c r="AA187" s="9">
        <f t="shared" si="71"/>
        <v>1298.0332320680952</v>
      </c>
      <c r="AB187" s="9">
        <v>1</v>
      </c>
      <c r="AC187" s="9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1" t="s">
        <v>346</v>
      </c>
      <c r="AP187" s="391"/>
      <c r="AQ187" s="391"/>
      <c r="AR187" s="391"/>
      <c r="AS187" s="391"/>
      <c r="AT187" s="391"/>
      <c r="AU187" s="39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1" t="s">
        <v>347</v>
      </c>
      <c r="BH187" s="391"/>
      <c r="BI187" s="391"/>
      <c r="BJ187" s="391"/>
      <c r="BK187" s="391"/>
      <c r="BL187" s="391"/>
      <c r="BM187" s="39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44" t="s">
        <v>196</v>
      </c>
      <c r="X188" s="44" t="s">
        <v>185</v>
      </c>
      <c r="Y188" s="44">
        <v>34700</v>
      </c>
      <c r="Z188" s="9">
        <f t="shared" si="70"/>
        <v>36610.582000000002</v>
      </c>
      <c r="AA188" s="9">
        <f t="shared" si="71"/>
        <v>10932.464357466724</v>
      </c>
      <c r="AB188" s="9">
        <v>1</v>
      </c>
      <c r="AC188" s="9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9" t="s">
        <v>195</v>
      </c>
      <c r="AP188" s="9" t="s">
        <v>197</v>
      </c>
      <c r="AQ188" s="9" t="s">
        <v>166</v>
      </c>
      <c r="AR188" s="9" t="s">
        <v>35</v>
      </c>
      <c r="AS188" s="9" t="s">
        <v>166</v>
      </c>
      <c r="AT188" s="82" t="s">
        <v>250</v>
      </c>
      <c r="AU188" s="9" t="s">
        <v>244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4" t="s">
        <v>195</v>
      </c>
      <c r="BH188" s="9" t="s">
        <v>194</v>
      </c>
      <c r="BI188" s="9" t="s">
        <v>166</v>
      </c>
      <c r="BJ188" s="9" t="s">
        <v>166</v>
      </c>
      <c r="BK188" s="9" t="s">
        <v>166</v>
      </c>
      <c r="BL188" s="82" t="s">
        <v>250</v>
      </c>
      <c r="BM188" s="9" t="s">
        <v>244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99" t="s">
        <v>285</v>
      </c>
      <c r="Q189" s="399"/>
      <c r="T189" s="4"/>
      <c r="U189" s="4"/>
      <c r="V189" s="4"/>
      <c r="W189" s="44" t="s">
        <v>196</v>
      </c>
      <c r="X189" s="66" t="s">
        <v>186</v>
      </c>
      <c r="Y189" s="44">
        <v>17500</v>
      </c>
      <c r="Z189" s="9">
        <f t="shared" si="70"/>
        <v>18463.550000000003</v>
      </c>
      <c r="AA189" s="9">
        <f t="shared" si="71"/>
        <v>5513.4906701921527</v>
      </c>
      <c r="AB189" s="9">
        <v>1</v>
      </c>
      <c r="AC189" s="9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9" t="s">
        <v>91</v>
      </c>
      <c r="AP189" s="9" t="s">
        <v>91</v>
      </c>
      <c r="AQ189" s="9" t="s">
        <v>168</v>
      </c>
      <c r="AR189" s="9" t="s">
        <v>167</v>
      </c>
      <c r="AS189" s="9" t="s">
        <v>47</v>
      </c>
      <c r="AT189" s="27" t="s">
        <v>91</v>
      </c>
      <c r="AU189" s="9" t="s">
        <v>47</v>
      </c>
      <c r="AV189" s="4"/>
      <c r="AW189" s="4"/>
      <c r="AX189" s="52"/>
      <c r="AY189" s="4"/>
      <c r="AZ189" s="4"/>
      <c r="BA189" s="4"/>
      <c r="BB189" s="4"/>
      <c r="BC189" s="4"/>
      <c r="BD189" s="4"/>
      <c r="BE189" s="4"/>
      <c r="BF189" s="4"/>
      <c r="BG189" s="44" t="s">
        <v>91</v>
      </c>
      <c r="BH189" s="44" t="s">
        <v>91</v>
      </c>
      <c r="BI189" s="9" t="s">
        <v>161</v>
      </c>
      <c r="BJ189" s="9" t="s">
        <v>165</v>
      </c>
      <c r="BK189" s="9" t="s">
        <v>47</v>
      </c>
      <c r="BL189" s="27" t="s">
        <v>91</v>
      </c>
      <c r="BM189" s="9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00"/>
      <c r="Q190" s="400"/>
      <c r="T190" s="4"/>
      <c r="U190" s="4"/>
      <c r="V190" s="4"/>
      <c r="W190" s="44" t="s">
        <v>196</v>
      </c>
      <c r="X190" s="44" t="s">
        <v>187</v>
      </c>
      <c r="Y190" s="9">
        <v>4690</v>
      </c>
      <c r="Z190" s="9">
        <f t="shared" si="70"/>
        <v>4948.2314000000006</v>
      </c>
      <c r="AA190" s="9">
        <f t="shared" si="71"/>
        <v>1477.6154996114967</v>
      </c>
      <c r="AB190" s="9">
        <v>1</v>
      </c>
      <c r="AC190" s="9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4" t="s">
        <v>196</v>
      </c>
      <c r="AP190" s="9" t="s">
        <v>232</v>
      </c>
      <c r="AQ190" s="9">
        <v>700</v>
      </c>
      <c r="AR190" s="9">
        <v>798</v>
      </c>
      <c r="AS190" s="44">
        <f>AR190*AQ190*(AE217/1000)</f>
        <v>282.1287710315147</v>
      </c>
      <c r="AT190" s="9">
        <v>1</v>
      </c>
      <c r="AU190" s="9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4" t="s">
        <v>196</v>
      </c>
      <c r="BH190" s="9" t="s">
        <v>131</v>
      </c>
      <c r="BI190" s="9">
        <v>93200</v>
      </c>
      <c r="BJ190" s="44">
        <f>BI190*Btu_to_kJ</f>
        <v>98331.592000000004</v>
      </c>
      <c r="BK190" s="44">
        <f>BJ190*($AX$217/1000)</f>
        <v>49.66375081369911</v>
      </c>
      <c r="BL190" s="9">
        <v>1</v>
      </c>
      <c r="BM190" s="9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03"/>
    </row>
    <row r="191" spans="16:130" ht="16" x14ac:dyDescent="0.2">
      <c r="P191" s="381" t="s">
        <v>269</v>
      </c>
      <c r="Q191" s="79" t="s">
        <v>245</v>
      </c>
      <c r="T191" s="4"/>
      <c r="U191" s="4"/>
      <c r="V191" s="4"/>
      <c r="W191" s="44" t="s">
        <v>196</v>
      </c>
      <c r="X191" s="9" t="s">
        <v>189</v>
      </c>
      <c r="Y191" s="9">
        <v>1760</v>
      </c>
      <c r="Z191" s="9">
        <f t="shared" si="70"/>
        <v>1856.9056000000003</v>
      </c>
      <c r="AA191" s="9">
        <f t="shared" si="71"/>
        <v>554.49963311646786</v>
      </c>
      <c r="AB191" s="9">
        <v>1</v>
      </c>
      <c r="AC191" s="9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4" t="s">
        <v>196</v>
      </c>
      <c r="BH191" s="9" t="s">
        <v>178</v>
      </c>
      <c r="BI191" s="9">
        <v>585</v>
      </c>
      <c r="BJ191" s="44">
        <f>BI191*Btu_to_kJ</f>
        <v>617.21010000000001</v>
      </c>
      <c r="BK191" s="44">
        <f>BJ191*($AX$217/1000)</f>
        <v>0.31173062474263924</v>
      </c>
      <c r="BL191" s="9">
        <v>1</v>
      </c>
      <c r="BM191" s="9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82"/>
      <c r="Q192" s="80" t="s">
        <v>47</v>
      </c>
      <c r="T192" s="4"/>
      <c r="U192" s="4"/>
      <c r="V192" s="4"/>
      <c r="W192" s="44" t="s">
        <v>196</v>
      </c>
      <c r="X192" s="9" t="s">
        <v>190</v>
      </c>
      <c r="Y192" s="9">
        <v>2360</v>
      </c>
      <c r="Z192" s="9">
        <f t="shared" si="70"/>
        <v>2489.9416000000001</v>
      </c>
      <c r="AA192" s="9">
        <f t="shared" si="71"/>
        <v>743.53359895162737</v>
      </c>
      <c r="AB192" s="9">
        <v>1</v>
      </c>
      <c r="AC192" s="9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52"/>
      <c r="BA192" s="4"/>
      <c r="BB192" s="4"/>
      <c r="BC192" s="4"/>
      <c r="BD192" s="4"/>
      <c r="BE192" s="4"/>
      <c r="BF192" s="4"/>
      <c r="BG192" s="44" t="s">
        <v>196</v>
      </c>
      <c r="BH192" s="9" t="s">
        <v>179</v>
      </c>
      <c r="BI192" s="9">
        <v>359</v>
      </c>
      <c r="BJ192" s="44">
        <f>BI192*Btu_to_kJ</f>
        <v>378.76654000000002</v>
      </c>
      <c r="BK192" s="44">
        <f>BJ192*($AX$217/1000)</f>
        <v>0.19130135774804699</v>
      </c>
      <c r="BL192" s="9">
        <v>1</v>
      </c>
      <c r="BM192" s="9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15" t="s">
        <v>266</v>
      </c>
      <c r="Q193" s="80">
        <f>((N210*(U210-0)/AC195))</f>
        <v>109.11201209723454</v>
      </c>
      <c r="T193" s="4"/>
      <c r="U193" s="4"/>
      <c r="V193" s="4"/>
      <c r="W193" s="44" t="s">
        <v>196</v>
      </c>
      <c r="X193" s="44" t="s">
        <v>192</v>
      </c>
      <c r="Y193" s="44">
        <v>143</v>
      </c>
      <c r="Z193" s="9">
        <f t="shared" si="70"/>
        <v>150.87358</v>
      </c>
      <c r="AA193" s="9">
        <f t="shared" si="71"/>
        <v>45.053095190713009</v>
      </c>
      <c r="AB193" s="9">
        <v>1</v>
      </c>
      <c r="AC193" s="9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4" t="s">
        <v>196</v>
      </c>
      <c r="BH193" s="9" t="s">
        <v>180</v>
      </c>
      <c r="BI193" s="9">
        <v>238</v>
      </c>
      <c r="BJ193" s="44">
        <f>BI193*Btu_to_kJ</f>
        <v>251.10428000000002</v>
      </c>
      <c r="BK193" s="44">
        <f>BJ193*($AX$217/1000)</f>
        <v>0.12682374134828742</v>
      </c>
      <c r="BL193" s="9">
        <v>1</v>
      </c>
      <c r="BM193" s="9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15" t="s">
        <v>489</v>
      </c>
      <c r="Q194" s="80">
        <f>V206/AC195</f>
        <v>109.79148941804274</v>
      </c>
      <c r="T194" s="4"/>
      <c r="U194" s="4"/>
      <c r="V194" s="4"/>
      <c r="W194" s="44" t="s">
        <v>196</v>
      </c>
      <c r="X194" s="44" t="s">
        <v>193</v>
      </c>
      <c r="Y194" s="44">
        <v>6</v>
      </c>
      <c r="Z194" s="9">
        <f t="shared" si="70"/>
        <v>6.3303600000000007</v>
      </c>
      <c r="AA194" s="9">
        <f t="shared" si="71"/>
        <v>1.890339658351595</v>
      </c>
      <c r="AB194" s="9">
        <v>1</v>
      </c>
      <c r="AC194" s="9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44" t="s">
        <v>196</v>
      </c>
      <c r="BH194" s="44" t="s">
        <v>169</v>
      </c>
      <c r="BI194" s="44">
        <v>121</v>
      </c>
      <c r="BJ194" s="44">
        <f>BI194*Btu_to_kJ</f>
        <v>127.66226000000002</v>
      </c>
      <c r="BK194" s="44">
        <f>BJ194*($AX$217/1000)</f>
        <v>6.4477616399759574E-2</v>
      </c>
      <c r="BL194" s="9">
        <v>1</v>
      </c>
      <c r="BM194" s="9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16" t="s">
        <v>268</v>
      </c>
      <c r="Q195" s="76">
        <f>V210/AC195</f>
        <v>109.7914834438229</v>
      </c>
      <c r="T195" s="4"/>
      <c r="U195" s="4"/>
      <c r="V195" s="4"/>
      <c r="W195" s="401" t="s">
        <v>398</v>
      </c>
      <c r="X195" s="402"/>
      <c r="Y195" s="226"/>
      <c r="Z195" s="226"/>
      <c r="AA195" s="226">
        <f>SUM(AA185:AA186,AA187:AA188,AA189:AA190,AA191:AA192,AA193:AA194)</f>
        <v>80616.370239891301</v>
      </c>
      <c r="AB195" s="225">
        <v>1</v>
      </c>
      <c r="AC195" s="227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44"/>
      <c r="BH195" s="9" t="s">
        <v>18</v>
      </c>
      <c r="BI195" s="9">
        <f>SUM(BI190:BI194)</f>
        <v>94503</v>
      </c>
      <c r="BJ195" s="9">
        <f>SUM(BJ190:BJ194)</f>
        <v>99706.335179999995</v>
      </c>
      <c r="BK195" s="9">
        <f>SUM(BK190:BK194)</f>
        <v>50.358084153937838</v>
      </c>
      <c r="BL195" s="9"/>
      <c r="BM195" s="9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42"/>
      <c r="X196" s="142"/>
      <c r="Y196" s="142"/>
      <c r="Z196" s="142"/>
      <c r="AA196" s="142"/>
      <c r="AB196" s="142"/>
      <c r="AC196" s="142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42"/>
      <c r="X197" s="142"/>
      <c r="Y197" s="142"/>
      <c r="Z197" s="142"/>
      <c r="AA197" s="142"/>
      <c r="AB197" s="142"/>
      <c r="AC197" s="142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42"/>
      <c r="X198" s="142"/>
      <c r="Y198" s="142"/>
      <c r="Z198" s="142"/>
      <c r="AA198" s="142"/>
      <c r="AB198" s="142"/>
      <c r="AC198" s="142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2" t="s">
        <v>173</v>
      </c>
      <c r="BO198" s="3" t="s">
        <v>175</v>
      </c>
      <c r="BP198" s="3" t="s">
        <v>176</v>
      </c>
      <c r="BQ198" s="3" t="s">
        <v>177</v>
      </c>
      <c r="BW198" s="4"/>
      <c r="BX198" s="4"/>
    </row>
    <row r="199" spans="5:101" x14ac:dyDescent="0.2">
      <c r="I199" s="4"/>
      <c r="T199" s="4"/>
      <c r="U199" s="4"/>
      <c r="V199" s="4"/>
      <c r="W199" s="142"/>
      <c r="X199" s="142"/>
      <c r="Y199" s="142"/>
      <c r="Z199" s="142"/>
      <c r="AA199" s="142"/>
      <c r="AB199" s="142"/>
      <c r="AC199" s="142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145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2" t="s">
        <v>146</v>
      </c>
      <c r="AA203" s="3" t="s">
        <v>147</v>
      </c>
      <c r="AB203" s="3" t="s">
        <v>148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6" t="s">
        <v>1</v>
      </c>
      <c r="V204" s="42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6" t="s">
        <v>1</v>
      </c>
      <c r="AP204" s="42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6" t="s">
        <v>1</v>
      </c>
      <c r="BI204" s="42" t="s">
        <v>0</v>
      </c>
      <c r="BJ204" s="20"/>
      <c r="BK204" s="20"/>
      <c r="BL204" s="20"/>
      <c r="BM204" s="20"/>
      <c r="BN204" s="20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6" t="s">
        <v>1</v>
      </c>
      <c r="CB204" s="42" t="s">
        <v>0</v>
      </c>
      <c r="CC204" s="4"/>
      <c r="CD204" s="4"/>
      <c r="CU204" s="4"/>
      <c r="CV204" s="46" t="s">
        <v>1</v>
      </c>
      <c r="CW204" s="42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8" t="s">
        <v>83</v>
      </c>
      <c r="V205" s="47" t="s">
        <v>87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417</v>
      </c>
      <c r="AL205" s="4"/>
      <c r="AM205" s="4"/>
      <c r="AN205" s="4"/>
      <c r="AO205" s="48" t="s">
        <v>83</v>
      </c>
      <c r="AP205" s="47" t="s">
        <v>87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433</v>
      </c>
      <c r="BD205" s="4"/>
      <c r="BE205" s="4"/>
      <c r="BF205" s="4"/>
      <c r="BG205" s="4"/>
      <c r="BH205" s="48" t="s">
        <v>83</v>
      </c>
      <c r="BI205" s="47" t="s">
        <v>87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8" t="s">
        <v>83</v>
      </c>
      <c r="CB205" s="47" t="s">
        <v>87</v>
      </c>
      <c r="CC205" s="4"/>
      <c r="CD205" s="4"/>
      <c r="CU205" s="4"/>
      <c r="CV205" s="48" t="s">
        <v>83</v>
      </c>
      <c r="CW205" s="47" t="s">
        <v>87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61" t="s">
        <v>336</v>
      </c>
      <c r="Q206" s="361"/>
      <c r="R206" s="361"/>
      <c r="S206" s="4"/>
      <c r="T206" s="4"/>
      <c r="U206" s="40">
        <f>K218</f>
        <v>298.6148747230165</v>
      </c>
      <c r="V206" s="38">
        <f>V218</f>
        <v>8850991.3601140417</v>
      </c>
      <c r="W206" s="380" t="s">
        <v>327</v>
      </c>
      <c r="X206" s="380"/>
      <c r="Y206" s="380"/>
      <c r="Z206" s="380"/>
      <c r="AA206" s="380"/>
      <c r="AB206" s="38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0">
        <f>AE218</f>
        <v>298.6148747230165</v>
      </c>
      <c r="AP206" s="38">
        <f>AP218</f>
        <v>8855804.320336977</v>
      </c>
      <c r="AQ206" s="380" t="s">
        <v>434</v>
      </c>
      <c r="AR206" s="380"/>
      <c r="AS206" s="380"/>
      <c r="AT206" s="380"/>
      <c r="AU206" s="38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0">
        <f>AX218</f>
        <v>298.6148747230165</v>
      </c>
      <c r="BI206" s="38">
        <f>BI218</f>
        <v>8855804.320336977</v>
      </c>
      <c r="BJ206" s="380" t="s">
        <v>362</v>
      </c>
      <c r="BK206" s="380"/>
      <c r="BL206" s="380"/>
      <c r="BM206" s="380"/>
      <c r="BN206" s="380"/>
      <c r="BO206" s="4"/>
      <c r="BP206" s="4"/>
      <c r="BQ206" s="4"/>
      <c r="BR206" s="4"/>
      <c r="BS206" s="4"/>
      <c r="BT206" s="4"/>
      <c r="BU206" s="4"/>
      <c r="BV206" s="4"/>
      <c r="BW206" s="4" t="s">
        <v>418</v>
      </c>
      <c r="BX206" s="4"/>
      <c r="BY206" s="4"/>
      <c r="BZ206" s="4"/>
      <c r="CA206" s="40">
        <f>BQ218</f>
        <v>298.6148747230165</v>
      </c>
      <c r="CB206" s="38">
        <f>CB218</f>
        <v>8855804.320336977</v>
      </c>
      <c r="CD206" s="380" t="s">
        <v>344</v>
      </c>
      <c r="CE206" s="380"/>
      <c r="CF206" s="380"/>
      <c r="CG206" s="380"/>
      <c r="CH206" s="380"/>
      <c r="CI206" s="261"/>
      <c r="CR206" s="3" t="s">
        <v>484</v>
      </c>
      <c r="CU206" s="4"/>
      <c r="CV206" s="273">
        <f>CL211</f>
        <v>203.27980063725872</v>
      </c>
      <c r="CW206" s="3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80"/>
      <c r="X207" s="380"/>
      <c r="Y207" s="380"/>
      <c r="Z207" s="380"/>
      <c r="AA207" s="380"/>
      <c r="AB207" s="38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80"/>
      <c r="AR207" s="380"/>
      <c r="AS207" s="380"/>
      <c r="AT207" s="380"/>
      <c r="AU207" s="38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80"/>
      <c r="BK207" s="380"/>
      <c r="BL207" s="380"/>
      <c r="BM207" s="380"/>
      <c r="BN207" s="38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96"/>
      <c r="CE207" s="396"/>
      <c r="CF207" s="396"/>
      <c r="CG207" s="396"/>
      <c r="CH207" s="396"/>
      <c r="CI207" s="261"/>
      <c r="CU207" s="4"/>
      <c r="CV207" s="4"/>
    </row>
    <row r="208" spans="5:101" ht="19.25" customHeight="1" x14ac:dyDescent="0.25">
      <c r="E208" s="384" t="s">
        <v>356</v>
      </c>
      <c r="F208" s="384"/>
      <c r="G208" s="384"/>
      <c r="H208" s="384"/>
      <c r="J208" s="4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4"/>
      <c r="X208" s="17" t="s">
        <v>339</v>
      </c>
      <c r="Y208" s="17" t="s">
        <v>379</v>
      </c>
      <c r="Z208" s="219" t="s">
        <v>264</v>
      </c>
      <c r="AA208" s="381" t="s">
        <v>269</v>
      </c>
      <c r="AB208" s="79" t="s">
        <v>245</v>
      </c>
      <c r="AC208" s="1"/>
      <c r="AD208" s="4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7" t="s">
        <v>339</v>
      </c>
      <c r="AR208" s="17" t="s">
        <v>379</v>
      </c>
      <c r="AS208" s="135" t="s">
        <v>264</v>
      </c>
      <c r="AT208" s="381" t="s">
        <v>269</v>
      </c>
      <c r="AU208" s="114" t="s">
        <v>245</v>
      </c>
      <c r="AV208" s="1"/>
      <c r="AW208" s="4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7" t="s">
        <v>339</v>
      </c>
      <c r="BK208" s="17" t="s">
        <v>379</v>
      </c>
      <c r="BL208" s="135" t="s">
        <v>264</v>
      </c>
      <c r="BM208" s="381" t="s">
        <v>269</v>
      </c>
      <c r="BN208" s="114" t="s">
        <v>245</v>
      </c>
      <c r="BO208" s="1"/>
      <c r="BP208" s="4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7" t="s">
        <v>339</v>
      </c>
      <c r="CE208" s="17" t="s">
        <v>379</v>
      </c>
      <c r="CF208" s="161" t="s">
        <v>264</v>
      </c>
      <c r="CG208" s="381" t="s">
        <v>269</v>
      </c>
      <c r="CH208" s="114" t="s">
        <v>245</v>
      </c>
      <c r="CI208" s="1"/>
      <c r="CJ208" s="1"/>
      <c r="CK208" s="4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x14ac:dyDescent="0.25">
      <c r="E209" s="384"/>
      <c r="F209" s="384"/>
      <c r="G209" s="384"/>
      <c r="H209" s="384"/>
      <c r="J209" s="4" t="s">
        <v>40</v>
      </c>
      <c r="K209" s="1" t="s">
        <v>82</v>
      </c>
      <c r="L209" s="4" t="s">
        <v>213</v>
      </c>
      <c r="M209" s="2" t="s">
        <v>84</v>
      </c>
      <c r="N209" s="2" t="s">
        <v>80</v>
      </c>
      <c r="O209" s="1" t="s">
        <v>89</v>
      </c>
      <c r="P209" s="2" t="s">
        <v>89</v>
      </c>
      <c r="Q209" s="2" t="s">
        <v>24</v>
      </c>
      <c r="R209" s="2" t="s">
        <v>91</v>
      </c>
      <c r="S209" s="2" t="s">
        <v>89</v>
      </c>
      <c r="T209" s="2" t="s">
        <v>89</v>
      </c>
      <c r="U209" s="2" t="s">
        <v>88</v>
      </c>
      <c r="V209" s="2" t="s">
        <v>86</v>
      </c>
      <c r="W209" s="4"/>
      <c r="X209" s="180" t="s">
        <v>47</v>
      </c>
      <c r="Y209" s="8" t="s">
        <v>47</v>
      </c>
      <c r="Z209" s="47" t="s">
        <v>83</v>
      </c>
      <c r="AA209" s="382"/>
      <c r="AB209" s="112" t="s">
        <v>77</v>
      </c>
      <c r="AC209" s="4"/>
      <c r="AD209" s="4" t="s">
        <v>40</v>
      </c>
      <c r="AE209" s="1" t="s">
        <v>82</v>
      </c>
      <c r="AF209" s="4" t="s">
        <v>213</v>
      </c>
      <c r="AG209" s="2" t="s">
        <v>84</v>
      </c>
      <c r="AH209" s="2" t="s">
        <v>80</v>
      </c>
      <c r="AI209" s="1" t="s">
        <v>89</v>
      </c>
      <c r="AJ209" s="2" t="s">
        <v>89</v>
      </c>
      <c r="AK209" s="2" t="s">
        <v>24</v>
      </c>
      <c r="AL209" s="2" t="s">
        <v>91</v>
      </c>
      <c r="AM209" s="2" t="s">
        <v>89</v>
      </c>
      <c r="AN209" s="2" t="s">
        <v>89</v>
      </c>
      <c r="AO209" s="2" t="s">
        <v>88</v>
      </c>
      <c r="AP209" s="2" t="s">
        <v>86</v>
      </c>
      <c r="AQ209" s="180" t="s">
        <v>47</v>
      </c>
      <c r="AR209" s="8" t="s">
        <v>47</v>
      </c>
      <c r="AS209" s="1" t="s">
        <v>83</v>
      </c>
      <c r="AT209" s="382"/>
      <c r="AU209" s="112" t="s">
        <v>77</v>
      </c>
      <c r="AV209" s="4"/>
      <c r="AW209" s="4" t="s">
        <v>40</v>
      </c>
      <c r="AX209" s="1" t="s">
        <v>82</v>
      </c>
      <c r="AY209" s="4" t="s">
        <v>213</v>
      </c>
      <c r="AZ209" s="2" t="s">
        <v>84</v>
      </c>
      <c r="BA209" s="2" t="s">
        <v>80</v>
      </c>
      <c r="BB209" s="1" t="s">
        <v>89</v>
      </c>
      <c r="BC209" s="2" t="s">
        <v>89</v>
      </c>
      <c r="BD209" s="2" t="s">
        <v>24</v>
      </c>
      <c r="BE209" s="2" t="s">
        <v>91</v>
      </c>
      <c r="BF209" s="2" t="s">
        <v>89</v>
      </c>
      <c r="BG209" s="2" t="s">
        <v>89</v>
      </c>
      <c r="BH209" s="2" t="s">
        <v>88</v>
      </c>
      <c r="BI209" s="2" t="s">
        <v>86</v>
      </c>
      <c r="BJ209" s="180" t="s">
        <v>47</v>
      </c>
      <c r="BK209" s="8" t="s">
        <v>47</v>
      </c>
      <c r="BL209" s="1" t="s">
        <v>83</v>
      </c>
      <c r="BM209" s="382"/>
      <c r="BN209" s="112" t="s">
        <v>77</v>
      </c>
      <c r="BO209" s="4"/>
      <c r="BP209" s="4" t="s">
        <v>40</v>
      </c>
      <c r="BQ209" s="1" t="s">
        <v>82</v>
      </c>
      <c r="BR209" s="4" t="s">
        <v>213</v>
      </c>
      <c r="BS209" s="2" t="s">
        <v>84</v>
      </c>
      <c r="BT209" s="2" t="s">
        <v>80</v>
      </c>
      <c r="BU209" s="1" t="s">
        <v>89</v>
      </c>
      <c r="BV209" s="2" t="s">
        <v>89</v>
      </c>
      <c r="BW209" s="2" t="s">
        <v>24</v>
      </c>
      <c r="BX209" s="2" t="s">
        <v>91</v>
      </c>
      <c r="BY209" s="2" t="s">
        <v>89</v>
      </c>
      <c r="BZ209" s="2" t="s">
        <v>89</v>
      </c>
      <c r="CA209" s="2" t="s">
        <v>88</v>
      </c>
      <c r="CB209" s="2" t="s">
        <v>86</v>
      </c>
      <c r="CD209" s="180" t="s">
        <v>47</v>
      </c>
      <c r="CE209" s="8" t="s">
        <v>47</v>
      </c>
      <c r="CF209" s="8" t="s">
        <v>83</v>
      </c>
      <c r="CG209" s="416"/>
      <c r="CH209" s="112" t="s">
        <v>77</v>
      </c>
      <c r="CI209" s="4"/>
      <c r="CJ209" s="4"/>
      <c r="CK209" s="4" t="s">
        <v>40</v>
      </c>
      <c r="CL209" s="1" t="s">
        <v>82</v>
      </c>
      <c r="CM209" s="4" t="s">
        <v>213</v>
      </c>
      <c r="CN209" s="2" t="s">
        <v>84</v>
      </c>
      <c r="CO209" s="2" t="s">
        <v>80</v>
      </c>
      <c r="CP209" s="1" t="s">
        <v>89</v>
      </c>
      <c r="CQ209" s="2" t="s">
        <v>89</v>
      </c>
      <c r="CR209" s="2" t="s">
        <v>24</v>
      </c>
      <c r="CS209" s="2" t="s">
        <v>91</v>
      </c>
      <c r="CT209" s="2" t="s">
        <v>89</v>
      </c>
      <c r="CU209" s="2" t="s">
        <v>89</v>
      </c>
      <c r="CV209" s="2" t="s">
        <v>88</v>
      </c>
      <c r="CW209" s="2" t="s">
        <v>86</v>
      </c>
    </row>
    <row r="210" spans="2:101" ht="16" thickBot="1" x14ac:dyDescent="0.25">
      <c r="I210" s="179" t="s">
        <v>336</v>
      </c>
      <c r="J210" s="45" t="str">
        <f>_xlfn.CONCAT("C"," ",mol_C_Coal_in," ","H"," ",mol_H_Coal," ","O",mol_O_Coal," ","N"," ",mol_N_Coal)</f>
        <v>C 1 H 1.73788609476463 O0.0132955142084185 N 0.0011460925507865</v>
      </c>
      <c r="K210" s="45">
        <f>AE210</f>
        <v>273.3616728763003</v>
      </c>
      <c r="L210" s="45">
        <f>K210/$AX$218</f>
        <v>0.91543220387082169</v>
      </c>
      <c r="M210" s="45">
        <f>MW_Coal</f>
        <v>753.76276356260666</v>
      </c>
      <c r="N210" s="45">
        <f>mol_Coal</f>
        <v>53256.078525349229</v>
      </c>
      <c r="O210" s="45">
        <f>NCV_bituminous*MW_Coal</f>
        <v>25184721.456153814</v>
      </c>
      <c r="P210" s="45">
        <f>AJ210</f>
        <v>166.212200361182</v>
      </c>
      <c r="Q210" s="45">
        <f>N210/$BA$218</f>
        <v>0.99381125634452305</v>
      </c>
      <c r="R210" s="45">
        <f>LN(Q210)</f>
        <v>-6.2079733088095329E-3</v>
      </c>
      <c r="S210" s="45">
        <f t="shared" ref="S210:S217" si="74">RT0*R210</f>
        <v>-1.5380700846653852E-2</v>
      </c>
      <c r="T210" s="45">
        <f>S210+P210</f>
        <v>166.19681966033534</v>
      </c>
      <c r="U210" s="45">
        <f>T210*Q210</f>
        <v>165.16827014710199</v>
      </c>
      <c r="V210" s="45">
        <f>U210*$BA$218</f>
        <v>8850990.878494123</v>
      </c>
      <c r="W210" s="4"/>
      <c r="X210" s="81">
        <f>AP227</f>
        <v>555.77441893806406</v>
      </c>
      <c r="Y210" s="76">
        <f>SUM(AC195,V206,V222,V236) - SUM(AP206,AP227)</f>
        <v>98587.635320095345</v>
      </c>
      <c r="Z210" s="220">
        <f>AO206-U206</f>
        <v>0</v>
      </c>
      <c r="AA210" s="115" t="s">
        <v>489</v>
      </c>
      <c r="AB210" s="80">
        <f>(AP206+AP227)/($AC$195+V206+V222+V236)</f>
        <v>0.98899070789782728</v>
      </c>
      <c r="AC210" s="179" t="s">
        <v>433</v>
      </c>
      <c r="AD210" s="169" t="str">
        <f>_xlfn.CONCAT("C"," ",mol_C_Coal_in," ","H"," ",mol_H_Coal," ","O",mol_O_Coal," ","N"," ",mol_N_Coal)</f>
        <v>C 1 H 1.73788609476463 O0.0132955142084185 N 0.0011460925507865</v>
      </c>
      <c r="AE210" s="45">
        <f>AX210</f>
        <v>273.3616728763003</v>
      </c>
      <c r="AF210" s="45">
        <f>AE210/$AX$218</f>
        <v>0.91543220387082169</v>
      </c>
      <c r="AG210" s="45">
        <f>MW_Coal</f>
        <v>753.76276356260666</v>
      </c>
      <c r="AH210" s="45">
        <f>mol_Coal</f>
        <v>53256.078525349229</v>
      </c>
      <c r="AI210" s="45">
        <f>NCV_bituminous*MW_Coal</f>
        <v>25184721.456153814</v>
      </c>
      <c r="AJ210" s="45">
        <f>BC210</f>
        <v>166.212200361182</v>
      </c>
      <c r="AK210" s="45">
        <f>AH210/$BA$218</f>
        <v>0.99381125634452305</v>
      </c>
      <c r="AL210" s="45">
        <f>LN(AK210)</f>
        <v>-6.2079733088095329E-3</v>
      </c>
      <c r="AM210" s="45">
        <f t="shared" ref="AM210:AM217" si="75">RT0*AL210</f>
        <v>-1.5380700846653852E-2</v>
      </c>
      <c r="AN210" s="45">
        <f>AM210+AJ210</f>
        <v>166.19681966033534</v>
      </c>
      <c r="AO210" s="45">
        <f>AN210*AK210</f>
        <v>165.16827014710199</v>
      </c>
      <c r="AP210" s="45">
        <f>AO210*$BA$218</f>
        <v>8850990.878494123</v>
      </c>
      <c r="AQ210" s="81">
        <f>AP206+AU190-BI206</f>
        <v>282.12877103127539</v>
      </c>
      <c r="AR210" s="76">
        <f>AP206+AU190-BI206</f>
        <v>282.12877103127539</v>
      </c>
      <c r="AS210" s="117">
        <f>BH206-AO206</f>
        <v>0</v>
      </c>
      <c r="AT210" s="115" t="s">
        <v>489</v>
      </c>
      <c r="AU210" s="112">
        <f>BI206/(AP206+AU190)</f>
        <v>0.99996814295200787</v>
      </c>
      <c r="AV210" s="179" t="s">
        <v>433</v>
      </c>
      <c r="AW210" s="169" t="str">
        <f>_xlfn.CONCAT("C"," ",mol_C_Coal_in," ","H"," ",mol_H_Coal," ","O",mol_O_Coal," ","N"," ",mol_N_Coal)</f>
        <v>C 1 H 1.73788609476463 O0.0132955142084185 N 0.0011460925507865</v>
      </c>
      <c r="AX210" s="45">
        <f>BQ210</f>
        <v>273.3616728763003</v>
      </c>
      <c r="AY210" s="45">
        <f>AX210/$AX$218</f>
        <v>0.91543220387082169</v>
      </c>
      <c r="AZ210" s="45">
        <f>MW_Coal</f>
        <v>753.76276356260666</v>
      </c>
      <c r="BA210" s="45">
        <f>mol_Coal</f>
        <v>53256.078525349229</v>
      </c>
      <c r="BB210" s="45">
        <f>NCV_bituminous*MW_Coal</f>
        <v>25184721.456153814</v>
      </c>
      <c r="BC210" s="45">
        <f>BV210</f>
        <v>166.212200361182</v>
      </c>
      <c r="BD210" s="45">
        <f>BA210/$BA$218</f>
        <v>0.99381125634452305</v>
      </c>
      <c r="BE210" s="45">
        <f>LN(BD210)</f>
        <v>-6.2079733088095329E-3</v>
      </c>
      <c r="BF210" s="45">
        <f t="shared" ref="BF210:BF217" si="76">RT0*BE210</f>
        <v>-1.5380700846653852E-2</v>
      </c>
      <c r="BG210" s="45">
        <f>BF210+BC210</f>
        <v>166.19681966033534</v>
      </c>
      <c r="BH210" s="45">
        <f>BG210*BD210</f>
        <v>165.16827014710199</v>
      </c>
      <c r="BI210" s="45">
        <f>BH210*$BA$218</f>
        <v>8850990.878494123</v>
      </c>
      <c r="BJ210" s="81">
        <f>BM195+BI206-CB206</f>
        <v>50.35808415338397</v>
      </c>
      <c r="BK210" s="76">
        <f>(BM195+BI206)-CB206</f>
        <v>50.35808415338397</v>
      </c>
      <c r="BL210" s="117">
        <f>CA206-BH206</f>
        <v>0</v>
      </c>
      <c r="BM210" s="115" t="s">
        <v>489</v>
      </c>
      <c r="BN210" s="112">
        <f>CB206/(BM195+BI206)</f>
        <v>0.99999431358282376</v>
      </c>
      <c r="BO210" s="179" t="s">
        <v>383</v>
      </c>
      <c r="BP210" s="169" t="str">
        <f>_xlfn.CONCAT("C"," ",mol_C_Coal_in," ","H"," ",mol_H_Coal," ","O",mol_O_Coal," ","N"," ",mol_N_Coal," ","S",mol_S_coal)</f>
        <v>C 1 H 1.73788609476463 O0.0132955142084185 N 0.0011460925507865 S0.00505505675220687</v>
      </c>
      <c r="BQ210" s="45">
        <f>SUM(Calculators!C98:C102)</f>
        <v>273.3616728763003</v>
      </c>
      <c r="BR210" s="45">
        <f>BQ210/$BQ$218</f>
        <v>0.91543220387082169</v>
      </c>
      <c r="BS210" s="45">
        <f>MW_Coal</f>
        <v>753.76276356260666</v>
      </c>
      <c r="BT210" s="45">
        <f>mol_Coal</f>
        <v>53256.078525349229</v>
      </c>
      <c r="BU210" s="45">
        <f>NCV_bituminous*MW_Coal</f>
        <v>25184721.456153814</v>
      </c>
      <c r="BV210" s="284">
        <f>(b_ch_coal*BQ210)/BT210</f>
        <v>166.212200361182</v>
      </c>
      <c r="BW210" s="45">
        <f>BT210/$BT$218</f>
        <v>0.99381125634452305</v>
      </c>
      <c r="BX210" s="45">
        <f>LN(BW210)</f>
        <v>-6.2079733088095329E-3</v>
      </c>
      <c r="BY210" s="45">
        <f t="shared" ref="BY210:BY217" si="77">RT0*BX210</f>
        <v>-1.5380700846653852E-2</v>
      </c>
      <c r="BZ210" s="45">
        <f>BY210+BV210</f>
        <v>166.19681966033534</v>
      </c>
      <c r="CA210" s="45">
        <f>BZ210*BW210</f>
        <v>165.16827014710199</v>
      </c>
      <c r="CB210" s="45">
        <f>CA210*$BT$218</f>
        <v>8850990.878494123</v>
      </c>
      <c r="CD210" s="81">
        <f>SUM(CB206,CB225,CB232,CB244) - SUM(CW251,CW234,CW218,CW206)</f>
        <v>8706828.4095456321</v>
      </c>
      <c r="CE210" s="76">
        <f>SUM(CB244,CB206,CB225,CB232) - SUM(CW206,CW218,CW234,CW251)</f>
        <v>8706828.4095456358</v>
      </c>
      <c r="CF210" s="274">
        <f>ROUND(CV206+CV218+CV234+CV251+CV267-CA206-CA232-CA244, 10)</f>
        <v>0</v>
      </c>
      <c r="CG210" s="115" t="s">
        <v>489</v>
      </c>
      <c r="CH210" s="112">
        <f>(CW218+CW206+CW234+CW251+CW267)/(CB244+CB206+CB232)</f>
        <v>0.60155306227269634</v>
      </c>
      <c r="CI210" s="4"/>
      <c r="CJ210" s="218" t="s">
        <v>485</v>
      </c>
      <c r="CK210" s="169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41">
        <f>SUM(Calculators!C89:C93)</f>
        <v>203.27980063725872</v>
      </c>
      <c r="CM210" s="72">
        <f>CL210/CL211</f>
        <v>1</v>
      </c>
      <c r="CN210" s="72">
        <f>MW_Coke</f>
        <v>217.63525920401193</v>
      </c>
      <c r="CO210" s="72">
        <f>mol_Coke</f>
        <v>17721.029348224434</v>
      </c>
      <c r="CP210" s="72">
        <f>NCV_dry_anthrocite*MW_Coke</f>
        <v>6546468.5968566788</v>
      </c>
      <c r="CQ210" s="285">
        <f>(b_ch_coke*CL210 )/mol_Coke</f>
        <v>361.62056363730647</v>
      </c>
      <c r="CR210" s="72">
        <f>CO210/CO211</f>
        <v>1</v>
      </c>
      <c r="CS210" s="72">
        <f>LN(CR210)</f>
        <v>0</v>
      </c>
      <c r="CT210" s="72">
        <f>RT0*CS210</f>
        <v>0</v>
      </c>
      <c r="CU210" s="73">
        <f>CT210+CQ210</f>
        <v>361.62056363730647</v>
      </c>
      <c r="CV210" s="73">
        <f>CU210*CR210</f>
        <v>361.62056363730647</v>
      </c>
      <c r="CW210" s="72">
        <f>CV210*CO211</f>
        <v>6408288.6211381694</v>
      </c>
    </row>
    <row r="211" spans="2:101" ht="17" customHeight="1" thickBot="1" x14ac:dyDescent="0.3">
      <c r="I211" s="392" t="s">
        <v>431</v>
      </c>
      <c r="J211" s="45" t="s">
        <v>237</v>
      </c>
      <c r="K211" s="45">
        <f t="shared" ref="K211:K216" si="78">AE211</f>
        <v>7.5759605540148947</v>
      </c>
      <c r="L211" s="45">
        <f t="shared" ref="L211:L217" si="79">K211/$AX$218</f>
        <v>2.5370338838753628E-2</v>
      </c>
      <c r="M211" s="45">
        <f>MW_Al2O3</f>
        <v>0.10196127799999999</v>
      </c>
      <c r="N211" s="45">
        <f t="shared" ref="N211:N217" si="80">K211/M211</f>
        <v>74.302330282824585</v>
      </c>
      <c r="O211" s="45">
        <f>h_Al2O3</f>
        <v>-1675.7</v>
      </c>
      <c r="P211" s="45">
        <f>b_ch_Al2O3</f>
        <v>31.875999999999976</v>
      </c>
      <c r="Q211" s="45">
        <f t="shared" ref="Q211:Q217" si="81">N211/$BA$218</f>
        <v>1.386555192428438E-3</v>
      </c>
      <c r="R211" s="45">
        <f t="shared" ref="R211:R217" si="82">LN(Q211)</f>
        <v>-6.5809328866841756</v>
      </c>
      <c r="S211" s="45">
        <f t="shared" si="74"/>
        <v>-16.304735053927885</v>
      </c>
      <c r="T211" s="45">
        <f t="shared" ref="T211:T217" si="83">S211+P211</f>
        <v>15.571264946072091</v>
      </c>
      <c r="U211" s="45">
        <f t="shared" ref="U211:U217" si="84">T211*Q211</f>
        <v>2.1590418263655181E-2</v>
      </c>
      <c r="V211" s="45">
        <f t="shared" ref="V211:V217" si="85">U211*$BA$217</f>
        <v>0.11576440408660978</v>
      </c>
      <c r="W211" s="4"/>
      <c r="X211" s="4"/>
      <c r="Y211" s="4"/>
      <c r="Z211" s="4"/>
      <c r="AA211" s="116" t="s">
        <v>318</v>
      </c>
      <c r="AB211" s="76">
        <f>$AP$210/($AC$195+V206+V222+V236)</f>
        <v>0.98839112692609699</v>
      </c>
      <c r="AC211" s="392" t="s">
        <v>429</v>
      </c>
      <c r="AD211" s="45" t="s">
        <v>237</v>
      </c>
      <c r="AE211" s="45">
        <f>AX211</f>
        <v>7.5759605540148947</v>
      </c>
      <c r="AF211" s="45">
        <f t="shared" ref="AF211:AF217" si="86">AE211/$AX$218</f>
        <v>2.5370338838753628E-2</v>
      </c>
      <c r="AG211" s="45">
        <f>MW_Al2O3</f>
        <v>0.10196127799999999</v>
      </c>
      <c r="AH211" s="45">
        <f t="shared" ref="AH211:AH216" si="87">AE211/AG211</f>
        <v>74.302330282824585</v>
      </c>
      <c r="AI211" s="45">
        <f>h_Al2O3</f>
        <v>-1675.7</v>
      </c>
      <c r="AJ211" s="45">
        <f>b_ch_Al2O3</f>
        <v>31.875999999999976</v>
      </c>
      <c r="AK211" s="45">
        <f t="shared" ref="AK211:AK216" si="88">AH211/$BA$218</f>
        <v>1.386555192428438E-3</v>
      </c>
      <c r="AL211" s="45">
        <f t="shared" ref="AL211:AL216" si="89">LN(AK211)</f>
        <v>-6.5809328866841756</v>
      </c>
      <c r="AM211" s="45">
        <f t="shared" si="75"/>
        <v>-16.304735053927885</v>
      </c>
      <c r="AN211" s="45">
        <f t="shared" ref="AN211:AN217" si="90">AM211+AJ211</f>
        <v>15.571264946072091</v>
      </c>
      <c r="AO211" s="45">
        <f t="shared" ref="AO211:AO217" si="91">AN211*AK211</f>
        <v>2.1590418263655181E-2</v>
      </c>
      <c r="AP211" s="45">
        <f t="shared" ref="AP211:AP217" si="92">AO211*$BA$218</f>
        <v>1156.9812709444175</v>
      </c>
      <c r="AQ211" s="4"/>
      <c r="AR211" s="4"/>
      <c r="AT211" s="116" t="s">
        <v>318</v>
      </c>
      <c r="AU211" s="113">
        <f>BI210/(AP206+AU190)</f>
        <v>0.9994246250143145</v>
      </c>
      <c r="AV211" s="392" t="s">
        <v>429</v>
      </c>
      <c r="AW211" s="45" t="s">
        <v>237</v>
      </c>
      <c r="AX211" s="45">
        <f t="shared" ref="AX211:AX216" si="93">CL222</f>
        <v>7.5759605540148947</v>
      </c>
      <c r="AY211" s="45">
        <f t="shared" ref="AY211:AY217" si="94">AX211/$AX$218</f>
        <v>2.5370338838753628E-2</v>
      </c>
      <c r="AZ211" s="45">
        <f>MW_Al2O3</f>
        <v>0.10196127799999999</v>
      </c>
      <c r="BA211" s="45">
        <f t="shared" ref="BA211:BA216" si="95">AX211/AZ211</f>
        <v>74.302330282824585</v>
      </c>
      <c r="BB211" s="45">
        <f>h_Al2O3</f>
        <v>-1675.7</v>
      </c>
      <c r="BC211" s="45">
        <f>b_ch_Al2O3</f>
        <v>31.875999999999976</v>
      </c>
      <c r="BD211" s="45">
        <f t="shared" ref="BD211:BD216" si="96">BA211/$BA$218</f>
        <v>1.386555192428438E-3</v>
      </c>
      <c r="BE211" s="45">
        <f t="shared" ref="BE211:BE216" si="97">LN(BD211)</f>
        <v>-6.5809328866841756</v>
      </c>
      <c r="BF211" s="45">
        <f t="shared" si="76"/>
        <v>-16.304735053927885</v>
      </c>
      <c r="BG211" s="45">
        <f t="shared" ref="BG211:BG217" si="98">BF211+BC211</f>
        <v>15.571264946072091</v>
      </c>
      <c r="BH211" s="45">
        <f t="shared" ref="BH211:BH217" si="99">BG211*BD211</f>
        <v>2.1590418263655181E-2</v>
      </c>
      <c r="BI211" s="45">
        <f t="shared" ref="BI211:BI217" si="100">BH211*$BA$218</f>
        <v>1156.9812709444175</v>
      </c>
      <c r="BJ211" s="4"/>
      <c r="BK211" s="4"/>
      <c r="BM211" s="116" t="s">
        <v>318</v>
      </c>
      <c r="BN211" s="113">
        <f>CB210/(BM195+BI206)</f>
        <v>0.99945078142046995</v>
      </c>
      <c r="BO211" s="392" t="s">
        <v>428</v>
      </c>
      <c r="BP211" s="45" t="s">
        <v>237</v>
      </c>
      <c r="BQ211" s="45">
        <f t="shared" ref="BQ211:BQ217" si="101">CL222</f>
        <v>7.5759605540148947</v>
      </c>
      <c r="BR211" s="45">
        <f t="shared" ref="BR211:BR217" si="102">BQ211/$BQ$218</f>
        <v>2.5370338838753628E-2</v>
      </c>
      <c r="BS211" s="45">
        <f>MW_Al2O3</f>
        <v>0.10196127799999999</v>
      </c>
      <c r="BT211" s="45">
        <f t="shared" ref="BT211:BT217" si="103">BQ211/BS211</f>
        <v>74.302330282824585</v>
      </c>
      <c r="BU211" s="45">
        <f>h_Al2O3</f>
        <v>-1675.7</v>
      </c>
      <c r="BV211" s="45">
        <f>b_ch_Al2O3</f>
        <v>31.875999999999976</v>
      </c>
      <c r="BW211" s="45">
        <f t="shared" ref="BW211:BW217" si="104">BT211/$BT$218</f>
        <v>1.386555192428438E-3</v>
      </c>
      <c r="BX211" s="45">
        <f t="shared" ref="BX211:BX217" si="105">LN(BW211)</f>
        <v>-6.5809328866841756</v>
      </c>
      <c r="BY211" s="45">
        <f t="shared" si="77"/>
        <v>-16.304735053927885</v>
      </c>
      <c r="BZ211" s="45">
        <f t="shared" ref="BZ211:BZ217" si="106">BY211+BV211</f>
        <v>15.571264946072091</v>
      </c>
      <c r="CA211" s="45">
        <f t="shared" ref="CA211:CA217" si="107">BZ211*BW211</f>
        <v>2.1590418263655181E-2</v>
      </c>
      <c r="CB211" s="45">
        <f>CA211*$BT$218</f>
        <v>1156.9812709444175</v>
      </c>
      <c r="CD211" s="4"/>
      <c r="CE211" s="4"/>
      <c r="CG211" s="116" t="s">
        <v>318</v>
      </c>
      <c r="CH211" s="113">
        <f>CW210/(CB244+CB206+CB232)</f>
        <v>0.32940597812032246</v>
      </c>
      <c r="CI211" s="4"/>
      <c r="CJ211" s="4"/>
      <c r="CK211" s="13" t="s">
        <v>18</v>
      </c>
      <c r="CL211" s="145">
        <f>SUM(CL210)</f>
        <v>203.27980063725872</v>
      </c>
      <c r="CM211" s="13">
        <f>SUM(CM204:CM210)</f>
        <v>1</v>
      </c>
      <c r="CN211" s="13">
        <f>SUM(CN210)</f>
        <v>217.63525920401193</v>
      </c>
      <c r="CO211" s="13">
        <f>SUM(CO204:CO210)</f>
        <v>17721.029348224434</v>
      </c>
      <c r="CP211" s="13">
        <f>SUM(CL210*CP210) / CL211</f>
        <v>6546468.5968566798</v>
      </c>
      <c r="CQ211" s="13"/>
      <c r="CR211" s="13"/>
      <c r="CS211" s="13"/>
      <c r="CT211" s="13"/>
      <c r="CU211" s="13"/>
      <c r="CV211" s="13">
        <f>SUM(CV210)</f>
        <v>361.62056363730647</v>
      </c>
      <c r="CW211" s="13">
        <f>SUM(CW210)</f>
        <v>6408288.6211381694</v>
      </c>
    </row>
    <row r="212" spans="2:101" ht="18" x14ac:dyDescent="0.25">
      <c r="I212" s="392"/>
      <c r="J212" s="4" t="s">
        <v>113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C212" s="392"/>
      <c r="AD212" s="4" t="s">
        <v>113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V212" s="392"/>
      <c r="AW212" s="4" t="s">
        <v>113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O212" s="392"/>
      <c r="BP212" s="4" t="s">
        <v>113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I212" s="4"/>
      <c r="CJ212" s="4"/>
      <c r="CL212" s="1" t="s">
        <v>83</v>
      </c>
      <c r="CM212" s="1"/>
      <c r="CN212" s="3" t="s">
        <v>85</v>
      </c>
      <c r="CO212" s="3" t="s">
        <v>81</v>
      </c>
      <c r="CP212" s="1" t="s">
        <v>510</v>
      </c>
      <c r="CQ212" s="4"/>
      <c r="CR212" s="4"/>
      <c r="CV212" s="3" t="s">
        <v>90</v>
      </c>
      <c r="CW212" s="1" t="s">
        <v>87</v>
      </c>
    </row>
    <row r="213" spans="2:101" x14ac:dyDescent="0.2">
      <c r="I213" s="392"/>
      <c r="J213" s="4" t="s">
        <v>132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392"/>
      <c r="AD213" s="4" t="s">
        <v>132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392"/>
      <c r="AW213" s="4" t="s">
        <v>132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392"/>
      <c r="BP213" s="4" t="s">
        <v>132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392"/>
      <c r="J214" s="4" t="s">
        <v>238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392"/>
      <c r="AD214" s="4" t="s">
        <v>238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392"/>
      <c r="AW214" s="4" t="s">
        <v>238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392"/>
      <c r="BP214" s="4" t="s">
        <v>238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392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08" t="s">
        <v>475</v>
      </c>
      <c r="AB215" s="12"/>
      <c r="AC215" s="392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08" t="s">
        <v>475</v>
      </c>
      <c r="AU215" s="4"/>
      <c r="AV215" s="392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08" t="s">
        <v>475</v>
      </c>
      <c r="BN215" s="4"/>
      <c r="BO215" s="392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08" t="s">
        <v>475</v>
      </c>
      <c r="CH215" s="108"/>
      <c r="CI215" s="108"/>
    </row>
    <row r="216" spans="2:101" ht="18.5" customHeight="1" x14ac:dyDescent="0.25">
      <c r="I216" s="392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392" t="s">
        <v>297</v>
      </c>
      <c r="X216" s="4"/>
      <c r="Y216" s="1" t="s">
        <v>477</v>
      </c>
      <c r="Z216" s="1" t="s">
        <v>477</v>
      </c>
      <c r="AA216" s="1" t="s">
        <v>477</v>
      </c>
      <c r="AC216" s="392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477</v>
      </c>
      <c r="AS216" s="1" t="s">
        <v>477</v>
      </c>
      <c r="AT216" s="1" t="s">
        <v>477</v>
      </c>
      <c r="AU216" s="4"/>
      <c r="AV216" s="392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477</v>
      </c>
      <c r="BL216" s="1" t="s">
        <v>477</v>
      </c>
      <c r="BM216" s="1" t="s">
        <v>477</v>
      </c>
      <c r="BN216" s="4"/>
      <c r="BO216" s="392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477</v>
      </c>
      <c r="CF216" s="1" t="s">
        <v>477</v>
      </c>
      <c r="CG216" s="1" t="s">
        <v>477</v>
      </c>
      <c r="CH216" s="1"/>
      <c r="CI216" s="1"/>
      <c r="CU216" s="4"/>
      <c r="CV216" s="46" t="s">
        <v>1</v>
      </c>
      <c r="CW216" s="42" t="s">
        <v>0</v>
      </c>
    </row>
    <row r="217" spans="2:101" ht="18" x14ac:dyDescent="0.25">
      <c r="J217" s="1" t="s">
        <v>528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392"/>
      <c r="X217" s="4" t="s">
        <v>59</v>
      </c>
      <c r="Y217" s="3" t="s">
        <v>476</v>
      </c>
      <c r="Z217" s="3" t="s">
        <v>476</v>
      </c>
      <c r="AA217" s="3" t="s">
        <v>476</v>
      </c>
      <c r="AC217" s="4"/>
      <c r="AD217" s="1" t="s">
        <v>528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476</v>
      </c>
      <c r="AS217" s="3" t="s">
        <v>476</v>
      </c>
      <c r="AT217" s="3" t="s">
        <v>476</v>
      </c>
      <c r="AU217" s="4"/>
      <c r="AV217" s="4"/>
      <c r="AW217" s="1" t="s">
        <v>528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476</v>
      </c>
      <c r="BL217" s="3" t="s">
        <v>476</v>
      </c>
      <c r="BM217" s="3" t="s">
        <v>476</v>
      </c>
      <c r="BN217" s="4"/>
      <c r="BO217" s="4"/>
      <c r="BP217" s="1" t="s">
        <v>528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476</v>
      </c>
      <c r="CF217" s="3" t="s">
        <v>476</v>
      </c>
      <c r="CG217" s="3" t="s">
        <v>476</v>
      </c>
      <c r="CJ217" s="271"/>
      <c r="CU217" s="4"/>
      <c r="CV217" s="48" t="s">
        <v>83</v>
      </c>
      <c r="CW217" s="47" t="s">
        <v>87</v>
      </c>
    </row>
    <row r="218" spans="2:101" ht="18" customHeight="1" thickBot="1" x14ac:dyDescent="0.25">
      <c r="J218" s="45" t="s">
        <v>18</v>
      </c>
      <c r="K218" s="45">
        <f>SUM(K210:K217)</f>
        <v>298.6148747230165</v>
      </c>
      <c r="L218" s="45">
        <f>SUM(L210:L217)</f>
        <v>1.0000000000000004</v>
      </c>
      <c r="M218" s="45">
        <f>SUM(M210:M217)</f>
        <v>754.33705407660659</v>
      </c>
      <c r="N218" s="45">
        <f>SUM(N210:N217)</f>
        <v>53587.719182451103</v>
      </c>
      <c r="O218" s="13" cm="1">
        <f t="array" ref="O218">SUM(K210:K217*O210:O217) / K218</f>
        <v>23054812.906863328</v>
      </c>
      <c r="P218" s="13"/>
      <c r="Q218" s="45">
        <f>SUM(Q210:Q217)</f>
        <v>1.0000000000000002</v>
      </c>
      <c r="R218" s="13"/>
      <c r="S218" s="13"/>
      <c r="T218" s="13"/>
      <c r="U218" s="45">
        <f>SUM(U210:U217)</f>
        <v>165.25809374691713</v>
      </c>
      <c r="V218" s="45">
        <f>SUM(V210:V217)</f>
        <v>8850991.3601140417</v>
      </c>
      <c r="W218" s="392"/>
      <c r="X218" s="4" t="s">
        <v>17</v>
      </c>
      <c r="Y218" s="60">
        <f>(N210)+(12*N226)</f>
        <v>53292.826569533201</v>
      </c>
      <c r="Z218" s="60">
        <f>AH210+AH231</f>
        <v>53292.826569533201</v>
      </c>
      <c r="AA218" s="3">
        <f>Y218-Z218</f>
        <v>0</v>
      </c>
      <c r="AC218" s="4"/>
      <c r="AD218" s="13" t="s">
        <v>18</v>
      </c>
      <c r="AE218" s="13">
        <f>SUM(AE210:AE217)</f>
        <v>298.6148747230165</v>
      </c>
      <c r="AF218" s="13">
        <f>SUM(AF210:AF217)</f>
        <v>1.0000000000000004</v>
      </c>
      <c r="AG218" s="13">
        <f>SUM(AG210:AG217)</f>
        <v>754.33705407660659</v>
      </c>
      <c r="AH218" s="13">
        <f>SUM(AH210:AH217)</f>
        <v>53587.719182451103</v>
      </c>
      <c r="AI218" s="13" cm="1">
        <f t="array" ref="AI218">SUM(AE210:AE217*AI210:AI217) / AE218</f>
        <v>23054812.906863328</v>
      </c>
      <c r="AJ218" s="13"/>
      <c r="AK218" s="13"/>
      <c r="AL218" s="13"/>
      <c r="AM218" s="13"/>
      <c r="AN218" s="13"/>
      <c r="AO218" s="13">
        <f>SUM(AO210:AO217)</f>
        <v>165.25809374691713</v>
      </c>
      <c r="AP218" s="13">
        <f>SUM(AP210:AP217)</f>
        <v>8855804.320336977</v>
      </c>
      <c r="AQ218" s="4" t="s">
        <v>17</v>
      </c>
      <c r="AR218" s="60">
        <f>AH210</f>
        <v>53256.078525349229</v>
      </c>
      <c r="AS218" s="60">
        <f>BA210</f>
        <v>53256.078525349229</v>
      </c>
      <c r="AT218" s="3">
        <f>AR218-AS218</f>
        <v>0</v>
      </c>
      <c r="AU218" s="4"/>
      <c r="AV218" s="4"/>
      <c r="AW218" s="13" t="s">
        <v>18</v>
      </c>
      <c r="AX218" s="13">
        <f>SUM(AX210:AX217)</f>
        <v>298.6148747230165</v>
      </c>
      <c r="AY218" s="13">
        <f>SUM(AY210:AY217)</f>
        <v>1.0000000000000004</v>
      </c>
      <c r="AZ218" s="13">
        <f>SUM(AZ210:AZ217)</f>
        <v>754.33705407660659</v>
      </c>
      <c r="BA218" s="13">
        <f>SUM(BA210:BA217)</f>
        <v>53587.719182451103</v>
      </c>
      <c r="BB218" s="13" cm="1">
        <f t="array" ref="BB218">SUM(AX210:AX217*BB210:BB217) / AX218</f>
        <v>23054812.906863328</v>
      </c>
      <c r="BC218" s="13"/>
      <c r="BD218" s="13"/>
      <c r="BE218" s="13"/>
      <c r="BF218" s="13"/>
      <c r="BG218" s="13"/>
      <c r="BH218" s="13">
        <f>SUM(BH210:BH217)</f>
        <v>165.25809374691713</v>
      </c>
      <c r="BI218" s="13">
        <f>SUM(BI210:BI217)</f>
        <v>8855804.320336977</v>
      </c>
      <c r="BJ218" s="4" t="s">
        <v>17</v>
      </c>
      <c r="BK218" s="60">
        <f>BA210</f>
        <v>53256.078525349229</v>
      </c>
      <c r="BL218" s="60">
        <f>BT210</f>
        <v>53256.078525349229</v>
      </c>
      <c r="BM218" s="3">
        <f>BK218-BL218</f>
        <v>0</v>
      </c>
      <c r="BN218" s="1"/>
      <c r="BO218" s="4"/>
      <c r="BP218" s="13" t="s">
        <v>18</v>
      </c>
      <c r="BQ218" s="13">
        <f>SUM(BQ210:BQ217)</f>
        <v>298.6148747230165</v>
      </c>
      <c r="BR218" s="13">
        <f>SUM(BR210:BR217)</f>
        <v>1.0000000000000004</v>
      </c>
      <c r="BS218" s="13">
        <f>SUM(BS210:BS217)</f>
        <v>754.33705407660659</v>
      </c>
      <c r="BT218" s="13">
        <f>SUM(BT210:BT217)</f>
        <v>53587.719182451103</v>
      </c>
      <c r="BU218" s="13" cm="1">
        <f t="array" ref="BU218">SUM(BQ210:BQ217*BU210:BU217) / BQ218</f>
        <v>23054812.906863328</v>
      </c>
      <c r="BV218" s="13"/>
      <c r="BW218" s="13"/>
      <c r="BX218" s="13"/>
      <c r="BY218" s="13"/>
      <c r="BZ218" s="13"/>
      <c r="CA218" s="13">
        <f>SUM(CA210:CA217)</f>
        <v>165.25809374691713</v>
      </c>
      <c r="CB218" s="13">
        <f>SUM(CB210:CB217)</f>
        <v>8855804.320336977</v>
      </c>
      <c r="CC218" s="4"/>
      <c r="CD218" s="4" t="s">
        <v>17</v>
      </c>
      <c r="CE218" s="60">
        <f>(BT210/coal_C_coeff)+BT248</f>
        <v>32037.942345649131</v>
      </c>
      <c r="CF218" s="60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71"/>
      <c r="CR218" s="3" t="s">
        <v>421</v>
      </c>
      <c r="CU218" s="4"/>
      <c r="CV218" s="40">
        <f>CL229</f>
        <v>25.253201846716312</v>
      </c>
      <c r="CW218" s="38">
        <f>CW229</f>
        <v>8991.620323109395</v>
      </c>
    </row>
    <row r="219" spans="2:101" ht="21" customHeight="1" thickBot="1" x14ac:dyDescent="0.3">
      <c r="K219" s="1" t="s">
        <v>83</v>
      </c>
      <c r="L219" s="1"/>
      <c r="M219" s="3" t="s">
        <v>85</v>
      </c>
      <c r="N219" s="3" t="s">
        <v>81</v>
      </c>
      <c r="O219" s="1" t="s">
        <v>510</v>
      </c>
      <c r="P219" s="4"/>
      <c r="Q219" s="4"/>
      <c r="U219" s="3" t="s">
        <v>90</v>
      </c>
      <c r="V219" s="1" t="s">
        <v>87</v>
      </c>
      <c r="W219" s="392"/>
      <c r="X219" s="3" t="s">
        <v>135</v>
      </c>
      <c r="Y219" s="248">
        <f>(mol_H_Coal*N210)+(23*N226)</f>
        <v>92623.432082250409</v>
      </c>
      <c r="Z219" s="248">
        <f>(mol_H_Coal*AH210)+(2*AH232)</f>
        <v>92623.432082250409</v>
      </c>
      <c r="AA219" s="3">
        <f t="shared" ref="AA219:AA227" si="110">Y219-Z219</f>
        <v>0</v>
      </c>
      <c r="AE219" s="1" t="s">
        <v>83</v>
      </c>
      <c r="AF219" s="1"/>
      <c r="AG219" s="3" t="s">
        <v>85</v>
      </c>
      <c r="AH219" s="3" t="s">
        <v>81</v>
      </c>
      <c r="AI219" s="1" t="s">
        <v>510</v>
      </c>
      <c r="AJ219" s="4"/>
      <c r="AK219" s="4"/>
      <c r="AO219" s="3" t="s">
        <v>90</v>
      </c>
      <c r="AP219" s="1" t="s">
        <v>87</v>
      </c>
      <c r="AQ219" s="3" t="s">
        <v>135</v>
      </c>
      <c r="AR219" s="248">
        <f>(mol_H_Coal*AH210)</f>
        <v>92552.998330897797</v>
      </c>
      <c r="AS219" s="248">
        <f>mol_H_Coal*BA210</f>
        <v>92552.998330897797</v>
      </c>
      <c r="AT219" s="3">
        <f t="shared" ref="AT219:AT227" si="111">AR219-AS219</f>
        <v>0</v>
      </c>
      <c r="AX219" s="1" t="s">
        <v>83</v>
      </c>
      <c r="AY219" s="1"/>
      <c r="AZ219" s="3" t="s">
        <v>85</v>
      </c>
      <c r="BA219" s="3" t="s">
        <v>81</v>
      </c>
      <c r="BB219" s="1" t="s">
        <v>510</v>
      </c>
      <c r="BC219" s="4"/>
      <c r="BD219" s="4"/>
      <c r="BH219" s="3" t="s">
        <v>90</v>
      </c>
      <c r="BI219" s="1" t="s">
        <v>87</v>
      </c>
      <c r="BJ219" s="3" t="s">
        <v>135</v>
      </c>
      <c r="BK219" s="248">
        <f>(mol_H_Coal*BA210)</f>
        <v>92552.998330897797</v>
      </c>
      <c r="BL219" s="248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83</v>
      </c>
      <c r="BR219" s="1"/>
      <c r="BS219" s="3" t="s">
        <v>85</v>
      </c>
      <c r="BT219" s="3" t="s">
        <v>81</v>
      </c>
      <c r="BU219" s="1" t="s">
        <v>510</v>
      </c>
      <c r="BV219" s="4"/>
      <c r="BW219" s="4"/>
      <c r="CA219" s="3" t="s">
        <v>90</v>
      </c>
      <c r="CB219" s="1" t="s">
        <v>87</v>
      </c>
      <c r="CD219" s="3" t="s">
        <v>135</v>
      </c>
      <c r="CE219" s="60">
        <f>(BT210/coal_H_coeff)+(4*Ore_to_PI!BT248)</f>
        <v>84461.311317275366</v>
      </c>
      <c r="CF219" s="60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71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6" t="s">
        <v>1</v>
      </c>
      <c r="V220" s="42" t="s">
        <v>0</v>
      </c>
      <c r="W220" s="392"/>
      <c r="X220" s="3" t="s">
        <v>28</v>
      </c>
      <c r="Y220" s="248">
        <f>(mol_O_Coal*N210)+(3*N211)+N212+N213+N214+(3*N215)+(2*N216)+(2*N240)</f>
        <v>1528.2388768231481</v>
      </c>
      <c r="Z220" s="248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48">
        <f>(mol_O_Coal*AH210)+(3*AH211)+AH212+AH213+AH214+(3*AH215)+(2*AH216)</f>
        <v>1419.5259127788902</v>
      </c>
      <c r="AS220" s="248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48">
        <f>(mol_O_Coal*BA210)+(3*BA211)+BA212+BA213+BA214+(3*BA215)+(2*BA216)</f>
        <v>1419.5259127788902</v>
      </c>
      <c r="BL220" s="248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60">
        <f>(3*BT211)+(BT212)+BT213+BT214+(3*BT215)+(2*BT216)+(BT210/coal_O_coeff)+(2*BT236)+BT217</f>
        <v>51869.39719799607</v>
      </c>
      <c r="CF220" s="60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71"/>
      <c r="CK220" s="4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8" t="s">
        <v>83</v>
      </c>
      <c r="V221" s="47" t="s">
        <v>87</v>
      </c>
      <c r="W221" s="392"/>
      <c r="X221" s="3" t="s">
        <v>284</v>
      </c>
      <c r="Y221" s="60">
        <f>(mol_N_Coal*N210)+(2*N241)</f>
        <v>469.79713968841332</v>
      </c>
      <c r="Z221" s="60">
        <f>(mol_N_Coal*AH210)+(2*AH233)</f>
        <v>469.79713968841332</v>
      </c>
      <c r="AA221" s="3">
        <f t="shared" si="110"/>
        <v>0</v>
      </c>
      <c r="AQ221" s="3" t="s">
        <v>284</v>
      </c>
      <c r="AR221" s="60">
        <f>mol_N_Coal*AH210</f>
        <v>61.036394882003421</v>
      </c>
      <c r="AS221" s="60">
        <f>mol_N_Coal*BA210</f>
        <v>61.036394882003421</v>
      </c>
      <c r="AT221" s="3">
        <f t="shared" si="111"/>
        <v>0</v>
      </c>
      <c r="BJ221" s="3" t="s">
        <v>284</v>
      </c>
      <c r="BK221" s="60">
        <f>mol_N_Coal*BA210</f>
        <v>61.036394882003421</v>
      </c>
      <c r="BL221" s="60">
        <f>mol_N_Coal*BT210</f>
        <v>61.036394882003421</v>
      </c>
      <c r="BM221" s="3">
        <f t="shared" si="112"/>
        <v>0</v>
      </c>
      <c r="CD221" s="3" t="s">
        <v>284</v>
      </c>
      <c r="CE221" s="60">
        <f>(BT210/coal_N_coeff)+(2*BT237)</f>
        <v>191390.29432931638</v>
      </c>
      <c r="CF221" s="60">
        <f>(mol_C_to_BF/coke_N_coeff)+(2*CO257)+(2*CO280)</f>
        <v>191390.29432931638</v>
      </c>
      <c r="CG221" s="3">
        <f t="shared" si="113"/>
        <v>0</v>
      </c>
      <c r="CJ221" s="271"/>
      <c r="CK221" s="4" t="s">
        <v>40</v>
      </c>
      <c r="CL221" s="1" t="s">
        <v>82</v>
      </c>
      <c r="CM221" s="4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thickBot="1" x14ac:dyDescent="0.3">
      <c r="B222" s="384" t="s">
        <v>386</v>
      </c>
      <c r="C222" s="384"/>
      <c r="D222" s="384"/>
      <c r="E222" s="384"/>
      <c r="F222" s="384"/>
      <c r="G222" s="384"/>
      <c r="H222" s="384"/>
      <c r="J222" s="4"/>
      <c r="K222" s="4"/>
      <c r="L222" s="4"/>
      <c r="M222" s="4"/>
      <c r="N222" s="4"/>
      <c r="O222" s="4"/>
      <c r="P222" s="4"/>
      <c r="Q222" s="173" t="s">
        <v>466</v>
      </c>
      <c r="R222" s="4"/>
      <c r="S222" s="4"/>
      <c r="T222" s="4"/>
      <c r="U222" s="40">
        <f>L227</f>
        <v>0.51237375403207552</v>
      </c>
      <c r="V222" s="38">
        <f>V227</f>
        <v>23309.045257575242</v>
      </c>
      <c r="X222" s="3" t="s">
        <v>239</v>
      </c>
      <c r="Y222" s="60">
        <f>2*N211</f>
        <v>148.60466056564917</v>
      </c>
      <c r="Z222" s="60">
        <f>2*AH211</f>
        <v>148.60466056564917</v>
      </c>
      <c r="AA222" s="3">
        <f t="shared" si="110"/>
        <v>0</v>
      </c>
      <c r="AQ222" s="3" t="s">
        <v>239</v>
      </c>
      <c r="AR222" s="60">
        <f>2*AH211</f>
        <v>148.60466056564917</v>
      </c>
      <c r="AS222" s="60">
        <f>2*BA211</f>
        <v>148.60466056564917</v>
      </c>
      <c r="AT222" s="3">
        <f t="shared" si="111"/>
        <v>0</v>
      </c>
      <c r="BJ222" s="3" t="s">
        <v>239</v>
      </c>
      <c r="BK222" s="60">
        <f>2*BA211</f>
        <v>148.60466056564917</v>
      </c>
      <c r="BL222" s="60">
        <f>2*BT211</f>
        <v>148.60466056564917</v>
      </c>
      <c r="BM222" s="3">
        <f t="shared" si="112"/>
        <v>0</v>
      </c>
      <c r="CD222" s="3" t="s">
        <v>239</v>
      </c>
      <c r="CE222" s="60">
        <f>2*BT211</f>
        <v>148.60466056564917</v>
      </c>
      <c r="CF222" s="60">
        <f>2*CO222</f>
        <v>148.60466056564917</v>
      </c>
      <c r="CG222" s="3">
        <f>CE222-CF222</f>
        <v>0</v>
      </c>
      <c r="CJ222" s="414" t="s">
        <v>421</v>
      </c>
      <c r="CK222" s="45" t="s">
        <v>237</v>
      </c>
      <c r="CL222" s="45">
        <f>Calculators!K107</f>
        <v>7.5759605540148947</v>
      </c>
      <c r="CM222" s="45">
        <f t="shared" ref="CM222:CM228" si="114">CL222/$CL$229</f>
        <v>0.30000000000000004</v>
      </c>
      <c r="CN222" s="45">
        <f>MW_Al2O3</f>
        <v>0.10196127799999999</v>
      </c>
      <c r="CO222" s="45">
        <f>CL222/CN222</f>
        <v>74.302330282824585</v>
      </c>
      <c r="CP222" s="45">
        <f>h_Al2O3</f>
        <v>-1675.7</v>
      </c>
      <c r="CQ222" s="45">
        <f>b_ch_Al2O3</f>
        <v>31.875999999999976</v>
      </c>
      <c r="CR222" s="45">
        <f t="shared" ref="CR222:CR228" si="115">CO222/$CO$229</f>
        <v>0.22404469624482512</v>
      </c>
      <c r="CS222" s="45">
        <f t="shared" ref="CS222:CS228" si="116">LN(CR222)</f>
        <v>-1.4959097102246632</v>
      </c>
      <c r="CT222" s="45">
        <f t="shared" ref="CT222:CT228" si="117">RT0*CS222</f>
        <v>-3.7062240125807393</v>
      </c>
      <c r="CU222" s="45">
        <f t="shared" ref="CU222:CU228" si="118">CT222+CQ222</f>
        <v>28.169775987419236</v>
      </c>
      <c r="CV222" s="45">
        <f t="shared" ref="CV222:CV227" si="119">CU222*CR222</f>
        <v>6.3112889043861111</v>
      </c>
      <c r="CW222" s="45">
        <f t="shared" ref="CW222:CW228" si="120">CV222*$CO$229</f>
        <v>2093.079999410405</v>
      </c>
    </row>
    <row r="223" spans="2:101" x14ac:dyDescent="0.2">
      <c r="B223" s="397"/>
      <c r="C223" s="397"/>
      <c r="D223" s="397"/>
      <c r="E223" s="397"/>
      <c r="F223" s="397"/>
      <c r="G223" s="397"/>
      <c r="H223" s="397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49">
        <f>N212</f>
        <v>22.516380793970754</v>
      </c>
      <c r="Z223" s="249">
        <f>AH212</f>
        <v>22.516380793970754</v>
      </c>
      <c r="AA223" s="3">
        <f t="shared" si="110"/>
        <v>0</v>
      </c>
      <c r="AQ223" s="3" t="s">
        <v>30</v>
      </c>
      <c r="AR223" s="249">
        <f>AH212</f>
        <v>22.516380793970754</v>
      </c>
      <c r="AS223" s="249">
        <f>BA212</f>
        <v>22.516380793970754</v>
      </c>
      <c r="AT223" s="3">
        <f t="shared" si="111"/>
        <v>0</v>
      </c>
      <c r="BJ223" s="3" t="s">
        <v>30</v>
      </c>
      <c r="BK223" s="249">
        <f>BA212</f>
        <v>22.516380793970754</v>
      </c>
      <c r="BL223" s="249">
        <f>BT212</f>
        <v>22.516380793970754</v>
      </c>
      <c r="BM223" s="3">
        <f t="shared" si="112"/>
        <v>0</v>
      </c>
      <c r="BN223" s="20"/>
      <c r="CB223" s="20"/>
      <c r="CD223" s="3" t="s">
        <v>30</v>
      </c>
      <c r="CE223" s="60">
        <f>BT212</f>
        <v>22.516380793970754</v>
      </c>
      <c r="CF223" s="60">
        <f>CO223</f>
        <v>22.516380793970754</v>
      </c>
      <c r="CG223" s="3">
        <f t="shared" si="113"/>
        <v>0</v>
      </c>
      <c r="CJ223" s="414"/>
      <c r="CK223" s="4" t="s">
        <v>113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44" t="s">
        <v>195</v>
      </c>
      <c r="C224" s="9" t="s">
        <v>194</v>
      </c>
      <c r="D224" s="9" t="s">
        <v>166</v>
      </c>
      <c r="E224" s="9" t="s">
        <v>166</v>
      </c>
      <c r="F224" s="9" t="s">
        <v>166</v>
      </c>
      <c r="G224" s="82" t="s">
        <v>250</v>
      </c>
      <c r="H224" s="9" t="s">
        <v>244</v>
      </c>
      <c r="J224" s="4"/>
      <c r="K224" s="3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3" t="s">
        <v>240</v>
      </c>
      <c r="Y224" s="250">
        <f>N213</f>
        <v>12.531238200651201</v>
      </c>
      <c r="Z224" s="250">
        <f>AH213</f>
        <v>12.531238200651201</v>
      </c>
      <c r="AA224" s="3">
        <f t="shared" si="110"/>
        <v>0</v>
      </c>
      <c r="AQ224" s="3" t="s">
        <v>240</v>
      </c>
      <c r="AR224" s="250">
        <f>AH213</f>
        <v>12.531238200651201</v>
      </c>
      <c r="AS224" s="250">
        <f>BA213</f>
        <v>12.531238200651201</v>
      </c>
      <c r="AT224" s="3">
        <f t="shared" si="111"/>
        <v>0</v>
      </c>
      <c r="BJ224" s="3" t="s">
        <v>240</v>
      </c>
      <c r="BK224" s="250">
        <f>BA213</f>
        <v>12.531238200651201</v>
      </c>
      <c r="BL224" s="250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240</v>
      </c>
      <c r="CE224" s="60">
        <f>BT213</f>
        <v>12.531238200651201</v>
      </c>
      <c r="CF224" s="60">
        <f>CO224</f>
        <v>12.531238200651201</v>
      </c>
      <c r="CG224" s="3">
        <f t="shared" si="113"/>
        <v>0</v>
      </c>
      <c r="CJ224" s="414"/>
      <c r="CK224" s="4" t="s">
        <v>132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44" t="s">
        <v>91</v>
      </c>
      <c r="C225" s="44" t="s">
        <v>91</v>
      </c>
      <c r="D225" s="9" t="s">
        <v>162</v>
      </c>
      <c r="E225" s="9" t="s">
        <v>165</v>
      </c>
      <c r="F225" s="9" t="s">
        <v>47</v>
      </c>
      <c r="G225" s="27" t="s">
        <v>91</v>
      </c>
      <c r="H225" s="9" t="s">
        <v>47</v>
      </c>
      <c r="J225" s="4" t="s">
        <v>40</v>
      </c>
      <c r="K225" s="3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3" t="s">
        <v>241</v>
      </c>
      <c r="Y225" s="60">
        <f>2*N214</f>
        <v>8.1489626884579991</v>
      </c>
      <c r="Z225" s="60">
        <f>2*AH214</f>
        <v>8.1489626884579991</v>
      </c>
      <c r="AA225" s="3">
        <f t="shared" si="110"/>
        <v>0</v>
      </c>
      <c r="AE225" s="4"/>
      <c r="AF225" s="4"/>
      <c r="AO225" s="46" t="s">
        <v>1</v>
      </c>
      <c r="AP225" s="42" t="s">
        <v>0</v>
      </c>
      <c r="AQ225" s="3" t="s">
        <v>241</v>
      </c>
      <c r="AR225" s="60">
        <f>2*AH214</f>
        <v>8.1489626884579991</v>
      </c>
      <c r="AS225" s="60">
        <f>2*BA214</f>
        <v>8.1489626884579991</v>
      </c>
      <c r="AT225" s="3">
        <f t="shared" si="111"/>
        <v>0</v>
      </c>
      <c r="BJ225" s="3" t="s">
        <v>241</v>
      </c>
      <c r="BK225" s="60">
        <f>2*BA214</f>
        <v>8.1489626884579991</v>
      </c>
      <c r="BL225" s="60">
        <f>2*BT214</f>
        <v>8.1489626884579991</v>
      </c>
      <c r="BM225" s="3">
        <f t="shared" si="112"/>
        <v>0</v>
      </c>
      <c r="CD225" s="3" t="s">
        <v>241</v>
      </c>
      <c r="CE225" s="60">
        <f>2*BT214</f>
        <v>8.1489626884579991</v>
      </c>
      <c r="CF225" s="60">
        <f>2*CO225</f>
        <v>8.1489626884579991</v>
      </c>
      <c r="CG225" s="3">
        <f t="shared" si="113"/>
        <v>0</v>
      </c>
      <c r="CJ225" s="414"/>
      <c r="CK225" s="4" t="s">
        <v>238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2" t="s">
        <v>486</v>
      </c>
    </row>
    <row r="226" spans="2:169" ht="18" x14ac:dyDescent="0.25">
      <c r="B226" s="44" t="s">
        <v>209</v>
      </c>
      <c r="C226" s="44" t="s">
        <v>183</v>
      </c>
      <c r="D226" s="44">
        <v>57000</v>
      </c>
      <c r="E226" s="9">
        <f>D226*Btu_to_kJ</f>
        <v>60138.420000000006</v>
      </c>
      <c r="F226" s="9">
        <f>E226*($U$206/1000)</f>
        <v>17958.226754340154</v>
      </c>
      <c r="G226" s="9">
        <v>1.06</v>
      </c>
      <c r="H226" s="9">
        <f>F226*G226</f>
        <v>19035.720359600564</v>
      </c>
      <c r="I226" s="244" t="s">
        <v>466</v>
      </c>
      <c r="J226" s="73" t="s">
        <v>389</v>
      </c>
      <c r="K226" s="72">
        <f>F229</f>
        <v>21827.121921766418</v>
      </c>
      <c r="L226" s="72">
        <f>K226/LHV_Diesel</f>
        <v>0.51237375403207552</v>
      </c>
      <c r="M226" s="72">
        <f>MW_C12H23</f>
        <v>0.16731462</v>
      </c>
      <c r="N226" s="72">
        <f>L226/M226</f>
        <v>3.0623370153312099</v>
      </c>
      <c r="O226" s="72">
        <f>LHV_Diesel*M226</f>
        <v>7127.6028120000001</v>
      </c>
      <c r="P226" s="72">
        <f>b_ch_Diesel</f>
        <v>45492.270191724252</v>
      </c>
      <c r="Q226" s="72">
        <f>N226/N227</f>
        <v>1</v>
      </c>
      <c r="R226" s="72">
        <f>LN(Q226)</f>
        <v>0</v>
      </c>
      <c r="S226" s="72">
        <f>RT0*R226</f>
        <v>0</v>
      </c>
      <c r="T226" s="72">
        <f>S226+P226</f>
        <v>45492.270191724252</v>
      </c>
      <c r="U226" s="72">
        <f>Q226*T226</f>
        <v>45492.270191724252</v>
      </c>
      <c r="V226" s="72">
        <f>U226*L226</f>
        <v>23309.045257575242</v>
      </c>
      <c r="X226" s="3" t="s">
        <v>15</v>
      </c>
      <c r="Y226" s="60">
        <f>2*N215</f>
        <v>47.442206462436765</v>
      </c>
      <c r="Z226" s="60">
        <f>2*AH215</f>
        <v>47.442206462436765</v>
      </c>
      <c r="AA226" s="3">
        <f t="shared" si="110"/>
        <v>0</v>
      </c>
      <c r="AE226" s="4"/>
      <c r="AF226" s="4"/>
      <c r="AO226" s="48" t="s">
        <v>83</v>
      </c>
      <c r="AP226" s="47" t="s">
        <v>87</v>
      </c>
      <c r="AQ226" s="3" t="s">
        <v>15</v>
      </c>
      <c r="AR226" s="60">
        <f>2*AH215</f>
        <v>47.442206462436765</v>
      </c>
      <c r="AS226" s="60">
        <f>2*BA215</f>
        <v>47.442206462436765</v>
      </c>
      <c r="AT226" s="3">
        <f t="shared" si="111"/>
        <v>0</v>
      </c>
      <c r="BJ226" s="3" t="s">
        <v>15</v>
      </c>
      <c r="BK226" s="60">
        <f>2*BA215</f>
        <v>47.442206462436765</v>
      </c>
      <c r="BL226" s="60">
        <f>2*BT215</f>
        <v>47.442206462436765</v>
      </c>
      <c r="BM226" s="3">
        <f t="shared" si="112"/>
        <v>0</v>
      </c>
      <c r="CD226" s="3" t="s">
        <v>15</v>
      </c>
      <c r="CE226" s="60">
        <f>2*BT215</f>
        <v>47.442206462436765</v>
      </c>
      <c r="CF226" s="60">
        <f>2*CO226</f>
        <v>47.442206462436765</v>
      </c>
      <c r="CG226" s="3">
        <f t="shared" si="113"/>
        <v>0</v>
      </c>
      <c r="CJ226" s="414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1" t="s">
        <v>347</v>
      </c>
      <c r="CZ226" s="391"/>
      <c r="DA226" s="391"/>
      <c r="DB226" s="391"/>
      <c r="DC226" s="391"/>
      <c r="DD226" s="391"/>
    </row>
    <row r="227" spans="2:169" ht="19" thickBot="1" x14ac:dyDescent="0.3">
      <c r="B227" s="44" t="s">
        <v>209</v>
      </c>
      <c r="C227" s="9" t="s">
        <v>188</v>
      </c>
      <c r="D227" s="9">
        <v>11000</v>
      </c>
      <c r="E227" s="9">
        <f>D227*Btu_to_kJ</f>
        <v>11605.660000000002</v>
      </c>
      <c r="F227" s="9">
        <f>E227*($U$206/1000)</f>
        <v>3465.6227069779243</v>
      </c>
      <c r="G227" s="9">
        <v>1.06</v>
      </c>
      <c r="H227" s="9">
        <f>F227*G227</f>
        <v>3673.5600693965998</v>
      </c>
      <c r="J227" s="13" t="s">
        <v>18</v>
      </c>
      <c r="K227" s="13">
        <f>SUM(K226)</f>
        <v>21827.121921766418</v>
      </c>
      <c r="L227" s="13">
        <f>SUM(L226)</f>
        <v>0.51237375403207552</v>
      </c>
      <c r="M227" s="13">
        <f>SUM(M226)</f>
        <v>0.16731462</v>
      </c>
      <c r="N227" s="13">
        <f>SUM(N226)</f>
        <v>3.0623370153312099</v>
      </c>
      <c r="O227" s="13">
        <f>SUM(O226)</f>
        <v>7127.6028120000001</v>
      </c>
      <c r="P227" s="13"/>
      <c r="Q227" s="13"/>
      <c r="R227" s="13"/>
      <c r="S227" s="13"/>
      <c r="T227" s="13"/>
      <c r="U227" s="13">
        <f>SUM(U226)</f>
        <v>45492.270191724252</v>
      </c>
      <c r="V227" s="13">
        <f>SUM(V226)</f>
        <v>23309.045257575242</v>
      </c>
      <c r="X227" s="3" t="s">
        <v>29</v>
      </c>
      <c r="Y227" s="250">
        <f>N216</f>
        <v>189.13328158973877</v>
      </c>
      <c r="Z227" s="250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416</v>
      </c>
      <c r="AO227" s="40">
        <f>AE234</f>
        <v>7.9771214256715108</v>
      </c>
      <c r="AP227" s="38">
        <f>AP234</f>
        <v>555.77441893806406</v>
      </c>
      <c r="AQ227" s="3" t="s">
        <v>29</v>
      </c>
      <c r="AR227" s="250">
        <f>AH216</f>
        <v>189.13328158973877</v>
      </c>
      <c r="AS227" s="250">
        <f>BA216</f>
        <v>189.13328158973877</v>
      </c>
      <c r="AT227" s="3">
        <f t="shared" si="111"/>
        <v>0</v>
      </c>
      <c r="BJ227" s="3" t="s">
        <v>29</v>
      </c>
      <c r="BK227" s="250">
        <f>BA216</f>
        <v>189.13328158973877</v>
      </c>
      <c r="BL227" s="250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60">
        <f>BT216</f>
        <v>189.13328158973877</v>
      </c>
      <c r="CF227" s="60">
        <f>CO227</f>
        <v>189.13328158973877</v>
      </c>
      <c r="CG227" s="3">
        <f t="shared" si="113"/>
        <v>0</v>
      </c>
      <c r="CJ227" s="414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44" t="s">
        <v>195</v>
      </c>
      <c r="CZ227" s="9" t="s">
        <v>166</v>
      </c>
      <c r="DA227" s="9" t="s">
        <v>166</v>
      </c>
      <c r="DB227" s="9" t="s">
        <v>166</v>
      </c>
      <c r="DC227" s="82" t="s">
        <v>250</v>
      </c>
      <c r="DD227" s="9" t="s">
        <v>244</v>
      </c>
    </row>
    <row r="228" spans="2:169" ht="23" customHeight="1" x14ac:dyDescent="0.25">
      <c r="B228" s="44" t="s">
        <v>209</v>
      </c>
      <c r="C228" s="9" t="s">
        <v>191</v>
      </c>
      <c r="D228" s="9">
        <v>1280</v>
      </c>
      <c r="E228" s="9">
        <f>D228*Btu_to_kJ</f>
        <v>1350.4768000000001</v>
      </c>
      <c r="F228" s="9">
        <f>E228*($U$206/1000)</f>
        <v>403.27246044834027</v>
      </c>
      <c r="G228" s="9">
        <v>1.06</v>
      </c>
      <c r="H228" s="9">
        <f>F228*G228</f>
        <v>427.4688080752407</v>
      </c>
      <c r="K228" s="3" t="s">
        <v>47</v>
      </c>
      <c r="L228" s="1" t="s">
        <v>83</v>
      </c>
      <c r="M228" s="3" t="s">
        <v>85</v>
      </c>
      <c r="N228" s="3" t="s">
        <v>81</v>
      </c>
      <c r="O228" s="1" t="s">
        <v>510</v>
      </c>
      <c r="P228" s="4"/>
      <c r="Q228" s="4"/>
      <c r="U228" s="3" t="s">
        <v>90</v>
      </c>
      <c r="V228" s="1" t="s">
        <v>87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133</v>
      </c>
      <c r="CE228" s="60">
        <f>BT210/coal_S_coeff</f>
        <v>97.6333439881017</v>
      </c>
      <c r="CF228" s="60">
        <f>(mol_C_to_BF/coke_S_coeff)+CO239</f>
        <v>97.6333439881017</v>
      </c>
      <c r="CG228" s="3">
        <f t="shared" si="113"/>
        <v>0</v>
      </c>
      <c r="CJ228" s="414"/>
      <c r="CK228" s="1" t="s">
        <v>528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44" t="s">
        <v>91</v>
      </c>
      <c r="CZ228" s="9" t="s">
        <v>460</v>
      </c>
      <c r="DA228" s="9" t="s">
        <v>361</v>
      </c>
      <c r="DB228" s="9" t="s">
        <v>47</v>
      </c>
      <c r="DC228" s="27" t="s">
        <v>91</v>
      </c>
      <c r="DD228" s="9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3" t="s">
        <v>18</v>
      </c>
      <c r="CL229" s="13">
        <f>SUM(CL222:CL228)</f>
        <v>25.253201846716312</v>
      </c>
      <c r="CM229" s="13">
        <f>SUM(CM222:CM228)</f>
        <v>1</v>
      </c>
      <c r="CN229" s="13">
        <f>SUM(CN222:CN228)</f>
        <v>0.57429051399999997</v>
      </c>
      <c r="CO229" s="13">
        <f>SUM(CO222:CO228)</f>
        <v>331.64065710187856</v>
      </c>
      <c r="CP229" s="13" cm="1">
        <f t="array" ref="CP229">SUM(CL222:CL228*CP222:CP228) / CL229</f>
        <v>-1089.7720000000002</v>
      </c>
      <c r="CQ229" s="13"/>
      <c r="CR229" s="13"/>
      <c r="CS229" s="13"/>
      <c r="CT229" s="13"/>
      <c r="CU229" s="13"/>
      <c r="CV229" s="13">
        <f>SUM(CV222:CV228)</f>
        <v>27.112539221471899</v>
      </c>
      <c r="CW229" s="13">
        <f>SUM(CW222:CW228)</f>
        <v>8991.620323109395</v>
      </c>
      <c r="CY229" s="44" t="s">
        <v>196</v>
      </c>
      <c r="CZ229" s="9">
        <f>0.2</f>
        <v>0.2</v>
      </c>
      <c r="DA229" s="44">
        <f>CZ229*CV234</f>
        <v>9.2199609426937403</v>
      </c>
      <c r="DB229" s="44">
        <f>3600*DA229</f>
        <v>33191.859393697465</v>
      </c>
      <c r="DC229" s="9">
        <v>1</v>
      </c>
      <c r="DD229" s="9">
        <f>DB229*DC229</f>
        <v>33191.859393697465</v>
      </c>
    </row>
    <row r="230" spans="2:169" ht="19" thickBot="1" x14ac:dyDescent="0.3">
      <c r="AD230" s="4" t="s">
        <v>40</v>
      </c>
      <c r="AE230" s="1" t="s">
        <v>82</v>
      </c>
      <c r="AF230" s="4" t="s">
        <v>213</v>
      </c>
      <c r="AG230" s="2" t="s">
        <v>84</v>
      </c>
      <c r="AH230" s="2" t="s">
        <v>80</v>
      </c>
      <c r="AI230" s="1" t="s">
        <v>89</v>
      </c>
      <c r="AJ230" s="2" t="s">
        <v>89</v>
      </c>
      <c r="AK230" s="2" t="s">
        <v>24</v>
      </c>
      <c r="AL230" s="2" t="s">
        <v>91</v>
      </c>
      <c r="AM230" s="2" t="s">
        <v>89</v>
      </c>
      <c r="AN230" s="2" t="s">
        <v>89</v>
      </c>
      <c r="AO230" s="2" t="s">
        <v>88</v>
      </c>
      <c r="AP230" s="2" t="s">
        <v>86</v>
      </c>
      <c r="CA230" s="46" t="s">
        <v>1</v>
      </c>
      <c r="CB230" s="42" t="s">
        <v>0</v>
      </c>
      <c r="CL230" s="1" t="s">
        <v>83</v>
      </c>
      <c r="CM230" s="1"/>
      <c r="CN230" s="3" t="s">
        <v>85</v>
      </c>
      <c r="CO230" s="3" t="s">
        <v>81</v>
      </c>
      <c r="CP230" s="1" t="s">
        <v>510</v>
      </c>
      <c r="CQ230" s="4"/>
      <c r="CR230" s="4"/>
      <c r="CV230" s="3" t="s">
        <v>90</v>
      </c>
      <c r="CW230" s="1" t="s">
        <v>87</v>
      </c>
    </row>
    <row r="231" spans="2:169" ht="18" customHeight="1" thickBot="1" x14ac:dyDescent="0.3">
      <c r="AC231" s="379" t="s">
        <v>416</v>
      </c>
      <c r="AD231" s="13" t="s">
        <v>22</v>
      </c>
      <c r="AE231" s="7">
        <f>CO2_out_Coal_Ext</f>
        <v>1.617274074927882</v>
      </c>
      <c r="AF231" s="7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7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7">
        <f>$AH$234*AO231</f>
        <v>547.59490332602434</v>
      </c>
      <c r="CA231" s="48" t="s">
        <v>83</v>
      </c>
      <c r="CB231" s="47" t="s">
        <v>87</v>
      </c>
      <c r="DP231" s="46" t="s">
        <v>1</v>
      </c>
      <c r="DQ231" s="42" t="s">
        <v>0</v>
      </c>
      <c r="EK231" s="46" t="s">
        <v>1</v>
      </c>
      <c r="EL231" s="42" t="s">
        <v>0</v>
      </c>
      <c r="FF231" s="46" t="s">
        <v>1</v>
      </c>
      <c r="FG231" s="42" t="s">
        <v>0</v>
      </c>
    </row>
    <row r="232" spans="2:169" ht="18" customHeight="1" thickBot="1" x14ac:dyDescent="0.3">
      <c r="AC232" s="379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5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5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420</v>
      </c>
      <c r="CA232" s="40">
        <f>BQ238</f>
        <v>3494.7460959815226</v>
      </c>
      <c r="CB232" s="38">
        <f>CB238</f>
        <v>14491.84871754296</v>
      </c>
      <c r="CV232" s="46" t="s">
        <v>1</v>
      </c>
      <c r="CW232" s="42" t="s">
        <v>0</v>
      </c>
      <c r="DP232" s="48" t="s">
        <v>83</v>
      </c>
      <c r="DQ232" s="47" t="s">
        <v>87</v>
      </c>
      <c r="EK232" s="48" t="s">
        <v>83</v>
      </c>
      <c r="EL232" s="47" t="s">
        <v>87</v>
      </c>
      <c r="FF232" s="48" t="s">
        <v>83</v>
      </c>
      <c r="FG232" s="47" t="s">
        <v>87</v>
      </c>
    </row>
    <row r="233" spans="2:169" ht="16" customHeight="1" thickBot="1" x14ac:dyDescent="0.3">
      <c r="AC233" s="379"/>
      <c r="AD233" s="6" t="s">
        <v>66</v>
      </c>
      <c r="AE233" s="23">
        <f>N2_in_Coal_Ext</f>
        <v>5.725405474709734</v>
      </c>
      <c r="AF233" s="1">
        <f>AE233/AE234</f>
        <v>0.71772825925459338</v>
      </c>
      <c r="AG233" s="5">
        <f>MW_N2</f>
        <v>2.801348E-2</v>
      </c>
      <c r="AH233" s="1">
        <f>Diesel_N2_molcoeff*N226</f>
        <v>204.38037240320494</v>
      </c>
      <c r="AI233" s="1">
        <f>h_N2</f>
        <v>0</v>
      </c>
      <c r="AJ233" s="5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70"/>
      <c r="CV233" s="48" t="s">
        <v>83</v>
      </c>
      <c r="CW233" s="47" t="s">
        <v>87</v>
      </c>
      <c r="CY233" s="380" t="s">
        <v>514</v>
      </c>
      <c r="CZ233" s="380"/>
      <c r="DA233" s="380"/>
      <c r="DB233" s="380"/>
      <c r="DC233" s="380"/>
      <c r="DL233" s="3" t="s">
        <v>515</v>
      </c>
      <c r="DP233" s="40">
        <f>DF241</f>
        <v>46.099804713468714</v>
      </c>
      <c r="DQ233" s="38">
        <f>DQ241</f>
        <v>4043367.3234254471</v>
      </c>
      <c r="DS233" s="380" t="s">
        <v>516</v>
      </c>
      <c r="DT233" s="380"/>
      <c r="DU233" s="380"/>
      <c r="DV233" s="380"/>
      <c r="DW233" s="380"/>
      <c r="EG233" s="3" t="s">
        <v>517</v>
      </c>
      <c r="EK233" s="40">
        <f>EA241</f>
        <v>46.099804713468714</v>
      </c>
      <c r="EL233" s="38">
        <f>EL241</f>
        <v>4043367.3234254471</v>
      </c>
      <c r="FA233" s="3" t="s">
        <v>517</v>
      </c>
      <c r="FF233" s="40">
        <f>EV241</f>
        <v>13.829941414040613</v>
      </c>
      <c r="FG233" s="38">
        <f>FG241</f>
        <v>1213010.1970276341</v>
      </c>
      <c r="FI233" s="389" t="s">
        <v>331</v>
      </c>
      <c r="FJ233" s="390"/>
      <c r="FK233" s="390"/>
      <c r="FL233" s="390"/>
      <c r="FM233" s="390"/>
    </row>
    <row r="234" spans="2:169" ht="18" customHeight="1" thickBot="1" x14ac:dyDescent="0.3">
      <c r="U234" s="46" t="s">
        <v>1</v>
      </c>
      <c r="V234" s="42" t="s">
        <v>0</v>
      </c>
      <c r="AC234" s="379"/>
      <c r="AD234" s="13" t="s">
        <v>18</v>
      </c>
      <c r="AE234" s="1">
        <f>SUM(AE231:AE233)</f>
        <v>7.9771214256715108</v>
      </c>
      <c r="AF234" s="7">
        <f>SUM(AF231:AF233)</f>
        <v>1</v>
      </c>
      <c r="AG234" s="7">
        <f>SUM(AG231:AG233)</f>
        <v>9.0038560000000004E-2</v>
      </c>
      <c r="AH234" s="7">
        <f>SUM(AH231:AH233)</f>
        <v>276.34529226348837</v>
      </c>
      <c r="AI234" s="13" cm="1">
        <f t="array" ref="AI234">SUM(AE231:AE233*AI231:AI233) / AE234</f>
        <v>-99.008821849873215</v>
      </c>
      <c r="AJ234" s="45"/>
      <c r="AK234" s="7">
        <f>SUM(AK231:AK233)</f>
        <v>1</v>
      </c>
      <c r="AL234" s="13"/>
      <c r="AM234" s="13"/>
      <c r="AN234" s="13"/>
      <c r="AO234" s="7">
        <f>SUM(AO231:AO233)</f>
        <v>2.0111593520766293</v>
      </c>
      <c r="AP234" s="7">
        <f>SUM(AP231:AP233)</f>
        <v>555.77441893806406</v>
      </c>
      <c r="BK234" s="384" t="s">
        <v>414</v>
      </c>
      <c r="BL234" s="384"/>
      <c r="BM234" s="384"/>
      <c r="BN234" s="384"/>
      <c r="BP234" s="4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270"/>
      <c r="CR234" s="3" t="s">
        <v>422</v>
      </c>
      <c r="CV234" s="40">
        <f>CL243</f>
        <v>46.0998047134687</v>
      </c>
      <c r="CW234" s="38">
        <f>CW243</f>
        <v>4026178.1360752485</v>
      </c>
      <c r="CY234" s="380"/>
      <c r="CZ234" s="380"/>
      <c r="DA234" s="380"/>
      <c r="DB234" s="380"/>
      <c r="DC234" s="380"/>
      <c r="DS234" s="380"/>
      <c r="DT234" s="380"/>
      <c r="DU234" s="380"/>
      <c r="DV234" s="380"/>
      <c r="DW234" s="380"/>
      <c r="FI234" s="390"/>
      <c r="FJ234" s="390"/>
      <c r="FK234" s="390"/>
      <c r="FL234" s="390"/>
      <c r="FM234" s="390"/>
    </row>
    <row r="235" spans="2:169" ht="18" customHeight="1" x14ac:dyDescent="0.25">
      <c r="U235" s="48" t="s">
        <v>83</v>
      </c>
      <c r="V235" s="47" t="s">
        <v>87</v>
      </c>
      <c r="AE235" s="1" t="s">
        <v>83</v>
      </c>
      <c r="AF235" s="1"/>
      <c r="AG235" s="3" t="s">
        <v>85</v>
      </c>
      <c r="AH235" s="3" t="s">
        <v>81</v>
      </c>
      <c r="AI235" s="1" t="s">
        <v>510</v>
      </c>
      <c r="AJ235" s="4"/>
      <c r="AK235" s="4"/>
      <c r="AO235" s="3" t="s">
        <v>90</v>
      </c>
      <c r="AP235" s="1" t="s">
        <v>87</v>
      </c>
      <c r="BK235" s="384"/>
      <c r="BL235" s="384"/>
      <c r="BM235" s="384"/>
      <c r="BN235" s="384"/>
      <c r="BP235" s="4" t="s">
        <v>40</v>
      </c>
      <c r="BQ235" s="1" t="s">
        <v>82</v>
      </c>
      <c r="BR235" s="4" t="s">
        <v>213</v>
      </c>
      <c r="BS235" s="2" t="s">
        <v>84</v>
      </c>
      <c r="BT235" s="2" t="s">
        <v>80</v>
      </c>
      <c r="BU235" s="1" t="s">
        <v>89</v>
      </c>
      <c r="BV235" s="2" t="s">
        <v>89</v>
      </c>
      <c r="BW235" s="2" t="s">
        <v>24</v>
      </c>
      <c r="BX235" s="2" t="s">
        <v>91</v>
      </c>
      <c r="BY235" s="2" t="s">
        <v>89</v>
      </c>
      <c r="BZ235" s="2" t="s">
        <v>89</v>
      </c>
      <c r="CA235" s="2" t="s">
        <v>88</v>
      </c>
      <c r="CB235" s="2" t="s">
        <v>86</v>
      </c>
      <c r="CJ235" s="270"/>
      <c r="CY235" s="17" t="s">
        <v>339</v>
      </c>
      <c r="CZ235" s="17" t="s">
        <v>379</v>
      </c>
      <c r="DA235" s="135" t="s">
        <v>264</v>
      </c>
      <c r="DB235" s="394" t="s">
        <v>269</v>
      </c>
      <c r="DC235" s="114" t="s">
        <v>245</v>
      </c>
      <c r="DE235" s="4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7" t="s">
        <v>339</v>
      </c>
      <c r="DT235" s="17" t="s">
        <v>379</v>
      </c>
      <c r="DU235" s="135" t="s">
        <v>264</v>
      </c>
      <c r="DV235" s="394" t="s">
        <v>269</v>
      </c>
      <c r="DW235" s="114" t="s">
        <v>245</v>
      </c>
      <c r="DZ235" s="4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4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0"/>
      <c r="FJ235" s="390"/>
      <c r="FK235" s="390"/>
      <c r="FL235" s="390"/>
      <c r="FM235" s="390"/>
    </row>
    <row r="236" spans="2:169" ht="22" customHeight="1" thickBot="1" x14ac:dyDescent="0.3">
      <c r="Q236" s="3" t="s">
        <v>432</v>
      </c>
      <c r="U236" s="40">
        <f>K242</f>
        <v>7.4647476716394348</v>
      </c>
      <c r="V236" s="38">
        <f>V242</f>
        <v>30.954464502133519</v>
      </c>
      <c r="BO236" s="414" t="s">
        <v>415</v>
      </c>
      <c r="BP236" s="7" t="s">
        <v>233</v>
      </c>
      <c r="BQ236" s="13">
        <f>BS236*BT236</f>
        <v>814.30205275257504</v>
      </c>
      <c r="BR236" s="13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2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70"/>
      <c r="CK236" s="4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80" t="s">
        <v>47</v>
      </c>
      <c r="CZ236" s="8" t="s">
        <v>47</v>
      </c>
      <c r="DA236" s="1" t="s">
        <v>83</v>
      </c>
      <c r="DB236" s="395"/>
      <c r="DC236" s="112" t="s">
        <v>77</v>
      </c>
      <c r="DE236" s="4" t="s">
        <v>40</v>
      </c>
      <c r="DF236" s="1" t="s">
        <v>82</v>
      </c>
      <c r="DG236" s="4" t="s">
        <v>213</v>
      </c>
      <c r="DH236" s="2" t="s">
        <v>84</v>
      </c>
      <c r="DI236" s="2" t="s">
        <v>80</v>
      </c>
      <c r="DJ236" s="1" t="s">
        <v>89</v>
      </c>
      <c r="DK236" s="2" t="s">
        <v>89</v>
      </c>
      <c r="DL236" s="2" t="s">
        <v>24</v>
      </c>
      <c r="DM236" s="2" t="s">
        <v>91</v>
      </c>
      <c r="DN236" s="2" t="s">
        <v>89</v>
      </c>
      <c r="DO236" s="2" t="s">
        <v>89</v>
      </c>
      <c r="DP236" s="2" t="s">
        <v>88</v>
      </c>
      <c r="DQ236" s="2" t="s">
        <v>86</v>
      </c>
      <c r="DS236" s="180" t="s">
        <v>47</v>
      </c>
      <c r="DT236" s="8" t="s">
        <v>47</v>
      </c>
      <c r="DU236" s="1" t="s">
        <v>83</v>
      </c>
      <c r="DV236" s="395"/>
      <c r="DW236" s="112" t="s">
        <v>77</v>
      </c>
      <c r="DZ236" s="4" t="s">
        <v>40</v>
      </c>
      <c r="EA236" s="1" t="s">
        <v>82</v>
      </c>
      <c r="EB236" s="4" t="s">
        <v>213</v>
      </c>
      <c r="EC236" s="2" t="s">
        <v>84</v>
      </c>
      <c r="ED236" s="2" t="s">
        <v>80</v>
      </c>
      <c r="EE236" s="1" t="s">
        <v>89</v>
      </c>
      <c r="EF236" s="2" t="s">
        <v>89</v>
      </c>
      <c r="EG236" s="2" t="s">
        <v>24</v>
      </c>
      <c r="EH236" s="2" t="s">
        <v>91</v>
      </c>
      <c r="EI236" s="2" t="s">
        <v>89</v>
      </c>
      <c r="EJ236" s="2" t="s">
        <v>89</v>
      </c>
      <c r="EK236" s="2" t="s">
        <v>88</v>
      </c>
      <c r="EL236" s="2" t="s">
        <v>86</v>
      </c>
      <c r="EU236" s="4" t="s">
        <v>40</v>
      </c>
      <c r="EV236" s="1" t="s">
        <v>82</v>
      </c>
      <c r="EW236" s="4" t="s">
        <v>213</v>
      </c>
      <c r="EX236" s="2" t="s">
        <v>84</v>
      </c>
      <c r="EY236" s="2" t="s">
        <v>80</v>
      </c>
      <c r="EZ236" s="1" t="s">
        <v>89</v>
      </c>
      <c r="FA236" s="2" t="s">
        <v>89</v>
      </c>
      <c r="FB236" s="2" t="s">
        <v>24</v>
      </c>
      <c r="FC236" s="2" t="s">
        <v>91</v>
      </c>
      <c r="FD236" s="2" t="s">
        <v>89</v>
      </c>
      <c r="FE236" s="2" t="s">
        <v>89</v>
      </c>
      <c r="FF236" s="2" t="s">
        <v>88</v>
      </c>
      <c r="FG236" s="2" t="s">
        <v>86</v>
      </c>
    </row>
    <row r="237" spans="2:169" ht="18" customHeight="1" thickBot="1" x14ac:dyDescent="0.3">
      <c r="BO237" s="414"/>
      <c r="BP237" s="43" t="s">
        <v>66</v>
      </c>
      <c r="BQ237" s="3">
        <f>BT237*BS237</f>
        <v>2680.4440432289475</v>
      </c>
      <c r="BR237" s="3">
        <f>BQ237/$BQ$238</f>
        <v>0.76699249948689818</v>
      </c>
      <c r="BS237" s="23">
        <f>MW_N2</f>
        <v>2.801348E-2</v>
      </c>
      <c r="BT237" s="23">
        <f>N2_molcoeff*BT236</f>
        <v>95684.079351403241</v>
      </c>
      <c r="BU237" s="5">
        <f>h_N2</f>
        <v>0</v>
      </c>
      <c r="BV237" s="23">
        <f>b_ch_N2</f>
        <v>0.7</v>
      </c>
      <c r="BW237" s="23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70"/>
      <c r="CK237" s="4" t="s">
        <v>40</v>
      </c>
      <c r="CL237" s="1" t="s">
        <v>82</v>
      </c>
      <c r="CM237" s="4" t="s">
        <v>213</v>
      </c>
      <c r="CN237" s="2" t="s">
        <v>84</v>
      </c>
      <c r="CO237" s="2" t="s">
        <v>80</v>
      </c>
      <c r="CP237" s="1" t="s">
        <v>89</v>
      </c>
      <c r="CQ237" s="2" t="s">
        <v>89</v>
      </c>
      <c r="CR237" s="2" t="s">
        <v>24</v>
      </c>
      <c r="CS237" s="2" t="s">
        <v>91</v>
      </c>
      <c r="CT237" s="2" t="s">
        <v>89</v>
      </c>
      <c r="CU237" s="2" t="s">
        <v>89</v>
      </c>
      <c r="CV237" s="2" t="s">
        <v>88</v>
      </c>
      <c r="CW237" s="2" t="s">
        <v>86</v>
      </c>
      <c r="CY237" s="81">
        <f>0</f>
        <v>0</v>
      </c>
      <c r="CZ237" s="76">
        <f>CW234+DD229-DQ233</f>
        <v>16002.672043499071</v>
      </c>
      <c r="DA237" s="117">
        <f>DP233-CV234</f>
        <v>0</v>
      </c>
      <c r="DB237" s="115" t="s">
        <v>489</v>
      </c>
      <c r="DC237" s="112">
        <f>DQ233/(CW234+DD229)</f>
        <v>0.9960578434433518</v>
      </c>
      <c r="DD237" s="387" t="s">
        <v>515</v>
      </c>
      <c r="DE237" s="13" t="s">
        <v>65</v>
      </c>
      <c r="DF237" s="13">
        <f>H2_out_COtreatment</f>
        <v>27.953139145643746</v>
      </c>
      <c r="DG237" s="13">
        <f>DF237/$DF$241</f>
        <v>0.60636133535456904</v>
      </c>
      <c r="DH237" s="3">
        <f>MW_H*2</f>
        <v>2.0158800000000003E-3</v>
      </c>
      <c r="DI237" s="13">
        <f>DF237/DH237</f>
        <v>13866.469802589312</v>
      </c>
      <c r="DJ237" s="13">
        <f>h_H2</f>
        <v>0</v>
      </c>
      <c r="DK237" s="13">
        <f>b_ch_H2</f>
        <v>236.1</v>
      </c>
      <c r="DL237" s="13">
        <f>DI237/$DI$241</f>
        <v>0.93198229871837579</v>
      </c>
      <c r="DM237" s="13">
        <f>LN(DL237)</f>
        <v>-7.0441457268353505E-2</v>
      </c>
      <c r="DN237" s="13">
        <f>RT0*DM237</f>
        <v>-0.17452378216726913</v>
      </c>
      <c r="DO237" s="13">
        <f>DK237+DN237</f>
        <v>235.92547621783274</v>
      </c>
      <c r="DP237" s="13">
        <f>DO237*DL237</f>
        <v>219.87836765172327</v>
      </c>
      <c r="DQ237" s="13">
        <f>DP237*$DI$241</f>
        <v>3271453.4916360807</v>
      </c>
      <c r="DS237" s="81">
        <f>0</f>
        <v>0</v>
      </c>
      <c r="DT237" s="76">
        <f>DQ233-EL233</f>
        <v>0</v>
      </c>
      <c r="DU237" s="117">
        <f>EK233-DP233</f>
        <v>0</v>
      </c>
      <c r="DV237" s="115" t="s">
        <v>489</v>
      </c>
      <c r="DW237" s="112">
        <f>EL233/DQ233</f>
        <v>1</v>
      </c>
      <c r="DY237" s="387" t="s">
        <v>419</v>
      </c>
      <c r="DZ237" s="13" t="s">
        <v>65</v>
      </c>
      <c r="EA237" s="13">
        <f>H2_out_COtreatment</f>
        <v>27.953139145643746</v>
      </c>
      <c r="EB237" s="13">
        <f>EA237/$DF$241</f>
        <v>0.60636133535456904</v>
      </c>
      <c r="EC237" s="13">
        <f>MW_H*2</f>
        <v>2.0158800000000003E-3</v>
      </c>
      <c r="ED237" s="13">
        <f>EA237/EC237</f>
        <v>13866.469802589312</v>
      </c>
      <c r="EE237" s="13">
        <f>h_H2</f>
        <v>0</v>
      </c>
      <c r="EF237" s="13">
        <f>b_ch_H2</f>
        <v>236.1</v>
      </c>
      <c r="EG237" s="13">
        <f>ED237/$DI$241</f>
        <v>0.93198229871837579</v>
      </c>
      <c r="EH237" s="13">
        <f>LN(EG237)</f>
        <v>-7.0441457268353505E-2</v>
      </c>
      <c r="EI237" s="13">
        <f>RT0*EH237</f>
        <v>-0.17452378216726913</v>
      </c>
      <c r="EJ237" s="13">
        <f>EF237+EI237</f>
        <v>235.92547621783274</v>
      </c>
      <c r="EK237" s="13">
        <f>EJ237*EG237</f>
        <v>219.87836765172327</v>
      </c>
      <c r="EL237" s="13">
        <f>EK237*$DI$241</f>
        <v>3271453.4916360807</v>
      </c>
      <c r="ET237" s="388" t="s">
        <v>517</v>
      </c>
      <c r="EU237" s="13" t="s">
        <v>65</v>
      </c>
      <c r="EV237" s="13">
        <f>H2_to_coke_oven</f>
        <v>8.3859417436931238</v>
      </c>
      <c r="EW237" s="13">
        <f>EV237/$EV$241</f>
        <v>0.60636133535456915</v>
      </c>
      <c r="EX237" s="13">
        <f>MW_H*2</f>
        <v>2.0158800000000003E-3</v>
      </c>
      <c r="EY237" s="13">
        <f>EV237/EX237</f>
        <v>4159.9409407767935</v>
      </c>
      <c r="EZ237" s="13">
        <f>h_H2</f>
        <v>0</v>
      </c>
      <c r="FA237" s="13">
        <f>b_ch_H2</f>
        <v>236.1</v>
      </c>
      <c r="FB237" s="13">
        <f>EY237/$EY$241</f>
        <v>0.93198229871837568</v>
      </c>
      <c r="FC237" s="13">
        <f>LN(FB237)</f>
        <v>-7.0441457268353616E-2</v>
      </c>
      <c r="FD237" s="13">
        <f>RT0*FC237</f>
        <v>-0.17452378216726941</v>
      </c>
      <c r="FE237" s="13">
        <f>FA237+FD237</f>
        <v>235.92547621783274</v>
      </c>
      <c r="FF237" s="13">
        <f>FE237*FB237</f>
        <v>219.87836765172324</v>
      </c>
      <c r="FG237" s="13">
        <f>FF237*$EY$241</f>
        <v>981436.04749082413</v>
      </c>
    </row>
    <row r="238" spans="2:169" ht="23" customHeight="1" thickBot="1" x14ac:dyDescent="0.3">
      <c r="E238" s="384" t="s">
        <v>414</v>
      </c>
      <c r="F238" s="384"/>
      <c r="G238" s="384"/>
      <c r="H238" s="384"/>
      <c r="J238" s="4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3" t="s">
        <v>18</v>
      </c>
      <c r="BQ238" s="13">
        <f>SUM(BQ236:BQ237)</f>
        <v>3494.7460959815226</v>
      </c>
      <c r="BR238" s="13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2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79" t="s">
        <v>422</v>
      </c>
      <c r="CK238" s="13" t="s">
        <v>65</v>
      </c>
      <c r="CL238" s="13">
        <f>Calculators!P107</f>
        <v>28.443579508210192</v>
      </c>
      <c r="CM238" s="13">
        <f>CL238/$CL$243</f>
        <v>0.6170000000000001</v>
      </c>
      <c r="CN238" s="13">
        <f>MW_H*2</f>
        <v>2.0158800000000003E-3</v>
      </c>
      <c r="CO238" s="13">
        <f>CL238/CN238</f>
        <v>14109.758273414185</v>
      </c>
      <c r="CP238" s="13">
        <f>h_H2</f>
        <v>0</v>
      </c>
      <c r="CQ238" s="13">
        <f>b_ch_H2</f>
        <v>236.1</v>
      </c>
      <c r="CR238" s="13">
        <f>CO238/$CO$243</f>
        <v>0.9376599289051748</v>
      </c>
      <c r="CS238" s="13">
        <f t="shared" ref="CS238:CS242" si="126">LN(CR238)</f>
        <v>-6.4367944854346146E-2</v>
      </c>
      <c r="CT238" s="13">
        <f t="shared" ref="CT238:CT242" si="127">RT0*CS238</f>
        <v>-0.15947621786867208</v>
      </c>
      <c r="CU238" s="13">
        <f t="shared" ref="CU238:CU242" si="128">CQ238+CT238</f>
        <v>235.94052378213132</v>
      </c>
      <c r="CV238" s="13">
        <f t="shared" ref="CV238:CV242" si="129">CR238*CU238</f>
        <v>221.23197475540297</v>
      </c>
      <c r="CW238" s="13">
        <f>CV238*$CO$243</f>
        <v>3329063.757468604</v>
      </c>
      <c r="CY238" s="4"/>
      <c r="CZ238" s="4"/>
      <c r="DB238" s="116" t="s">
        <v>318</v>
      </c>
      <c r="DC238" s="113">
        <f>DQ238/(CW234+DD229)</f>
        <v>0.18236833377116268</v>
      </c>
      <c r="DD238" s="387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16" t="s">
        <v>318</v>
      </c>
      <c r="DW238" s="113">
        <f>EL233/DQ233</f>
        <v>1</v>
      </c>
      <c r="DY238" s="387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08"/>
      <c r="EN238" s="108"/>
      <c r="EO238" s="108"/>
      <c r="EP238" s="108"/>
      <c r="EQ238" s="108"/>
      <c r="ER238" s="108"/>
      <c r="ES238" s="108"/>
      <c r="ET238" s="388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8" x14ac:dyDescent="0.25">
      <c r="E239" s="384"/>
      <c r="F239" s="384"/>
      <c r="G239" s="384"/>
      <c r="H239" s="384"/>
      <c r="J239" s="4" t="s">
        <v>40</v>
      </c>
      <c r="K239" s="1" t="s">
        <v>82</v>
      </c>
      <c r="L239" s="4" t="s">
        <v>213</v>
      </c>
      <c r="M239" s="2" t="s">
        <v>84</v>
      </c>
      <c r="N239" s="2" t="s">
        <v>80</v>
      </c>
      <c r="O239" s="1" t="s">
        <v>89</v>
      </c>
      <c r="P239" s="2" t="s">
        <v>89</v>
      </c>
      <c r="Q239" s="2" t="s">
        <v>24</v>
      </c>
      <c r="R239" s="2" t="s">
        <v>91</v>
      </c>
      <c r="S239" s="2" t="s">
        <v>89</v>
      </c>
      <c r="T239" s="2" t="s">
        <v>89</v>
      </c>
      <c r="U239" s="2" t="s">
        <v>88</v>
      </c>
      <c r="V239" s="2" t="s">
        <v>86</v>
      </c>
      <c r="BQ239" s="1" t="s">
        <v>83</v>
      </c>
      <c r="BR239" s="1"/>
      <c r="BS239" s="3" t="s">
        <v>85</v>
      </c>
      <c r="BT239" s="3" t="s">
        <v>81</v>
      </c>
      <c r="BU239" s="1" t="s">
        <v>510</v>
      </c>
      <c r="BV239" s="4"/>
      <c r="BW239" s="4"/>
      <c r="CA239" s="3" t="s">
        <v>90</v>
      </c>
      <c r="CB239" s="1" t="s">
        <v>87</v>
      </c>
      <c r="CJ239" s="379"/>
      <c r="CK239" s="3" t="s">
        <v>289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D239" s="387"/>
      <c r="DE239" s="201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Y239" s="387"/>
      <c r="DZ239" s="201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88"/>
      <c r="EU239" s="201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79" t="s">
        <v>420</v>
      </c>
      <c r="J240" s="7" t="s">
        <v>233</v>
      </c>
      <c r="K240" s="13">
        <f>O2_in_Coal_Ext</f>
        <v>1.7393421969297009</v>
      </c>
      <c r="L240" s="13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3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79"/>
      <c r="CK240" s="3" t="s">
        <v>112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87"/>
      <c r="DE240" s="3" t="s">
        <v>289</v>
      </c>
      <c r="DF240" s="3">
        <f>H2S_out_COGtreatment</f>
        <v>1.3829941414040612</v>
      </c>
      <c r="DG240" s="3">
        <f t="shared" si="130"/>
        <v>2.9999999999999995E-2</v>
      </c>
      <c r="DH240" s="23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87"/>
      <c r="DZ240" s="3" t="s">
        <v>289</v>
      </c>
      <c r="EA240" s="3">
        <f>H2S_out_COGtreatment</f>
        <v>1.3829941414040612</v>
      </c>
      <c r="EB240" s="3">
        <f t="shared" si="136"/>
        <v>2.9999999999999995E-2</v>
      </c>
      <c r="EC240" s="23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88"/>
      <c r="EU240" s="3" t="s">
        <v>289</v>
      </c>
      <c r="EV240" s="3">
        <f>H2S_to_DRI</f>
        <v>0.41489824242121831</v>
      </c>
      <c r="EW240" s="3">
        <f t="shared" si="142"/>
        <v>2.9999999999999995E-2</v>
      </c>
      <c r="EX240" s="23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79"/>
      <c r="J241" s="43" t="s">
        <v>66</v>
      </c>
      <c r="K241" s="3">
        <f>N2_in_Coal_Ext</f>
        <v>5.725405474709734</v>
      </c>
      <c r="L241" s="3">
        <f>K241/$BQ$238</f>
        <v>1.6382893971304991E-3</v>
      </c>
      <c r="M241" s="23">
        <f>MW_N2</f>
        <v>2.801348E-2</v>
      </c>
      <c r="N241" s="23">
        <f>AH233</f>
        <v>204.38037240320494</v>
      </c>
      <c r="O241" s="23">
        <f>h_N2</f>
        <v>0</v>
      </c>
      <c r="P241" s="23">
        <f>b_ch_N2</f>
        <v>0.7</v>
      </c>
      <c r="Q241" s="23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79"/>
      <c r="CK241" s="6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3" t="s">
        <v>18</v>
      </c>
      <c r="DF241" s="13">
        <f>SUM(DF237:DF240)</f>
        <v>46.099804713468714</v>
      </c>
      <c r="DG241" s="13">
        <f>SUM(DG237:DG240)</f>
        <v>0.99999999999999989</v>
      </c>
      <c r="DH241" s="13">
        <f>SUM(DH237:DH240)</f>
        <v>8.4139320000000004E-2</v>
      </c>
      <c r="DI241" s="13">
        <f>SUM(DI237:DI240)</f>
        <v>14878.469067124899</v>
      </c>
      <c r="DJ241" s="13" cm="1">
        <f t="array" ref="DJ241">SUM(DF237:DF240*DJ237:DJ240) / DF241</f>
        <v>-23.917987170512152</v>
      </c>
      <c r="DK241" s="13">
        <f>SUM(DK237:DK240)</f>
        <v>1882.2463999999998</v>
      </c>
      <c r="DL241" s="13">
        <f>SUM(DL237:DL240)</f>
        <v>1</v>
      </c>
      <c r="DM241" s="13"/>
      <c r="DN241" s="13"/>
      <c r="DO241" s="13"/>
      <c r="DP241" s="13">
        <f>SUM(DP237:DP240)</f>
        <v>271.75963502586245</v>
      </c>
      <c r="DQ241" s="13">
        <f>SUM(DQ237:DQ240)</f>
        <v>4043367.3234254471</v>
      </c>
      <c r="DZ241" s="13" t="s">
        <v>18</v>
      </c>
      <c r="EA241" s="13">
        <f>SUM(EA237:EA240)</f>
        <v>46.099804713468714</v>
      </c>
      <c r="EB241" s="13">
        <f>SUM(EB237:EB240)</f>
        <v>0.99999999999999989</v>
      </c>
      <c r="EC241" s="13">
        <f>SUM(EC237:EC240)</f>
        <v>8.4139320000000004E-2</v>
      </c>
      <c r="ED241" s="13">
        <f>SUM(ED237:ED240)</f>
        <v>14878.469067124899</v>
      </c>
      <c r="EE241" s="13" cm="1">
        <f t="array" ref="EE241">SUM(EA237:EA240*EE237:EE240) / EA241</f>
        <v>-23.917987170512152</v>
      </c>
      <c r="EF241" s="13">
        <f>SUM(EF237:EF240)</f>
        <v>1882.2463999999998</v>
      </c>
      <c r="EG241" s="13">
        <f>SUM(EG237:EG240)</f>
        <v>1</v>
      </c>
      <c r="EH241" s="13"/>
      <c r="EI241" s="13"/>
      <c r="EJ241" s="13"/>
      <c r="EK241" s="13">
        <f>SUM(EK237:EK240)</f>
        <v>271.75963502586245</v>
      </c>
      <c r="EL241" s="13">
        <f>SUM(EL237:EL240)</f>
        <v>4043367.3234254471</v>
      </c>
      <c r="EU241" s="13" t="s">
        <v>18</v>
      </c>
      <c r="EV241" s="13">
        <f>SUM(EV237:EV240)</f>
        <v>13.829941414040613</v>
      </c>
      <c r="EW241" s="13">
        <f>SUM(EW237:EW240)</f>
        <v>1</v>
      </c>
      <c r="EX241" s="13"/>
      <c r="EY241" s="13">
        <f>SUM(EY237:EY240)</f>
        <v>4463.5407201374701</v>
      </c>
      <c r="EZ241" s="13" cm="1">
        <f t="array" ref="EZ241">SUM(EV237:EV240*EZ237:EZ240) / EV241</f>
        <v>-23.917987170512156</v>
      </c>
      <c r="FA241" s="13">
        <f>SUM(FA237:FA240)</f>
        <v>1882.2463999999998</v>
      </c>
      <c r="FB241" s="13">
        <f>SUM(FB237:FB240)</f>
        <v>0.99999999999999989</v>
      </c>
      <c r="FC241" s="13"/>
      <c r="FD241" s="13"/>
      <c r="FE241" s="13"/>
      <c r="FF241" s="13">
        <f>SUM(FF237:FF240)</f>
        <v>271.75963502586239</v>
      </c>
      <c r="FG241" s="13">
        <f>SUM(FG237:FG240)</f>
        <v>1213010.1970276341</v>
      </c>
    </row>
    <row r="242" spans="4:163" ht="18" x14ac:dyDescent="0.25">
      <c r="J242" s="3" t="s">
        <v>18</v>
      </c>
      <c r="K242" s="13">
        <f>SUM(K240:K241)</f>
        <v>7.4647476716394348</v>
      </c>
      <c r="L242" s="13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46" t="s">
        <v>1</v>
      </c>
      <c r="CB242" s="42" t="s">
        <v>0</v>
      </c>
      <c r="CJ242" s="379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83</v>
      </c>
      <c r="DG242" s="1"/>
      <c r="DH242" s="3" t="s">
        <v>85</v>
      </c>
      <c r="DI242" s="3" t="s">
        <v>81</v>
      </c>
      <c r="DJ242" s="1" t="s">
        <v>510</v>
      </c>
      <c r="DK242" s="4"/>
      <c r="DL242" s="4"/>
      <c r="DP242" s="3" t="s">
        <v>90</v>
      </c>
      <c r="DQ242" s="1" t="s">
        <v>87</v>
      </c>
      <c r="EA242" s="1" t="s">
        <v>83</v>
      </c>
      <c r="EB242" s="1"/>
      <c r="EC242" s="3" t="s">
        <v>85</v>
      </c>
      <c r="ED242" s="3" t="s">
        <v>81</v>
      </c>
      <c r="EE242" s="1" t="s">
        <v>510</v>
      </c>
      <c r="EF242" s="4"/>
      <c r="EG242" s="4"/>
      <c r="EK242" s="3" t="s">
        <v>90</v>
      </c>
      <c r="EL242" s="1" t="s">
        <v>87</v>
      </c>
      <c r="EO242" s="4"/>
      <c r="EP242" s="3" t="s">
        <v>2</v>
      </c>
      <c r="EQ242" s="3" t="s">
        <v>3</v>
      </c>
      <c r="ER242" s="108" t="s">
        <v>475</v>
      </c>
      <c r="EV242" s="1" t="s">
        <v>83</v>
      </c>
      <c r="EW242" s="1"/>
      <c r="EX242" s="3" t="s">
        <v>85</v>
      </c>
      <c r="EY242" s="3" t="s">
        <v>81</v>
      </c>
      <c r="EZ242" s="1" t="s">
        <v>510</v>
      </c>
      <c r="FA242" s="4"/>
      <c r="FB242" s="4"/>
      <c r="FF242" s="3" t="s">
        <v>90</v>
      </c>
      <c r="FG242" s="1" t="s">
        <v>87</v>
      </c>
    </row>
    <row r="243" spans="4:163" ht="18" x14ac:dyDescent="0.25">
      <c r="K243" s="1" t="s">
        <v>83</v>
      </c>
      <c r="L243" s="1"/>
      <c r="M243" s="3" t="s">
        <v>85</v>
      </c>
      <c r="N243" s="3" t="s">
        <v>81</v>
      </c>
      <c r="O243" s="1" t="s">
        <v>510</v>
      </c>
      <c r="P243" s="4"/>
      <c r="Q243" s="4"/>
      <c r="U243" s="3" t="s">
        <v>90</v>
      </c>
      <c r="V243" s="1" t="s">
        <v>87</v>
      </c>
      <c r="CA243" s="48" t="s">
        <v>83</v>
      </c>
      <c r="CB243" s="47" t="s">
        <v>87</v>
      </c>
      <c r="CK243" s="13" t="s">
        <v>18</v>
      </c>
      <c r="CL243" s="13">
        <f>SUM(CL238:CL242)</f>
        <v>46.0998047134687</v>
      </c>
      <c r="CM243" s="13">
        <f>SUM(CM238:CM242)</f>
        <v>1.0000000000000002</v>
      </c>
      <c r="CN243" s="13">
        <f>SUM(CN238:CN242)</f>
        <v>0.12416072</v>
      </c>
      <c r="CO243" s="13">
        <f>SUM(CO238:CO242)</f>
        <v>15047.841801119668</v>
      </c>
      <c r="CP243" s="13" cm="1">
        <f t="array" ref="CP243">SUM(CL238:CL242*CP238:CP242) / CL243</f>
        <v>-37.006500000000003</v>
      </c>
      <c r="CQ243" s="13"/>
      <c r="CR243" s="13">
        <f>SUM(CR238:CR242)</f>
        <v>1</v>
      </c>
      <c r="CS243" s="13"/>
      <c r="CT243" s="13"/>
      <c r="CU243" s="13"/>
      <c r="CV243" s="13">
        <f>SUM(CV238:CV242)</f>
        <v>267.55851033572611</v>
      </c>
      <c r="CW243" s="13">
        <f>SUM(CW238:CW242)</f>
        <v>4026178.1360752485</v>
      </c>
      <c r="CY243" s="4"/>
      <c r="CZ243" s="3" t="s">
        <v>2</v>
      </c>
      <c r="DA243" s="3" t="s">
        <v>3</v>
      </c>
      <c r="DB243" s="108" t="s">
        <v>475</v>
      </c>
      <c r="EO243" s="4"/>
      <c r="EP243" s="1" t="s">
        <v>477</v>
      </c>
      <c r="EQ243" s="1" t="s">
        <v>477</v>
      </c>
      <c r="ER243" s="1" t="s">
        <v>477</v>
      </c>
    </row>
    <row r="244" spans="4:163" ht="24" customHeight="1" thickBot="1" x14ac:dyDescent="0.3">
      <c r="BW244" s="3" t="s">
        <v>377</v>
      </c>
      <c r="CA244" s="40">
        <f>BR249</f>
        <v>204.127223518021</v>
      </c>
      <c r="CB244" s="38">
        <f>CB249</f>
        <v>10583778.883576756</v>
      </c>
      <c r="CL244" s="1" t="s">
        <v>83</v>
      </c>
      <c r="CM244" s="1"/>
      <c r="CN244" s="3" t="s">
        <v>85</v>
      </c>
      <c r="CO244" s="3" t="s">
        <v>81</v>
      </c>
      <c r="CP244" s="1" t="s">
        <v>510</v>
      </c>
      <c r="CQ244" s="4"/>
      <c r="CR244" s="4"/>
      <c r="CV244" s="3" t="s">
        <v>90</v>
      </c>
      <c r="CW244" s="1" t="s">
        <v>87</v>
      </c>
      <c r="CY244" s="4"/>
      <c r="CZ244" s="1" t="s">
        <v>477</v>
      </c>
      <c r="DA244" s="1" t="s">
        <v>477</v>
      </c>
      <c r="DB244" s="1" t="s">
        <v>477</v>
      </c>
      <c r="EO244" s="4" t="s">
        <v>59</v>
      </c>
      <c r="EP244" s="3" t="s">
        <v>476</v>
      </c>
      <c r="EQ244" s="3" t="s">
        <v>476</v>
      </c>
      <c r="ER244" s="3" t="s">
        <v>476</v>
      </c>
    </row>
    <row r="245" spans="4:163" x14ac:dyDescent="0.2">
      <c r="BO245" s="4"/>
      <c r="CY245" s="4" t="s">
        <v>59</v>
      </c>
      <c r="CZ245" s="3" t="s">
        <v>476</v>
      </c>
      <c r="DA245" s="3" t="s">
        <v>476</v>
      </c>
      <c r="DB245" s="3" t="s">
        <v>476</v>
      </c>
      <c r="EO245" s="3" t="s">
        <v>17</v>
      </c>
      <c r="EP245" s="60">
        <f>ED238</f>
        <v>897.50495218664253</v>
      </c>
      <c r="EQ245" s="60">
        <f>EY238+EE157</f>
        <v>897.50495218664241</v>
      </c>
      <c r="ER245" s="3">
        <f>EP245-EQ245</f>
        <v>0</v>
      </c>
    </row>
    <row r="246" spans="4:163" ht="18" customHeight="1" x14ac:dyDescent="0.25">
      <c r="BI246" s="275"/>
      <c r="BJ246" s="275"/>
      <c r="BK246" s="384" t="s">
        <v>376</v>
      </c>
      <c r="BL246" s="384"/>
      <c r="BM246" s="384"/>
      <c r="BN246" s="384"/>
      <c r="BO246" s="275"/>
      <c r="BP246" s="1"/>
      <c r="BQ246" s="3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3" t="s">
        <v>17</v>
      </c>
      <c r="CZ246" s="60">
        <f>CO240+CO241+CO242</f>
        <v>897.50495218664253</v>
      </c>
      <c r="DA246" s="60">
        <f>DI238</f>
        <v>897.50495218664253</v>
      </c>
      <c r="DB246" s="3">
        <f>CZ246-DA246</f>
        <v>0</v>
      </c>
      <c r="EO246" s="3" t="s">
        <v>135</v>
      </c>
      <c r="EP246" s="60">
        <f>(2*DI237)+(4*DI238)+(2*ED240)</f>
        <v>31404.116564962875</v>
      </c>
      <c r="EQ246" s="60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2" t="s">
        <v>173</v>
      </c>
      <c r="E247" s="3" t="s">
        <v>140</v>
      </c>
      <c r="F247" s="3" t="s">
        <v>172</v>
      </c>
      <c r="G247" s="3" t="s">
        <v>174</v>
      </c>
      <c r="BI247" s="275"/>
      <c r="BJ247" s="275"/>
      <c r="BK247" s="384"/>
      <c r="BL247" s="384"/>
      <c r="BM247" s="384"/>
      <c r="BN247" s="384"/>
      <c r="BO247" s="275"/>
      <c r="BP247" s="1"/>
      <c r="BQ247" s="3" t="s">
        <v>453</v>
      </c>
      <c r="BR247" s="1" t="s">
        <v>82</v>
      </c>
      <c r="BS247" s="1" t="s">
        <v>84</v>
      </c>
      <c r="BT247" s="2" t="s">
        <v>80</v>
      </c>
      <c r="BU247" s="1" t="s">
        <v>89</v>
      </c>
      <c r="BV247" s="2" t="s">
        <v>89</v>
      </c>
      <c r="BW247" s="2" t="s">
        <v>24</v>
      </c>
      <c r="BX247" s="1" t="s">
        <v>91</v>
      </c>
      <c r="BY247" s="2" t="s">
        <v>89</v>
      </c>
      <c r="BZ247" s="2" t="s">
        <v>89</v>
      </c>
      <c r="CA247" s="2" t="s">
        <v>88</v>
      </c>
      <c r="CB247" s="1" t="s">
        <v>86</v>
      </c>
      <c r="CY247" s="3" t="s">
        <v>135</v>
      </c>
      <c r="CZ247" s="60">
        <f>(2*CO238)+(2*CO239)+(4*CO242)</f>
        <v>31404.116564962875</v>
      </c>
      <c r="DA247" s="60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60">
        <f>2*ED239</f>
        <v>147.83147366020734</v>
      </c>
      <c r="EQ247" s="60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08"/>
      <c r="BP248" s="72" t="s">
        <v>64</v>
      </c>
      <c r="BQ248" s="72">
        <f>LHV_CH4*BR248</f>
        <v>10206361.17590105</v>
      </c>
      <c r="BR248" s="35">
        <f>Calculators!G77</f>
        <v>204.127223518021</v>
      </c>
      <c r="BS248" s="26" cm="1">
        <f t="array" ref="BS248">MW_CH4</f>
        <v>1.604276E-2</v>
      </c>
      <c r="BT248" s="26">
        <f>BR248/BS248</f>
        <v>12723.946722261069</v>
      </c>
      <c r="BU248" s="26">
        <f>h_CH4</f>
        <v>-74.599999999999994</v>
      </c>
      <c r="BV248" s="35">
        <f>b_ch_CH4</f>
        <v>831.8</v>
      </c>
      <c r="BW248" s="26">
        <f>BT248/BT248</f>
        <v>1</v>
      </c>
      <c r="BX248" s="35">
        <f>LN(BW248)</f>
        <v>0</v>
      </c>
      <c r="BY248" s="35">
        <f>RT0*BX248</f>
        <v>0</v>
      </c>
      <c r="BZ248" s="35">
        <f>BV248+BY248</f>
        <v>831.8</v>
      </c>
      <c r="CA248" s="35">
        <f>BZ248*BW248</f>
        <v>831.8</v>
      </c>
      <c r="CB248" s="35">
        <f>BT248*CA248</f>
        <v>10583778.883576756</v>
      </c>
      <c r="CY248" s="3" t="s">
        <v>28</v>
      </c>
      <c r="CZ248" s="60">
        <f>CO240+(2*CO241)</f>
        <v>147.83147366020734</v>
      </c>
      <c r="DA248" s="60">
        <f>(2*DI239)</f>
        <v>147.83147366020734</v>
      </c>
      <c r="DB248" s="3">
        <f t="shared" si="146"/>
        <v>0</v>
      </c>
      <c r="EO248" s="3" t="s">
        <v>133</v>
      </c>
      <c r="EP248" s="60">
        <f>ED240</f>
        <v>40.578575518840545</v>
      </c>
      <c r="EQ248" s="60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5">
        <f>BS248</f>
        <v>1.604276E-2</v>
      </c>
      <c r="BT249" s="5">
        <f>BT248</f>
        <v>12723.946722261069</v>
      </c>
      <c r="BU249" s="5">
        <f>BU248</f>
        <v>-74.599999999999994</v>
      </c>
      <c r="BV249" s="1"/>
      <c r="BW249" s="5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46" t="s">
        <v>1</v>
      </c>
      <c r="CW249" s="42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83</v>
      </c>
      <c r="BS250" s="3" t="s">
        <v>85</v>
      </c>
      <c r="BT250" s="3" t="s">
        <v>81</v>
      </c>
      <c r="BU250" s="1" t="s">
        <v>510</v>
      </c>
      <c r="BV250" s="4"/>
      <c r="BW250" s="4"/>
      <c r="CA250" s="3" t="s">
        <v>90</v>
      </c>
      <c r="CB250" s="1" t="s">
        <v>87</v>
      </c>
      <c r="CJ250" s="270"/>
      <c r="CV250" s="48" t="s">
        <v>83</v>
      </c>
      <c r="CW250" s="47" t="s">
        <v>87</v>
      </c>
    </row>
    <row r="251" spans="4:163" ht="16" thickBot="1" x14ac:dyDescent="0.25">
      <c r="CJ251" s="270"/>
      <c r="CR251" s="3" t="s">
        <v>423</v>
      </c>
      <c r="CV251" s="40">
        <f>CL258</f>
        <v>3698.8733194995434</v>
      </c>
      <c r="CW251" s="3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4" t="s">
        <v>40</v>
      </c>
      <c r="CL254" s="1" t="s">
        <v>82</v>
      </c>
      <c r="CM254" s="4" t="s">
        <v>213</v>
      </c>
      <c r="CN254" s="2" t="s">
        <v>84</v>
      </c>
      <c r="CO254" s="2" t="s">
        <v>80</v>
      </c>
      <c r="CP254" s="1" t="s">
        <v>89</v>
      </c>
      <c r="CQ254" s="2" t="s">
        <v>89</v>
      </c>
      <c r="CR254" s="2" t="s">
        <v>24</v>
      </c>
      <c r="CS254" s="2" t="s">
        <v>91</v>
      </c>
      <c r="CT254" s="2" t="s">
        <v>89</v>
      </c>
      <c r="CU254" s="2" t="s">
        <v>89</v>
      </c>
      <c r="CV254" s="2" t="s">
        <v>88</v>
      </c>
      <c r="CW254" s="2" t="s">
        <v>86</v>
      </c>
    </row>
    <row r="255" spans="4:163" ht="22" customHeight="1" x14ac:dyDescent="0.25">
      <c r="CJ255" s="379" t="s">
        <v>423</v>
      </c>
      <c r="CK255" s="13" t="s">
        <v>67</v>
      </c>
      <c r="CL255" s="13">
        <f>CO255*CN255</f>
        <v>458.45092581323081</v>
      </c>
      <c r="CM255" s="13">
        <f>CL255/CL258</f>
        <v>0.12394339741142016</v>
      </c>
      <c r="CN255" s="13">
        <f>MW_H2O</f>
        <v>1.8015280000000002E-2</v>
      </c>
      <c r="CO255" s="13">
        <f>H2O_Naturalgas_molcoeff*BT248</f>
        <v>25447.893444522138</v>
      </c>
      <c r="CP255" s="13">
        <f>h_H2O</f>
        <v>-241.8</v>
      </c>
      <c r="CQ255" s="13">
        <f>b_ch_H2O</f>
        <v>9.5113440000000082</v>
      </c>
      <c r="CR255" s="13">
        <f>CO255/$CO$258</f>
        <v>0.19011406844106463</v>
      </c>
      <c r="CS255" s="13">
        <f>LN(CR255)</f>
        <v>-1.6601310267496185</v>
      </c>
      <c r="CT255" s="13">
        <f>RT0*CS255</f>
        <v>-4.1130941482061054</v>
      </c>
      <c r="CU255" s="13">
        <f>CT255+CQ255</f>
        <v>5.3982498517939028</v>
      </c>
      <c r="CV255" s="13">
        <f>CR255*CU255</f>
        <v>1.0262832417859131</v>
      </c>
      <c r="CW255" s="13">
        <f>CV255*$CO$258</f>
        <v>137374.08701535867</v>
      </c>
    </row>
    <row r="256" spans="4:163" ht="18" x14ac:dyDescent="0.25">
      <c r="CJ256" s="379"/>
      <c r="CK256" s="211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2"/>
      <c r="CJ257" s="379"/>
      <c r="CK257" s="6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3" t="s">
        <v>18</v>
      </c>
      <c r="CL258" s="13">
        <f>SUM(CL255:CL257)</f>
        <v>3698.8733194995434</v>
      </c>
      <c r="CM258" s="13">
        <f>SUM(CM255:CM257)</f>
        <v>1</v>
      </c>
      <c r="CN258" s="13">
        <f>SUM(CN255:CN257)</f>
        <v>9.0038560000000004E-2</v>
      </c>
      <c r="CO258" s="13">
        <f>SUM(CO255:CO257)</f>
        <v>133855.91951818645</v>
      </c>
      <c r="CP258" s="13" cm="1">
        <f t="array" ref="CP258">SUM(CL255:CL257*CP255:CP257) / CL258</f>
        <v>-89.542108138870873</v>
      </c>
      <c r="CQ258" s="13">
        <f>SUM(CQ254:CQ257)</f>
        <v>30.111344000000042</v>
      </c>
      <c r="CR258" s="13"/>
      <c r="CS258" s="13"/>
      <c r="CT258" s="13"/>
      <c r="CU258" s="13"/>
      <c r="CV258" s="13">
        <f>SUM(CV255:CV257)</f>
        <v>2.2695168554562133</v>
      </c>
      <c r="CW258" s="13">
        <f>SUM(CW255:CW257)</f>
        <v>303788.26554911444</v>
      </c>
    </row>
    <row r="259" spans="52:101" ht="18" x14ac:dyDescent="0.25">
      <c r="CL259" s="1" t="s">
        <v>83</v>
      </c>
      <c r="CM259" s="1"/>
      <c r="CN259" s="3" t="s">
        <v>85</v>
      </c>
      <c r="CO259" s="3" t="s">
        <v>81</v>
      </c>
      <c r="CP259" s="1" t="s">
        <v>510</v>
      </c>
      <c r="CQ259" s="4"/>
      <c r="CR259" s="4"/>
      <c r="CV259" s="3" t="s">
        <v>90</v>
      </c>
      <c r="CW259" s="1" t="s">
        <v>87</v>
      </c>
    </row>
    <row r="261" spans="52:101" ht="25" customHeight="1" x14ac:dyDescent="0.2"/>
    <row r="264" spans="52:101" ht="16" thickBot="1" x14ac:dyDescent="0.25"/>
    <row r="265" spans="52:101" x14ac:dyDescent="0.2">
      <c r="CV265" s="46" t="s">
        <v>1</v>
      </c>
      <c r="CW265" s="42" t="s">
        <v>0</v>
      </c>
    </row>
    <row r="266" spans="52:101" ht="18" x14ac:dyDescent="0.25">
      <c r="CV266" s="48" t="s">
        <v>83</v>
      </c>
      <c r="CW266" s="47" t="s">
        <v>87</v>
      </c>
    </row>
    <row r="267" spans="52:101" ht="16" thickBot="1" x14ac:dyDescent="0.25">
      <c r="CR267" s="3" t="s">
        <v>552</v>
      </c>
      <c r="CV267" s="40">
        <f>CL282</f>
        <v>23.982067525572877</v>
      </c>
      <c r="CW267" s="3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x14ac:dyDescent="0.25">
      <c r="CK270" s="4" t="s">
        <v>40</v>
      </c>
      <c r="CL270" s="1" t="s">
        <v>82</v>
      </c>
      <c r="CM270" s="4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414" t="s">
        <v>552</v>
      </c>
      <c r="CK271" s="13" t="s">
        <v>525</v>
      </c>
      <c r="CL271" s="13">
        <f t="shared" ref="CL271:CL281" si="147">CM271*$CL$282</f>
        <v>4.7964135051145753</v>
      </c>
      <c r="CM271" s="13">
        <f>Calculators!F107</f>
        <v>0.2</v>
      </c>
      <c r="CN271" s="13">
        <f>MW_C10H8</f>
        <v>0.12817351999999999</v>
      </c>
      <c r="CO271" s="13">
        <f>CL271/CN271</f>
        <v>37.42125132488033</v>
      </c>
      <c r="CP271" s="13">
        <f>h_C10H8</f>
        <v>78.5</v>
      </c>
      <c r="CQ271" s="13">
        <f>b_ch_C10H8</f>
        <v>6215.5</v>
      </c>
      <c r="CR271" s="13">
        <f t="shared" ref="CR271:CR281" si="148">CO271/$CO$282</f>
        <v>2.3925714955628435E-2</v>
      </c>
      <c r="CS271" s="13">
        <f>LN(CR271)</f>
        <v>-3.7328014588867529</v>
      </c>
      <c r="CT271" s="13">
        <f t="shared" ref="CT271:CT281" si="149">RT0*CS271</f>
        <v>-9.2482843760969704</v>
      </c>
      <c r="CU271" s="13">
        <f>CT271+CQ271</f>
        <v>6206.2517156239028</v>
      </c>
      <c r="CV271" s="13">
        <f>CR271*CU271</f>
        <v>148.48900949089744</v>
      </c>
      <c r="CW271" s="13">
        <f t="shared" ref="CW271:CW281" si="150">CV271*$CO$282</f>
        <v>232245.70523583182</v>
      </c>
    </row>
    <row r="272" spans="52:101" ht="17" x14ac:dyDescent="0.25">
      <c r="CJ272" s="414"/>
      <c r="CK272" s="3" t="s">
        <v>526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14"/>
      <c r="CK273" s="3" t="s">
        <v>527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14"/>
      <c r="CK274" s="3" t="s">
        <v>536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14"/>
      <c r="CK275" s="3" t="s">
        <v>543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14"/>
      <c r="CK276" s="3" t="s">
        <v>545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14"/>
      <c r="CK277" s="4" t="s">
        <v>546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14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14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14"/>
      <c r="CK280" s="6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14"/>
      <c r="CK281" s="272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3" t="s">
        <v>18</v>
      </c>
      <c r="CL282" s="13">
        <f>Calculators!G78</f>
        <v>23.982067525572877</v>
      </c>
      <c r="CM282" s="13">
        <f>SUM(CM271:CM281)</f>
        <v>1</v>
      </c>
      <c r="CN282" s="13">
        <f>SUM(CN271:CN281)</f>
        <v>1.445899</v>
      </c>
      <c r="CO282" s="13">
        <f>SUM(CO271:CO281)</f>
        <v>1564.0598993292413</v>
      </c>
      <c r="CP282" s="13" cm="1">
        <f t="array" ref="CP282">SUM(CL271:CL281*CP271:CP281) / CL282</f>
        <v>-221.69899000000004</v>
      </c>
      <c r="CQ282" s="13"/>
      <c r="CR282" s="13"/>
      <c r="CS282" s="13"/>
      <c r="CT282" s="13"/>
      <c r="CU282" s="13"/>
      <c r="CV282" s="13">
        <f>SUM(CV271:CV281)</f>
        <v>610.85370126636826</v>
      </c>
      <c r="CW282" s="13">
        <f>SUM(CW271:CW281)</f>
        <v>955411.7785075705</v>
      </c>
    </row>
    <row r="283" spans="88:101" ht="18" x14ac:dyDescent="0.25">
      <c r="CL283" s="1" t="s">
        <v>83</v>
      </c>
      <c r="CM283" s="1"/>
      <c r="CN283" s="3" t="s">
        <v>85</v>
      </c>
      <c r="CO283" s="3" t="s">
        <v>81</v>
      </c>
      <c r="CP283" s="1" t="s">
        <v>510</v>
      </c>
      <c r="CQ283" s="4"/>
      <c r="CR283" s="4"/>
      <c r="CV283" s="3" t="s">
        <v>90</v>
      </c>
      <c r="CW283" s="1" t="s">
        <v>87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181"/>
      <c r="E5" s="182" t="s">
        <v>195</v>
      </c>
      <c r="F5" s="185" t="s">
        <v>166</v>
      </c>
      <c r="G5" s="188" t="s">
        <v>244</v>
      </c>
      <c r="H5" s="185" t="s">
        <v>166</v>
      </c>
      <c r="I5" s="188" t="s">
        <v>244</v>
      </c>
    </row>
    <row r="6" spans="4:9" ht="20" thickBot="1" x14ac:dyDescent="0.3">
      <c r="D6" s="181"/>
      <c r="E6" s="235" t="s">
        <v>91</v>
      </c>
      <c r="F6" s="236" t="s">
        <v>47</v>
      </c>
      <c r="G6" s="237" t="s">
        <v>47</v>
      </c>
      <c r="H6" s="236" t="s">
        <v>341</v>
      </c>
      <c r="I6" s="237" t="s">
        <v>341</v>
      </c>
    </row>
    <row r="7" spans="4:9" ht="19" x14ac:dyDescent="0.25">
      <c r="D7" s="417" t="s">
        <v>340</v>
      </c>
      <c r="E7" s="184" t="s">
        <v>462</v>
      </c>
      <c r="F7" s="187">
        <f>Ore_to_PI!F72</f>
        <v>88160.656904773379</v>
      </c>
      <c r="G7" s="238">
        <f>1.06*F7</f>
        <v>93450.29631905978</v>
      </c>
      <c r="H7" s="239">
        <f>F7/1000000000</f>
        <v>8.8160656904773385E-5</v>
      </c>
      <c r="I7" s="240">
        <f>G7/1000000000</f>
        <v>9.3450296319059779E-5</v>
      </c>
    </row>
    <row r="8" spans="4:9" ht="20" thickBot="1" x14ac:dyDescent="0.3">
      <c r="D8" s="418"/>
      <c r="E8" s="184" t="s">
        <v>342</v>
      </c>
      <c r="F8" s="187">
        <f>Ore_to_PI!$AS$28+Ore_to_PI!$BL$35</f>
        <v>622271.50143934821</v>
      </c>
      <c r="G8" s="238">
        <f>F8</f>
        <v>622271.50143934821</v>
      </c>
      <c r="H8" s="239">
        <f t="shared" ref="H8:H18" si="0">F8/1000000000</f>
        <v>6.2227150143934825E-4</v>
      </c>
      <c r="I8" s="240">
        <f t="shared" ref="I8:I18" si="1">G8/1000000000</f>
        <v>6.2227150143934825E-4</v>
      </c>
    </row>
    <row r="9" spans="4:9" ht="19" x14ac:dyDescent="0.25">
      <c r="D9" s="419" t="s">
        <v>19</v>
      </c>
      <c r="E9" s="184" t="s">
        <v>462</v>
      </c>
      <c r="F9" s="187">
        <f>Ore_to_PI!K144</f>
        <v>241.59146310558401</v>
      </c>
      <c r="G9" s="238">
        <f>F9*1.06</f>
        <v>256.08695089191906</v>
      </c>
      <c r="H9" s="239">
        <f t="shared" si="0"/>
        <v>2.4159146310558403E-7</v>
      </c>
      <c r="I9" s="240">
        <f t="shared" si="1"/>
        <v>2.5608695089191904E-7</v>
      </c>
    </row>
    <row r="10" spans="4:9" ht="19" x14ac:dyDescent="0.25">
      <c r="D10" s="420"/>
      <c r="E10" s="184" t="s">
        <v>463</v>
      </c>
      <c r="F10" s="187">
        <f>Ore_to_PI!K155</f>
        <v>22.443944839719084</v>
      </c>
      <c r="G10" s="238">
        <f>F10*1.04</f>
        <v>23.341702633307847</v>
      </c>
      <c r="H10" s="239">
        <f t="shared" si="0"/>
        <v>2.2443944839719083E-8</v>
      </c>
      <c r="I10" s="240">
        <f t="shared" si="1"/>
        <v>2.3341702633307846E-8</v>
      </c>
    </row>
    <row r="11" spans="4:9" ht="19" x14ac:dyDescent="0.25">
      <c r="D11" s="420"/>
      <c r="E11" s="184" t="s">
        <v>196</v>
      </c>
      <c r="F11" s="187">
        <f>Ore_to_PI!AS113+Ore_to_PI!BK116</f>
        <v>2859.5637429090343</v>
      </c>
      <c r="G11" s="238">
        <f>F11</f>
        <v>2859.5637429090343</v>
      </c>
      <c r="H11" s="239">
        <f t="shared" si="0"/>
        <v>2.8595637429090342E-6</v>
      </c>
      <c r="I11" s="240">
        <f t="shared" si="1"/>
        <v>2.8595637429090342E-6</v>
      </c>
    </row>
    <row r="12" spans="4:9" ht="20" thickBot="1" x14ac:dyDescent="0.3">
      <c r="D12" s="421"/>
      <c r="E12" s="184" t="s">
        <v>343</v>
      </c>
      <c r="F12" s="187">
        <f>Ore_to_PI!BQ156</f>
        <v>1881501.0603161759</v>
      </c>
      <c r="G12" s="238">
        <f>F12*1.04</f>
        <v>1956761.102728823</v>
      </c>
      <c r="H12" s="239">
        <f t="shared" si="0"/>
        <v>1.8815010603161759E-3</v>
      </c>
      <c r="I12" s="240">
        <f t="shared" si="1"/>
        <v>1.9567611027288228E-3</v>
      </c>
    </row>
    <row r="13" spans="4:9" ht="19" x14ac:dyDescent="0.25">
      <c r="D13" s="422" t="s">
        <v>278</v>
      </c>
      <c r="E13" s="184" t="s">
        <v>462</v>
      </c>
      <c r="F13" s="187">
        <f>Ore_to_PI!K226</f>
        <v>21827.121921766418</v>
      </c>
      <c r="G13" s="238">
        <f>F13*1.06</f>
        <v>23136.749237072403</v>
      </c>
      <c r="H13" s="239">
        <f t="shared" si="0"/>
        <v>2.1827121921766417E-5</v>
      </c>
      <c r="I13" s="240">
        <f t="shared" si="1"/>
        <v>2.3136749237072402E-5</v>
      </c>
    </row>
    <row r="14" spans="4:9" ht="19" x14ac:dyDescent="0.25">
      <c r="D14" s="423"/>
      <c r="E14" s="184" t="s">
        <v>343</v>
      </c>
      <c r="F14" s="187">
        <f>Ore_to_PI!BQ248</f>
        <v>10206361.17590105</v>
      </c>
      <c r="G14" s="238">
        <f>F14*1.04</f>
        <v>10614615.622937093</v>
      </c>
      <c r="H14" s="239">
        <f t="shared" si="0"/>
        <v>1.020636117590105E-2</v>
      </c>
      <c r="I14" s="240">
        <f t="shared" si="1"/>
        <v>1.0614615622937093E-2</v>
      </c>
    </row>
    <row r="15" spans="4:9" ht="20" thickBot="1" x14ac:dyDescent="0.3">
      <c r="D15" s="424"/>
      <c r="E15" s="184" t="s">
        <v>342</v>
      </c>
      <c r="F15" s="187">
        <f>Ore_to_PI!AA195+Ore_to_PI!AS190+Ore_to_PI!BK195+Ore_to_PI!DB229</f>
        <v>114140.71648877421</v>
      </c>
      <c r="G15" s="238">
        <f>F15</f>
        <v>114140.71648877421</v>
      </c>
      <c r="H15" s="239">
        <f t="shared" si="0"/>
        <v>1.1414071648877421E-4</v>
      </c>
      <c r="I15" s="240">
        <f t="shared" si="1"/>
        <v>1.1414071648877421E-4</v>
      </c>
    </row>
    <row r="16" spans="4:9" ht="19" x14ac:dyDescent="0.25">
      <c r="D16" s="425" t="s">
        <v>277</v>
      </c>
      <c r="E16" s="184" t="s">
        <v>342</v>
      </c>
      <c r="F16" s="187">
        <f>Ore_to_PI!ES117</f>
        <v>318930.1042317453</v>
      </c>
      <c r="G16" s="238">
        <f>F16</f>
        <v>318930.1042317453</v>
      </c>
      <c r="H16" s="239">
        <f t="shared" si="0"/>
        <v>3.1893010423174529E-4</v>
      </c>
      <c r="I16" s="240">
        <f t="shared" si="1"/>
        <v>3.1893010423174529E-4</v>
      </c>
    </row>
    <row r="17" spans="4:9" ht="19" x14ac:dyDescent="0.25">
      <c r="D17" s="425"/>
      <c r="E17" s="184" t="s">
        <v>343</v>
      </c>
      <c r="F17" s="187">
        <f>Ore_to_PI!EB118</f>
        <v>2246377.2558931625</v>
      </c>
      <c r="G17" s="238">
        <f>F17*1.04</f>
        <v>2336232.3461288889</v>
      </c>
      <c r="H17" s="239">
        <f t="shared" si="0"/>
        <v>2.2463772558931625E-3</v>
      </c>
      <c r="I17" s="240">
        <f t="shared" si="1"/>
        <v>2.3362323461288887E-3</v>
      </c>
    </row>
    <row r="18" spans="4:9" ht="20" thickBot="1" x14ac:dyDescent="0.3">
      <c r="D18" s="426"/>
      <c r="E18" s="183" t="s">
        <v>448</v>
      </c>
      <c r="F18" s="186">
        <f>Ore_to_PI!EB105</f>
        <v>194131.36779323628</v>
      </c>
      <c r="G18" s="241">
        <f>1.06*F18</f>
        <v>205779.24986083046</v>
      </c>
      <c r="H18" s="239">
        <f t="shared" si="0"/>
        <v>1.9413136779323627E-4</v>
      </c>
      <c r="I18" s="24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73" t="s">
        <v>465</v>
      </c>
      <c r="F23" s="3" t="s">
        <v>464</v>
      </c>
      <c r="G23" s="3" t="s">
        <v>492</v>
      </c>
    </row>
    <row r="24" spans="4:9" x14ac:dyDescent="0.2">
      <c r="E24" s="173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73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73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73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73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176" t="s">
        <v>474</v>
      </c>
      <c r="AT1" s="222"/>
      <c r="AU1" s="176" t="s">
        <v>325</v>
      </c>
      <c r="AV1" s="176" t="s">
        <v>326</v>
      </c>
      <c r="AW1" s="176" t="s">
        <v>327</v>
      </c>
      <c r="AX1" s="176" t="s">
        <v>455</v>
      </c>
      <c r="AY1" s="176" t="s">
        <v>435</v>
      </c>
      <c r="AZ1" s="176" t="s">
        <v>434</v>
      </c>
      <c r="BA1" s="176" t="s">
        <v>351</v>
      </c>
      <c r="BB1" s="176" t="s">
        <v>348</v>
      </c>
      <c r="BC1" s="176" t="s">
        <v>362</v>
      </c>
      <c r="BD1" s="176" t="s">
        <v>349</v>
      </c>
      <c r="BE1" s="176" t="s">
        <v>344</v>
      </c>
      <c r="BF1" s="176" t="s">
        <v>514</v>
      </c>
      <c r="BG1" s="176" t="s">
        <v>516</v>
      </c>
      <c r="BH1" s="176" t="s">
        <v>76</v>
      </c>
      <c r="BI1" s="176" t="s">
        <v>337</v>
      </c>
      <c r="BN1" s="222"/>
      <c r="BO1" s="176" t="s">
        <v>325</v>
      </c>
      <c r="BP1" s="176" t="s">
        <v>326</v>
      </c>
      <c r="BQ1" s="176" t="s">
        <v>327</v>
      </c>
      <c r="BR1" s="176" t="s">
        <v>455</v>
      </c>
      <c r="BS1" s="176" t="s">
        <v>435</v>
      </c>
      <c r="BT1" s="176" t="s">
        <v>434</v>
      </c>
      <c r="BU1" s="176" t="s">
        <v>351</v>
      </c>
      <c r="BV1" s="176" t="s">
        <v>348</v>
      </c>
      <c r="BW1" s="176" t="s">
        <v>362</v>
      </c>
      <c r="BX1" s="176" t="s">
        <v>349</v>
      </c>
      <c r="BY1" s="176" t="s">
        <v>344</v>
      </c>
      <c r="BZ1" s="176" t="s">
        <v>514</v>
      </c>
      <c r="CA1" s="176" t="s">
        <v>516</v>
      </c>
      <c r="CB1" s="176" t="s">
        <v>76</v>
      </c>
      <c r="CC1" s="176" t="s">
        <v>337</v>
      </c>
    </row>
    <row r="2" spans="2:81" x14ac:dyDescent="0.2">
      <c r="B2" s="173" t="s">
        <v>333</v>
      </c>
      <c r="C2" s="246">
        <v>1</v>
      </c>
      <c r="AT2" s="173" t="s">
        <v>333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G2" s="246">
        <v>0</v>
      </c>
      <c r="BH2" s="246">
        <v>0</v>
      </c>
      <c r="BI2" s="246">
        <v>0</v>
      </c>
      <c r="BN2" s="173" t="s">
        <v>333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  <c r="CA2" s="246">
        <v>0</v>
      </c>
      <c r="CB2" s="246">
        <v>0</v>
      </c>
      <c r="CC2" s="246">
        <v>0</v>
      </c>
    </row>
    <row r="3" spans="2:81" x14ac:dyDescent="0.2">
      <c r="B3" s="173" t="s">
        <v>335</v>
      </c>
      <c r="C3" s="246">
        <v>1</v>
      </c>
      <c r="AT3" s="173" t="s">
        <v>335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H3" s="246">
        <v>0</v>
      </c>
      <c r="BI3" s="246">
        <v>0</v>
      </c>
      <c r="BN3" s="173" t="s">
        <v>335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CA3" s="246">
        <v>0</v>
      </c>
      <c r="CB3" s="246">
        <v>0</v>
      </c>
      <c r="CC3" s="246">
        <v>0</v>
      </c>
    </row>
    <row r="4" spans="2:81" x14ac:dyDescent="0.2">
      <c r="B4" s="173" t="s">
        <v>336</v>
      </c>
      <c r="C4" s="246">
        <v>1</v>
      </c>
      <c r="AT4" s="173" t="s">
        <v>336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H4" s="246">
        <v>0</v>
      </c>
      <c r="BI4" s="246">
        <v>0</v>
      </c>
      <c r="BN4" s="173" t="s">
        <v>336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CA4" s="246">
        <v>0</v>
      </c>
      <c r="CB4" s="246">
        <v>0</v>
      </c>
      <c r="CC4" s="246">
        <v>0</v>
      </c>
    </row>
    <row r="5" spans="2:81" x14ac:dyDescent="0.2">
      <c r="B5" s="173" t="s">
        <v>355</v>
      </c>
      <c r="C5" s="246">
        <v>1</v>
      </c>
      <c r="AT5" s="173" t="s">
        <v>355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H5" s="246">
        <v>0</v>
      </c>
      <c r="BI5" s="246">
        <v>0</v>
      </c>
      <c r="BN5" s="173" t="s">
        <v>355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CA5" s="246">
        <v>0</v>
      </c>
      <c r="CB5" s="246">
        <v>0</v>
      </c>
      <c r="CC5" s="246">
        <v>0</v>
      </c>
    </row>
    <row r="6" spans="2:81" x14ac:dyDescent="0.2">
      <c r="B6" s="173" t="s">
        <v>377</v>
      </c>
      <c r="C6" s="246">
        <v>1</v>
      </c>
      <c r="AM6" s="173"/>
      <c r="AT6" s="173" t="s">
        <v>377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N6" s="173" t="s">
        <v>377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CA6" s="246">
        <v>0</v>
      </c>
      <c r="CB6" s="246">
        <v>0</v>
      </c>
      <c r="CC6" s="246">
        <v>0</v>
      </c>
    </row>
    <row r="7" spans="2:81" x14ac:dyDescent="0.2">
      <c r="B7" s="173" t="s">
        <v>466</v>
      </c>
      <c r="C7" s="246">
        <v>1</v>
      </c>
      <c r="AM7" s="173"/>
      <c r="AT7" s="173" t="s">
        <v>466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N7" s="173" t="s">
        <v>466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CA7" s="246">
        <v>0</v>
      </c>
      <c r="CB7" s="246">
        <v>0</v>
      </c>
      <c r="CC7" s="246">
        <v>0</v>
      </c>
    </row>
    <row r="8" spans="2:81" x14ac:dyDescent="0.2">
      <c r="B8" s="173" t="s">
        <v>467</v>
      </c>
      <c r="C8" s="246">
        <v>1</v>
      </c>
      <c r="AM8" s="173"/>
      <c r="AT8" s="173" t="s">
        <v>467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</v>
      </c>
      <c r="BN8" s="173" t="s">
        <v>467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0</v>
      </c>
    </row>
    <row r="9" spans="2:81" x14ac:dyDescent="0.2">
      <c r="B9" s="173" t="s">
        <v>411</v>
      </c>
      <c r="C9" s="246">
        <v>1</v>
      </c>
      <c r="AM9" s="173"/>
      <c r="AT9" s="173" t="s">
        <v>411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H9" s="246">
        <v>0</v>
      </c>
      <c r="BI9" s="246">
        <v>0</v>
      </c>
      <c r="BN9" s="173" t="s">
        <v>411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CA9" s="246">
        <v>0</v>
      </c>
      <c r="CB9" s="246">
        <v>0</v>
      </c>
      <c r="CC9" s="246">
        <v>0</v>
      </c>
    </row>
    <row r="10" spans="2:81" x14ac:dyDescent="0.2">
      <c r="B10" s="173" t="s">
        <v>459</v>
      </c>
      <c r="C10" s="246">
        <v>1</v>
      </c>
      <c r="AM10" s="173"/>
      <c r="AT10" s="173" t="s">
        <v>459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H10" s="246">
        <v>0</v>
      </c>
      <c r="BI10" s="246">
        <v>0</v>
      </c>
      <c r="BN10" s="173" t="s">
        <v>459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CA10" s="246">
        <v>0</v>
      </c>
      <c r="CB10" s="246">
        <v>0</v>
      </c>
      <c r="CC10" s="246">
        <v>0</v>
      </c>
    </row>
    <row r="11" spans="2:81" ht="16" x14ac:dyDescent="0.2">
      <c r="B11" s="174" t="s">
        <v>442</v>
      </c>
      <c r="C11" s="246">
        <v>1</v>
      </c>
      <c r="AT11" s="174" t="s">
        <v>442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H11" s="246">
        <v>0</v>
      </c>
      <c r="BI11" s="246">
        <v>0</v>
      </c>
      <c r="BN11" s="174" t="s">
        <v>442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CA11" s="246">
        <v>0</v>
      </c>
      <c r="CB11" s="246">
        <v>0</v>
      </c>
      <c r="CC11" s="246">
        <v>0</v>
      </c>
    </row>
    <row r="12" spans="2:81" x14ac:dyDescent="0.2">
      <c r="B12" s="173" t="s">
        <v>409</v>
      </c>
      <c r="C12" s="246">
        <v>1</v>
      </c>
      <c r="AT12" s="173" t="s">
        <v>409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H12" s="246">
        <v>0</v>
      </c>
      <c r="BI12" s="246">
        <v>0</v>
      </c>
      <c r="BN12" s="173" t="s">
        <v>409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CA12" s="246">
        <v>0</v>
      </c>
      <c r="CB12" s="246">
        <v>0</v>
      </c>
      <c r="CC12" s="246">
        <v>0</v>
      </c>
    </row>
    <row r="13" spans="2:81" ht="16" x14ac:dyDescent="0.2">
      <c r="B13" s="174" t="s">
        <v>412</v>
      </c>
      <c r="C13" s="246">
        <v>1</v>
      </c>
      <c r="AT13" s="174" t="s">
        <v>412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H13" s="246">
        <v>0</v>
      </c>
      <c r="BI13" s="246">
        <v>0</v>
      </c>
      <c r="BN13" s="174" t="s">
        <v>412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CA13" s="246">
        <v>0</v>
      </c>
      <c r="CB13" s="246">
        <v>0</v>
      </c>
      <c r="CC13" s="246">
        <v>0</v>
      </c>
    </row>
    <row r="14" spans="2:81" x14ac:dyDescent="0.2">
      <c r="B14" s="173" t="s">
        <v>437</v>
      </c>
      <c r="C14" s="246">
        <v>1</v>
      </c>
      <c r="AT14" s="173" t="s">
        <v>437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H14" s="246">
        <v>0</v>
      </c>
      <c r="BI14" s="246">
        <v>0</v>
      </c>
      <c r="BN14" s="173" t="s">
        <v>437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CA14" s="246">
        <v>0</v>
      </c>
      <c r="CB14" s="246">
        <v>0</v>
      </c>
      <c r="CC14" s="246">
        <v>0</v>
      </c>
    </row>
    <row r="15" spans="2:81" x14ac:dyDescent="0.2">
      <c r="B15" s="175" t="s">
        <v>430</v>
      </c>
      <c r="C15" s="246">
        <v>1</v>
      </c>
      <c r="AT15" s="175" t="s">
        <v>430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H15" s="246">
        <v>0</v>
      </c>
      <c r="BI15" s="246">
        <v>0</v>
      </c>
      <c r="BN15" s="175" t="s">
        <v>430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CA15" s="246">
        <v>0</v>
      </c>
      <c r="CB15" s="246">
        <v>0</v>
      </c>
      <c r="CC15" s="246">
        <v>0</v>
      </c>
    </row>
    <row r="16" spans="2:81" x14ac:dyDescent="0.2">
      <c r="B16" s="173" t="s">
        <v>416</v>
      </c>
      <c r="C16" s="246">
        <v>1</v>
      </c>
      <c r="AT16" s="173" t="s">
        <v>416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N16" s="173" t="s">
        <v>416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</row>
    <row r="17" spans="2:81" ht="16" x14ac:dyDescent="0.2">
      <c r="B17" s="174" t="s">
        <v>441</v>
      </c>
      <c r="C17" s="246">
        <v>1</v>
      </c>
      <c r="AT17" s="174" t="s">
        <v>441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N17" s="174" t="s">
        <v>441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</row>
    <row r="18" spans="2:81" ht="16" x14ac:dyDescent="0.2">
      <c r="B18" s="174" t="s">
        <v>436</v>
      </c>
      <c r="C18" s="246">
        <v>1</v>
      </c>
      <c r="AT18" s="174" t="s">
        <v>436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0</v>
      </c>
      <c r="BN18" s="174" t="s">
        <v>436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</v>
      </c>
    </row>
    <row r="19" spans="2:81" ht="16" x14ac:dyDescent="0.2">
      <c r="B19" s="174" t="s">
        <v>433</v>
      </c>
      <c r="C19" s="246">
        <v>1</v>
      </c>
      <c r="AT19" s="174" t="s">
        <v>433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H19" s="246">
        <v>0</v>
      </c>
      <c r="BI19" s="246">
        <v>0</v>
      </c>
      <c r="BN19" s="174" t="s">
        <v>433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CA19" s="246">
        <v>0</v>
      </c>
      <c r="CB19" s="246">
        <v>0</v>
      </c>
      <c r="CC19" s="246">
        <v>0</v>
      </c>
    </row>
    <row r="20" spans="2:81" ht="16" x14ac:dyDescent="0.2">
      <c r="B20" s="174" t="s">
        <v>439</v>
      </c>
      <c r="C20" s="246">
        <v>1</v>
      </c>
      <c r="AT20" s="174" t="s">
        <v>439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H20" s="246">
        <v>0</v>
      </c>
      <c r="BI20" s="246">
        <v>0</v>
      </c>
      <c r="BN20" s="174" t="s">
        <v>439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CA20" s="246">
        <v>0</v>
      </c>
      <c r="CB20" s="246">
        <v>0</v>
      </c>
      <c r="CC20" s="246">
        <v>0</v>
      </c>
    </row>
    <row r="21" spans="2:81" x14ac:dyDescent="0.2">
      <c r="B21" s="175" t="s">
        <v>438</v>
      </c>
      <c r="C21" s="246">
        <v>1</v>
      </c>
      <c r="AT21" s="175" t="s">
        <v>438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H21" s="246">
        <v>0</v>
      </c>
      <c r="BI21" s="246">
        <v>0</v>
      </c>
      <c r="BN21" s="175" t="s">
        <v>438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CA21" s="246">
        <v>0</v>
      </c>
      <c r="CB21" s="246">
        <v>0</v>
      </c>
      <c r="CC21" s="246">
        <v>0</v>
      </c>
    </row>
    <row r="22" spans="2:81" x14ac:dyDescent="0.2">
      <c r="B22" s="175" t="s">
        <v>424</v>
      </c>
      <c r="C22" s="246">
        <v>1</v>
      </c>
      <c r="AT22" s="175" t="s">
        <v>424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H22" s="246">
        <v>0</v>
      </c>
      <c r="BI22" s="246">
        <v>0</v>
      </c>
      <c r="BN22" s="175" t="s">
        <v>424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CA22" s="246">
        <v>0</v>
      </c>
      <c r="CB22" s="246">
        <v>0</v>
      </c>
      <c r="CC22" s="246">
        <v>0</v>
      </c>
    </row>
    <row r="23" spans="2:81" x14ac:dyDescent="0.2">
      <c r="B23" s="175" t="s">
        <v>456</v>
      </c>
      <c r="C23" s="246">
        <v>1</v>
      </c>
      <c r="AT23" s="175" t="s">
        <v>456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H23" s="246">
        <v>0</v>
      </c>
      <c r="BI23" s="246">
        <v>0</v>
      </c>
      <c r="BN23" s="175" t="s">
        <v>456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CA23" s="246">
        <v>0</v>
      </c>
      <c r="CB23" s="246">
        <v>0</v>
      </c>
      <c r="CC23" s="246">
        <v>0</v>
      </c>
    </row>
    <row r="24" spans="2:81" x14ac:dyDescent="0.2">
      <c r="B24" s="175" t="s">
        <v>425</v>
      </c>
      <c r="C24" s="246">
        <v>1</v>
      </c>
      <c r="AT24" s="175" t="s">
        <v>425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H24" s="246">
        <v>0</v>
      </c>
      <c r="BI24" s="246">
        <v>0</v>
      </c>
      <c r="BN24" s="175" t="s">
        <v>425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CA24" s="246">
        <v>0</v>
      </c>
      <c r="CB24" s="246">
        <v>0</v>
      </c>
      <c r="CC24" s="246">
        <v>0</v>
      </c>
    </row>
    <row r="25" spans="2:81" x14ac:dyDescent="0.2">
      <c r="B25" s="175" t="s">
        <v>427</v>
      </c>
      <c r="C25" s="246">
        <v>1</v>
      </c>
      <c r="AT25" s="175" t="s">
        <v>427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H25" s="246">
        <v>0</v>
      </c>
      <c r="BI25" s="246">
        <v>0</v>
      </c>
      <c r="BN25" s="175" t="s">
        <v>427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CA25" s="246">
        <v>0</v>
      </c>
      <c r="CB25" s="246">
        <v>0</v>
      </c>
      <c r="CC25" s="246">
        <v>0</v>
      </c>
    </row>
    <row r="26" spans="2:81" x14ac:dyDescent="0.2">
      <c r="B26" s="175" t="s">
        <v>426</v>
      </c>
      <c r="C26" s="246">
        <v>1</v>
      </c>
      <c r="AT26" s="175" t="s">
        <v>426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H26" s="246">
        <v>0</v>
      </c>
      <c r="BI26" s="246">
        <v>0</v>
      </c>
      <c r="BN26" s="175" t="s">
        <v>426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CA26" s="246">
        <v>0</v>
      </c>
      <c r="CB26" s="246">
        <v>0</v>
      </c>
      <c r="CC26" s="246">
        <v>0</v>
      </c>
    </row>
    <row r="27" spans="2:81" x14ac:dyDescent="0.2">
      <c r="B27" s="175" t="s">
        <v>484</v>
      </c>
      <c r="C27" s="246">
        <v>1</v>
      </c>
      <c r="AT27" s="175" t="s">
        <v>484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H27" s="246">
        <v>0</v>
      </c>
      <c r="BI27" s="246">
        <v>0</v>
      </c>
      <c r="BN27" s="175" t="s">
        <v>484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CA27" s="246">
        <v>0</v>
      </c>
      <c r="CB27" s="246">
        <v>0</v>
      </c>
      <c r="CC27" s="246">
        <v>0</v>
      </c>
    </row>
    <row r="28" spans="2:81" ht="16" x14ac:dyDescent="0.2">
      <c r="B28" s="215" t="s">
        <v>422</v>
      </c>
      <c r="C28" s="246">
        <v>1</v>
      </c>
      <c r="AT28" s="215" t="s">
        <v>422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H28" s="246">
        <v>0</v>
      </c>
      <c r="BI28" s="246">
        <v>0</v>
      </c>
      <c r="BN28" s="215" t="s">
        <v>422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CA28" s="246">
        <v>0</v>
      </c>
      <c r="CB28" s="246">
        <v>0</v>
      </c>
      <c r="CC28" s="246">
        <v>0</v>
      </c>
    </row>
    <row r="29" spans="2:81" ht="16" x14ac:dyDescent="0.2">
      <c r="B29" s="215" t="s">
        <v>552</v>
      </c>
      <c r="C29" s="246">
        <v>1</v>
      </c>
      <c r="AT29" s="215" t="s">
        <v>552</v>
      </c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G29" s="246"/>
      <c r="BH29" s="246"/>
      <c r="BI29" s="246"/>
      <c r="BN29" s="215" t="s">
        <v>552</v>
      </c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  <c r="BZ29" s="246"/>
      <c r="CA29" s="246"/>
      <c r="CB29" s="246"/>
      <c r="CC29" s="246"/>
    </row>
    <row r="30" spans="2:81" x14ac:dyDescent="0.2">
      <c r="B30" s="175" t="s">
        <v>421</v>
      </c>
      <c r="C30" s="246">
        <v>1</v>
      </c>
      <c r="AT30" s="175" t="s">
        <v>421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G30" s="246">
        <v>0</v>
      </c>
      <c r="BH30" s="246">
        <v>0</v>
      </c>
      <c r="BI30" s="246">
        <v>0</v>
      </c>
      <c r="BN30" s="175" t="s">
        <v>421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  <c r="CA30" s="246">
        <v>0</v>
      </c>
      <c r="CB30" s="246">
        <v>0</v>
      </c>
      <c r="CC30" s="246">
        <v>0</v>
      </c>
    </row>
    <row r="31" spans="2:81" x14ac:dyDescent="0.2">
      <c r="B31" s="173" t="s">
        <v>423</v>
      </c>
      <c r="C31" s="246">
        <v>1</v>
      </c>
      <c r="AT31" s="173" t="s">
        <v>423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H31" s="246">
        <v>0</v>
      </c>
      <c r="BI31" s="246">
        <v>0</v>
      </c>
      <c r="BN31" s="173" t="s">
        <v>423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CA31" s="246">
        <v>0</v>
      </c>
      <c r="CB31" s="246">
        <v>0</v>
      </c>
      <c r="CC31" s="246">
        <v>0</v>
      </c>
    </row>
    <row r="32" spans="2:81" x14ac:dyDescent="0.2">
      <c r="B32" s="175" t="s">
        <v>515</v>
      </c>
      <c r="C32" s="246">
        <v>1</v>
      </c>
      <c r="AT32" s="175" t="s">
        <v>515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H32" s="246">
        <v>0</v>
      </c>
      <c r="BI32" s="246">
        <v>0</v>
      </c>
      <c r="BN32" s="175" t="s">
        <v>515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CA32" s="246">
        <v>0</v>
      </c>
      <c r="CB32" s="246">
        <v>0</v>
      </c>
      <c r="CC32" s="246">
        <v>0</v>
      </c>
    </row>
    <row r="33" spans="2:81" x14ac:dyDescent="0.2">
      <c r="B33" s="175" t="s">
        <v>517</v>
      </c>
      <c r="C33" s="246">
        <v>1</v>
      </c>
      <c r="AT33" s="175" t="s">
        <v>517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H33" s="246">
        <v>0</v>
      </c>
      <c r="BI33" s="246">
        <v>0</v>
      </c>
      <c r="BN33" s="175" t="s">
        <v>517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CA33" s="246">
        <v>0</v>
      </c>
      <c r="CB33" s="246">
        <v>0</v>
      </c>
      <c r="CC33" s="246">
        <v>0</v>
      </c>
    </row>
    <row r="34" spans="2:81" x14ac:dyDescent="0.2">
      <c r="B34" s="175" t="s">
        <v>445</v>
      </c>
      <c r="C34" s="246">
        <v>1</v>
      </c>
      <c r="AT34" s="175" t="s">
        <v>445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H34" s="246">
        <v>0</v>
      </c>
      <c r="BI34" s="246">
        <v>0</v>
      </c>
      <c r="BN34" s="175" t="s">
        <v>445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CA34" s="246">
        <v>0</v>
      </c>
      <c r="CB34" s="246">
        <v>0</v>
      </c>
      <c r="CC34" s="246">
        <v>0</v>
      </c>
    </row>
    <row r="35" spans="2:81" x14ac:dyDescent="0.2">
      <c r="B35" s="175" t="s">
        <v>446</v>
      </c>
      <c r="C35" s="246">
        <v>1</v>
      </c>
      <c r="AT35" s="175" t="s">
        <v>446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H35" s="246">
        <v>0</v>
      </c>
      <c r="BI35" s="246">
        <v>0</v>
      </c>
      <c r="BN35" s="175" t="s">
        <v>446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CA35" s="246">
        <v>0</v>
      </c>
      <c r="CB35" s="246">
        <v>0</v>
      </c>
      <c r="CC35" s="246">
        <v>0</v>
      </c>
    </row>
    <row r="36" spans="2:81" x14ac:dyDescent="0.2">
      <c r="B36" s="175" t="s">
        <v>447</v>
      </c>
      <c r="C36" s="246">
        <v>1</v>
      </c>
      <c r="AT36" s="175" t="s">
        <v>447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H36" s="246">
        <v>0</v>
      </c>
      <c r="BI36" s="246">
        <v>0</v>
      </c>
      <c r="BN36" s="175" t="s">
        <v>447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CA36" s="246">
        <v>0</v>
      </c>
      <c r="CB36" s="246">
        <v>0</v>
      </c>
      <c r="CC36" s="246">
        <v>0</v>
      </c>
    </row>
    <row r="37" spans="2:81" x14ac:dyDescent="0.2">
      <c r="B37" s="175" t="s">
        <v>457</v>
      </c>
      <c r="C37" s="246">
        <v>1</v>
      </c>
      <c r="AT37" s="175" t="s">
        <v>457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N37" s="175" t="s">
        <v>457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</row>
    <row r="38" spans="2:81" x14ac:dyDescent="0.2">
      <c r="C38" s="142" t="s">
        <v>473</v>
      </c>
      <c r="AT38" s="175"/>
      <c r="AU38" s="427" t="s">
        <v>470</v>
      </c>
      <c r="AV38" s="427"/>
      <c r="AW38" s="427"/>
      <c r="AX38" s="427"/>
      <c r="AY38" s="427"/>
      <c r="AZ38" s="427"/>
      <c r="BA38" s="427"/>
      <c r="BB38" s="427"/>
      <c r="BC38" s="427"/>
      <c r="BD38" s="427"/>
      <c r="BE38" s="427"/>
      <c r="BF38" s="427"/>
      <c r="BG38" s="427"/>
      <c r="BH38" s="427"/>
      <c r="BI38" s="427"/>
      <c r="BN38" s="175"/>
      <c r="BO38" s="427" t="s">
        <v>471</v>
      </c>
      <c r="BP38" s="427"/>
      <c r="BQ38" s="427"/>
      <c r="BR38" s="427"/>
      <c r="BS38" s="427"/>
      <c r="BT38" s="427"/>
      <c r="BU38" s="427"/>
      <c r="BV38" s="427"/>
      <c r="BW38" s="427"/>
      <c r="BX38" s="427"/>
      <c r="BY38" s="427"/>
      <c r="BZ38" s="427"/>
      <c r="CA38" s="427"/>
      <c r="CB38" s="427"/>
      <c r="CC38" s="427"/>
    </row>
    <row r="39" spans="2:81" x14ac:dyDescent="0.2">
      <c r="AT39" s="175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N39" s="175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</row>
    <row r="40" spans="2:81" x14ac:dyDescent="0.2">
      <c r="AT40" s="175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N40" s="175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</row>
    <row r="41" spans="2:81" ht="112" x14ac:dyDescent="0.2">
      <c r="AT41" s="222"/>
      <c r="AU41" s="176" t="s">
        <v>325</v>
      </c>
      <c r="AV41" s="176" t="s">
        <v>326</v>
      </c>
      <c r="AW41" s="176" t="s">
        <v>327</v>
      </c>
      <c r="AX41" s="176" t="s">
        <v>455</v>
      </c>
      <c r="AY41" s="176" t="s">
        <v>435</v>
      </c>
      <c r="AZ41" s="176" t="s">
        <v>434</v>
      </c>
      <c r="BA41" s="176" t="s">
        <v>351</v>
      </c>
      <c r="BB41" s="176" t="s">
        <v>348</v>
      </c>
      <c r="BC41" s="176" t="s">
        <v>362</v>
      </c>
      <c r="BD41" s="176" t="s">
        <v>349</v>
      </c>
      <c r="BE41" s="176" t="s">
        <v>344</v>
      </c>
      <c r="BF41" s="176" t="s">
        <v>514</v>
      </c>
      <c r="BG41" s="176" t="s">
        <v>516</v>
      </c>
      <c r="BH41" s="176" t="s">
        <v>76</v>
      </c>
      <c r="BI41" s="176" t="s">
        <v>337</v>
      </c>
      <c r="BN41" s="175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</row>
    <row r="42" spans="2:81" x14ac:dyDescent="0.2">
      <c r="AT42" s="173" t="s">
        <v>333</v>
      </c>
      <c r="AU42" s="246">
        <f>AU87</f>
        <v>108184.8596728804</v>
      </c>
      <c r="AV42" s="246">
        <f t="shared" ref="AV42:BI42" si="0">AV87</f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  <c r="BG42" s="246">
        <f>BG87</f>
        <v>0</v>
      </c>
      <c r="BH42" s="246">
        <f t="shared" si="0"/>
        <v>0</v>
      </c>
      <c r="BI42" s="246">
        <f t="shared" si="0"/>
        <v>0</v>
      </c>
      <c r="BN42" s="175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</row>
    <row r="43" spans="2:81" x14ac:dyDescent="0.2">
      <c r="AT43" s="173" t="s">
        <v>335</v>
      </c>
      <c r="AU43" s="246">
        <f t="shared" ref="AU43:AU68" si="1">AU88</f>
        <v>0</v>
      </c>
      <c r="AV43" s="246">
        <f t="shared" ref="AV43:BI43" si="2">AV88</f>
        <v>25297.051877142174</v>
      </c>
      <c r="AW43" s="246">
        <f t="shared" si="2"/>
        <v>0</v>
      </c>
      <c r="AX43" s="246">
        <f t="shared" si="2"/>
        <v>0</v>
      </c>
      <c r="AY43" s="246">
        <f t="shared" si="2"/>
        <v>0</v>
      </c>
      <c r="AZ43" s="246">
        <f t="shared" si="2"/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si="2"/>
        <v>0</v>
      </c>
      <c r="BE43" s="246">
        <f t="shared" si="2"/>
        <v>0</v>
      </c>
      <c r="BF43" s="246">
        <f t="shared" si="2"/>
        <v>0</v>
      </c>
      <c r="BG43" s="246">
        <f t="shared" si="2"/>
        <v>0</v>
      </c>
      <c r="BH43" s="246">
        <f t="shared" si="2"/>
        <v>0</v>
      </c>
      <c r="BI43" s="246">
        <f t="shared" si="2"/>
        <v>0</v>
      </c>
      <c r="BN43" s="175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</row>
    <row r="44" spans="2:81" x14ac:dyDescent="0.2">
      <c r="AT44" s="173" t="s">
        <v>336</v>
      </c>
      <c r="AU44" s="246">
        <f t="shared" si="1"/>
        <v>0</v>
      </c>
      <c r="AV44" s="246">
        <f t="shared" ref="AV44:BI44" si="3">AV89</f>
        <v>0</v>
      </c>
      <c r="AW44" s="246">
        <f t="shared" si="3"/>
        <v>8850991.3601140417</v>
      </c>
      <c r="AX44" s="246">
        <f t="shared" si="3"/>
        <v>0</v>
      </c>
      <c r="AY44" s="246">
        <f t="shared" si="3"/>
        <v>0</v>
      </c>
      <c r="AZ44" s="246">
        <f t="shared" si="3"/>
        <v>0</v>
      </c>
      <c r="BA44" s="246">
        <f t="shared" si="3"/>
        <v>0</v>
      </c>
      <c r="BB44" s="246">
        <f t="shared" si="3"/>
        <v>0</v>
      </c>
      <c r="BC44" s="246">
        <f t="shared" si="3"/>
        <v>0</v>
      </c>
      <c r="BD44" s="246">
        <f t="shared" si="3"/>
        <v>0</v>
      </c>
      <c r="BE44" s="246">
        <f t="shared" si="3"/>
        <v>0</v>
      </c>
      <c r="BF44" s="246">
        <f t="shared" si="3"/>
        <v>0</v>
      </c>
      <c r="BG44" s="246">
        <f t="shared" si="3"/>
        <v>0</v>
      </c>
      <c r="BH44" s="246">
        <f t="shared" si="3"/>
        <v>0</v>
      </c>
      <c r="BI44" s="246">
        <f t="shared" si="3"/>
        <v>0</v>
      </c>
      <c r="BN44" s="175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</row>
    <row r="45" spans="2:81" x14ac:dyDescent="0.2">
      <c r="AT45" s="173" t="s">
        <v>355</v>
      </c>
      <c r="AU45" s="246">
        <f t="shared" si="1"/>
        <v>125.02637472887361</v>
      </c>
      <c r="AV45" s="246">
        <f t="shared" ref="AV45:BI45" si="4">AV90</f>
        <v>0.37484270351331089</v>
      </c>
      <c r="AW45" s="246">
        <f t="shared" si="4"/>
        <v>30.954464502133519</v>
      </c>
      <c r="AX45" s="246">
        <f t="shared" si="4"/>
        <v>0</v>
      </c>
      <c r="AY45" s="246">
        <f t="shared" si="4"/>
        <v>0</v>
      </c>
      <c r="AZ45" s="246">
        <f t="shared" si="4"/>
        <v>0</v>
      </c>
      <c r="BA45" s="246">
        <f t="shared" si="4"/>
        <v>0</v>
      </c>
      <c r="BB45" s="246">
        <f t="shared" si="4"/>
        <v>0</v>
      </c>
      <c r="BC45" s="246">
        <f t="shared" si="4"/>
        <v>0</v>
      </c>
      <c r="BD45" s="246">
        <f t="shared" si="4"/>
        <v>2671.5132120132448</v>
      </c>
      <c r="BE45" s="246">
        <f t="shared" si="4"/>
        <v>14491.84871754296</v>
      </c>
      <c r="BF45" s="246">
        <f t="shared" si="4"/>
        <v>0</v>
      </c>
      <c r="BG45" s="246">
        <f t="shared" si="4"/>
        <v>0</v>
      </c>
      <c r="BH45" s="246">
        <f t="shared" si="4"/>
        <v>0</v>
      </c>
      <c r="BI45" s="246">
        <f t="shared" si="4"/>
        <v>11826.742854693757</v>
      </c>
      <c r="BN45" s="175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</row>
    <row r="46" spans="2:81" x14ac:dyDescent="0.2">
      <c r="AT46" s="173" t="s">
        <v>377</v>
      </c>
      <c r="AU46" s="246">
        <f t="shared" si="1"/>
        <v>0</v>
      </c>
      <c r="AV46" s="246">
        <f t="shared" ref="AV46:BI46" si="5">AV91</f>
        <v>0</v>
      </c>
      <c r="AW46" s="246">
        <f t="shared" si="5"/>
        <v>0</v>
      </c>
      <c r="AX46" s="246">
        <f t="shared" si="5"/>
        <v>0</v>
      </c>
      <c r="AY46" s="246">
        <f t="shared" si="5"/>
        <v>0</v>
      </c>
      <c r="AZ46" s="246">
        <f t="shared" si="5"/>
        <v>0</v>
      </c>
      <c r="BA46" s="246">
        <f t="shared" si="5"/>
        <v>0</v>
      </c>
      <c r="BB46" s="246">
        <f t="shared" si="5"/>
        <v>0</v>
      </c>
      <c r="BC46" s="246">
        <f t="shared" si="5"/>
        <v>0</v>
      </c>
      <c r="BD46" s="246">
        <f t="shared" si="5"/>
        <v>1951076.4755827489</v>
      </c>
      <c r="BE46" s="246">
        <f t="shared" si="5"/>
        <v>10583778.883576756</v>
      </c>
      <c r="BF46" s="246">
        <f t="shared" si="5"/>
        <v>0</v>
      </c>
      <c r="BG46" s="246">
        <f t="shared" si="5"/>
        <v>0</v>
      </c>
      <c r="BH46" s="246">
        <f t="shared" si="5"/>
        <v>0</v>
      </c>
      <c r="BI46" s="246">
        <f t="shared" si="5"/>
        <v>2329445.3092260091</v>
      </c>
      <c r="BN46" s="175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</row>
    <row r="47" spans="2:81" x14ac:dyDescent="0.2">
      <c r="AT47" s="173" t="s">
        <v>466</v>
      </c>
      <c r="AU47" s="246">
        <f t="shared" si="1"/>
        <v>94146.207140653787</v>
      </c>
      <c r="AV47" s="246">
        <f t="shared" ref="AV47:BI47" si="6">AV92</f>
        <v>257.99399332425372</v>
      </c>
      <c r="AW47" s="246">
        <f t="shared" si="6"/>
        <v>23309.045257575242</v>
      </c>
      <c r="AX47" s="246">
        <f t="shared" si="6"/>
        <v>0</v>
      </c>
      <c r="AY47" s="246">
        <f t="shared" si="6"/>
        <v>0</v>
      </c>
      <c r="AZ47" s="246">
        <f t="shared" si="6"/>
        <v>0</v>
      </c>
      <c r="BA47" s="246">
        <f t="shared" si="6"/>
        <v>0</v>
      </c>
      <c r="BB47" s="246">
        <f t="shared" si="6"/>
        <v>0</v>
      </c>
      <c r="BC47" s="246">
        <f t="shared" si="6"/>
        <v>0</v>
      </c>
      <c r="BD47" s="246">
        <f t="shared" si="6"/>
        <v>0</v>
      </c>
      <c r="BE47" s="246">
        <f t="shared" si="6"/>
        <v>0</v>
      </c>
      <c r="BF47" s="246">
        <f t="shared" si="6"/>
        <v>0</v>
      </c>
      <c r="BG47" s="246">
        <f t="shared" si="6"/>
        <v>0</v>
      </c>
      <c r="BH47" s="246">
        <f t="shared" si="6"/>
        <v>0</v>
      </c>
      <c r="BI47" s="246">
        <f t="shared" si="6"/>
        <v>0</v>
      </c>
      <c r="BN47" s="175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</row>
    <row r="48" spans="2:81" x14ac:dyDescent="0.2">
      <c r="AT48" s="173" t="s">
        <v>467</v>
      </c>
      <c r="AU48" s="246">
        <f t="shared" si="1"/>
        <v>0</v>
      </c>
      <c r="AV48" s="246">
        <f t="shared" ref="AV48:BI48" si="7">AV93</f>
        <v>24.076233417548465</v>
      </c>
      <c r="AW48" s="246">
        <f t="shared" si="7"/>
        <v>0</v>
      </c>
      <c r="AX48" s="246">
        <f t="shared" si="7"/>
        <v>0</v>
      </c>
      <c r="AY48" s="246">
        <f t="shared" si="7"/>
        <v>0</v>
      </c>
      <c r="AZ48" s="246">
        <f t="shared" si="7"/>
        <v>0</v>
      </c>
      <c r="BA48" s="246">
        <f t="shared" si="7"/>
        <v>0</v>
      </c>
      <c r="BB48" s="246">
        <f t="shared" si="7"/>
        <v>0</v>
      </c>
      <c r="BC48" s="246">
        <f t="shared" si="7"/>
        <v>0</v>
      </c>
      <c r="BD48" s="246">
        <f t="shared" si="7"/>
        <v>0</v>
      </c>
      <c r="BE48" s="246">
        <f t="shared" si="7"/>
        <v>0</v>
      </c>
      <c r="BF48" s="246">
        <f t="shared" si="7"/>
        <v>0</v>
      </c>
      <c r="BG48" s="246">
        <f t="shared" si="7"/>
        <v>0</v>
      </c>
      <c r="BH48" s="246">
        <f t="shared" si="7"/>
        <v>0</v>
      </c>
      <c r="BI48" s="246">
        <f t="shared" si="7"/>
        <v>0</v>
      </c>
      <c r="BN48" s="175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</row>
    <row r="49" spans="46:81" x14ac:dyDescent="0.2">
      <c r="AT49" s="173" t="s">
        <v>411</v>
      </c>
      <c r="AU49" s="246">
        <f t="shared" si="1"/>
        <v>0</v>
      </c>
      <c r="AV49" s="246">
        <f t="shared" ref="AV49:BI49" si="8">AV94</f>
        <v>0</v>
      </c>
      <c r="AW49" s="246">
        <f t="shared" si="8"/>
        <v>0</v>
      </c>
      <c r="AX49" s="246">
        <f t="shared" si="8"/>
        <v>0</v>
      </c>
      <c r="AY49" s="246">
        <f t="shared" si="8"/>
        <v>0</v>
      </c>
      <c r="AZ49" s="246">
        <f t="shared" si="8"/>
        <v>0</v>
      </c>
      <c r="BA49" s="246">
        <f t="shared" si="8"/>
        <v>0</v>
      </c>
      <c r="BB49" s="246">
        <f t="shared" si="8"/>
        <v>0</v>
      </c>
      <c r="BC49" s="246">
        <f t="shared" si="8"/>
        <v>0</v>
      </c>
      <c r="BD49" s="246">
        <f t="shared" si="8"/>
        <v>0</v>
      </c>
      <c r="BE49" s="246">
        <f t="shared" si="8"/>
        <v>0</v>
      </c>
      <c r="BF49" s="246">
        <f t="shared" si="8"/>
        <v>0</v>
      </c>
      <c r="BG49" s="246">
        <f t="shared" si="8"/>
        <v>0</v>
      </c>
      <c r="BH49" s="246">
        <f t="shared" si="8"/>
        <v>0</v>
      </c>
      <c r="BI49" s="246">
        <f t="shared" si="8"/>
        <v>29112.263489807588</v>
      </c>
      <c r="BN49" s="175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</row>
    <row r="50" spans="46:81" x14ac:dyDescent="0.2">
      <c r="AT50" s="173" t="s">
        <v>459</v>
      </c>
      <c r="AU50" s="246">
        <f t="shared" si="1"/>
        <v>0</v>
      </c>
      <c r="AV50" s="246">
        <f t="shared" ref="AV50:BI50" si="9">AV95</f>
        <v>0</v>
      </c>
      <c r="AW50" s="246">
        <f t="shared" si="9"/>
        <v>80616.370239891301</v>
      </c>
      <c r="AX50" s="246">
        <f t="shared" si="9"/>
        <v>609792.2517593482</v>
      </c>
      <c r="AY50" s="246">
        <f t="shared" si="9"/>
        <v>2824.8856477449194</v>
      </c>
      <c r="AZ50" s="246">
        <f t="shared" si="9"/>
        <v>282.1287710315147</v>
      </c>
      <c r="BA50" s="246">
        <f t="shared" si="9"/>
        <v>12626.098826338684</v>
      </c>
      <c r="BB50" s="246">
        <f t="shared" si="9"/>
        <v>34.678095164114971</v>
      </c>
      <c r="BC50" s="246">
        <f t="shared" si="9"/>
        <v>50.358084153937838</v>
      </c>
      <c r="BD50" s="246">
        <f t="shared" si="9"/>
        <v>0</v>
      </c>
      <c r="BE50" s="246">
        <f t="shared" si="9"/>
        <v>0</v>
      </c>
      <c r="BF50" s="246">
        <f t="shared" si="9"/>
        <v>33191.859393697465</v>
      </c>
      <c r="BG50" s="246">
        <f t="shared" si="9"/>
        <v>0</v>
      </c>
      <c r="BH50" s="246">
        <f t="shared" si="9"/>
        <v>0</v>
      </c>
      <c r="BI50" s="246">
        <f t="shared" si="9"/>
        <v>318930.1042317453</v>
      </c>
      <c r="BN50" s="175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</row>
    <row r="51" spans="46:81" ht="16" x14ac:dyDescent="0.2">
      <c r="AT51" s="174" t="s">
        <v>442</v>
      </c>
      <c r="AU51" s="246">
        <f t="shared" si="1"/>
        <v>0</v>
      </c>
      <c r="AV51" s="246">
        <f t="shared" ref="AV51:BI51" si="10">AV96</f>
        <v>0</v>
      </c>
      <c r="AW51" s="246">
        <f t="shared" si="10"/>
        <v>0</v>
      </c>
      <c r="AX51" s="246">
        <f t="shared" si="10"/>
        <v>108184.8596728804</v>
      </c>
      <c r="AY51" s="246">
        <f t="shared" si="10"/>
        <v>0</v>
      </c>
      <c r="AZ51" s="246">
        <f t="shared" si="10"/>
        <v>0</v>
      </c>
      <c r="BA51" s="246">
        <f t="shared" si="10"/>
        <v>0</v>
      </c>
      <c r="BB51" s="246">
        <f t="shared" si="10"/>
        <v>0</v>
      </c>
      <c r="BC51" s="246">
        <f t="shared" si="10"/>
        <v>0</v>
      </c>
      <c r="BD51" s="246">
        <f t="shared" si="10"/>
        <v>0</v>
      </c>
      <c r="BE51" s="246">
        <f t="shared" si="10"/>
        <v>0</v>
      </c>
      <c r="BF51" s="246">
        <f t="shared" si="10"/>
        <v>0</v>
      </c>
      <c r="BG51" s="246">
        <f t="shared" si="10"/>
        <v>0</v>
      </c>
      <c r="BH51" s="246">
        <f t="shared" si="10"/>
        <v>0</v>
      </c>
      <c r="BI51" s="246">
        <f t="shared" si="10"/>
        <v>0</v>
      </c>
      <c r="BN51" s="175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</row>
    <row r="52" spans="46:81" x14ac:dyDescent="0.2">
      <c r="AT52" s="173" t="s">
        <v>409</v>
      </c>
      <c r="AU52" s="246">
        <f t="shared" si="1"/>
        <v>0</v>
      </c>
      <c r="AV52" s="246">
        <f t="shared" ref="AV52:BI52" si="11">AV97</f>
        <v>0</v>
      </c>
      <c r="AW52" s="246">
        <f t="shared" si="11"/>
        <v>0</v>
      </c>
      <c r="AX52" s="246">
        <f t="shared" si="11"/>
        <v>0</v>
      </c>
      <c r="AY52" s="246">
        <f t="shared" si="11"/>
        <v>0</v>
      </c>
      <c r="AZ52" s="246">
        <f t="shared" si="11"/>
        <v>0</v>
      </c>
      <c r="BA52" s="246">
        <f t="shared" si="11"/>
        <v>0</v>
      </c>
      <c r="BB52" s="246">
        <f t="shared" si="11"/>
        <v>0</v>
      </c>
      <c r="BC52" s="246">
        <f t="shared" si="11"/>
        <v>0</v>
      </c>
      <c r="BD52" s="246">
        <f t="shared" si="11"/>
        <v>0</v>
      </c>
      <c r="BE52" s="246">
        <f t="shared" si="11"/>
        <v>0</v>
      </c>
      <c r="BF52" s="246">
        <f t="shared" si="11"/>
        <v>0</v>
      </c>
      <c r="BG52" s="246">
        <f t="shared" si="11"/>
        <v>0</v>
      </c>
      <c r="BH52" s="246">
        <f t="shared" si="11"/>
        <v>0</v>
      </c>
      <c r="BI52" s="246">
        <f t="shared" si="11"/>
        <v>0</v>
      </c>
      <c r="BN52" s="175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</row>
    <row r="53" spans="46:81" ht="16" x14ac:dyDescent="0.2">
      <c r="AT53" s="174" t="s">
        <v>412</v>
      </c>
      <c r="AU53" s="246">
        <f t="shared" si="1"/>
        <v>0</v>
      </c>
      <c r="AV53" s="246">
        <f t="shared" ref="AV53:BI53" si="12">AV98</f>
        <v>0</v>
      </c>
      <c r="AW53" s="246">
        <f t="shared" si="12"/>
        <v>0</v>
      </c>
      <c r="AX53" s="246">
        <f t="shared" si="12"/>
        <v>0</v>
      </c>
      <c r="AY53" s="246">
        <f t="shared" si="12"/>
        <v>25297.051877142174</v>
      </c>
      <c r="AZ53" s="246">
        <f t="shared" si="12"/>
        <v>0</v>
      </c>
      <c r="BA53" s="246">
        <f t="shared" si="12"/>
        <v>0</v>
      </c>
      <c r="BB53" s="246">
        <f t="shared" si="12"/>
        <v>0</v>
      </c>
      <c r="BC53" s="246">
        <f t="shared" si="12"/>
        <v>0</v>
      </c>
      <c r="BD53" s="246">
        <f t="shared" si="12"/>
        <v>0</v>
      </c>
      <c r="BE53" s="246">
        <f t="shared" si="12"/>
        <v>0</v>
      </c>
      <c r="BF53" s="246">
        <f t="shared" si="12"/>
        <v>0</v>
      </c>
      <c r="BG53" s="246">
        <f t="shared" si="12"/>
        <v>0</v>
      </c>
      <c r="BH53" s="246">
        <f t="shared" si="12"/>
        <v>0</v>
      </c>
      <c r="BI53" s="246">
        <f t="shared" si="12"/>
        <v>0</v>
      </c>
      <c r="BN53" s="175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</row>
    <row r="54" spans="46:81" x14ac:dyDescent="0.2">
      <c r="AT54" s="173" t="s">
        <v>437</v>
      </c>
      <c r="AU54" s="246">
        <f t="shared" si="1"/>
        <v>0</v>
      </c>
      <c r="AV54" s="246">
        <f t="shared" ref="AV54:BI54" si="13">AV99</f>
        <v>0</v>
      </c>
      <c r="AW54" s="246">
        <f t="shared" si="13"/>
        <v>0</v>
      </c>
      <c r="AX54" s="246">
        <f t="shared" si="13"/>
        <v>0</v>
      </c>
      <c r="AY54" s="246">
        <f t="shared" si="13"/>
        <v>0</v>
      </c>
      <c r="AZ54" s="246">
        <f t="shared" si="13"/>
        <v>0</v>
      </c>
      <c r="BA54" s="246">
        <f t="shared" si="13"/>
        <v>0</v>
      </c>
      <c r="BB54" s="246">
        <f t="shared" si="13"/>
        <v>0</v>
      </c>
      <c r="BC54" s="246">
        <f t="shared" si="13"/>
        <v>0</v>
      </c>
      <c r="BD54" s="246">
        <f t="shared" si="13"/>
        <v>0</v>
      </c>
      <c r="BE54" s="246">
        <f t="shared" si="13"/>
        <v>0</v>
      </c>
      <c r="BF54" s="246">
        <f t="shared" si="13"/>
        <v>0</v>
      </c>
      <c r="BG54" s="246">
        <f t="shared" si="13"/>
        <v>0</v>
      </c>
      <c r="BH54" s="246">
        <f t="shared" si="13"/>
        <v>0</v>
      </c>
      <c r="BI54" s="246">
        <f t="shared" si="13"/>
        <v>0</v>
      </c>
      <c r="BN54" s="175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</row>
    <row r="55" spans="46:81" x14ac:dyDescent="0.2">
      <c r="AT55" s="175" t="s">
        <v>430</v>
      </c>
      <c r="AU55" s="246">
        <f t="shared" si="1"/>
        <v>0</v>
      </c>
      <c r="AV55" s="246">
        <f t="shared" ref="AV55:BI55" si="14">AV100</f>
        <v>0</v>
      </c>
      <c r="AW55" s="246">
        <f t="shared" si="14"/>
        <v>0</v>
      </c>
      <c r="AX55" s="246">
        <f t="shared" si="14"/>
        <v>0</v>
      </c>
      <c r="AY55" s="246">
        <f t="shared" si="14"/>
        <v>0</v>
      </c>
      <c r="AZ55" s="246">
        <f t="shared" si="14"/>
        <v>8855804.320336977</v>
      </c>
      <c r="BA55" s="246">
        <f t="shared" si="14"/>
        <v>0</v>
      </c>
      <c r="BB55" s="246">
        <f t="shared" si="14"/>
        <v>0</v>
      </c>
      <c r="BC55" s="246">
        <f t="shared" si="14"/>
        <v>0</v>
      </c>
      <c r="BD55" s="246">
        <f t="shared" si="14"/>
        <v>0</v>
      </c>
      <c r="BE55" s="246">
        <f t="shared" si="14"/>
        <v>0</v>
      </c>
      <c r="BF55" s="246">
        <f t="shared" si="14"/>
        <v>0</v>
      </c>
      <c r="BG55" s="246">
        <f t="shared" si="14"/>
        <v>0</v>
      </c>
      <c r="BH55" s="246">
        <f t="shared" si="14"/>
        <v>0</v>
      </c>
      <c r="BI55" s="246">
        <f t="shared" si="14"/>
        <v>0</v>
      </c>
      <c r="BN55" s="175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</row>
    <row r="56" spans="46:81" x14ac:dyDescent="0.2">
      <c r="AT56" s="173" t="s">
        <v>416</v>
      </c>
      <c r="AU56" s="246">
        <f t="shared" si="1"/>
        <v>0</v>
      </c>
      <c r="AV56" s="246">
        <f t="shared" ref="AV56:BI56" si="15">AV101</f>
        <v>0</v>
      </c>
      <c r="AW56" s="246">
        <f t="shared" si="15"/>
        <v>0</v>
      </c>
      <c r="AX56" s="246">
        <f t="shared" si="15"/>
        <v>0</v>
      </c>
      <c r="AY56" s="246">
        <f t="shared" si="15"/>
        <v>0</v>
      </c>
      <c r="AZ56" s="246">
        <f t="shared" si="15"/>
        <v>0</v>
      </c>
      <c r="BA56" s="246">
        <f t="shared" si="15"/>
        <v>0</v>
      </c>
      <c r="BB56" s="246">
        <f t="shared" si="15"/>
        <v>0</v>
      </c>
      <c r="BC56" s="246">
        <f t="shared" si="15"/>
        <v>0</v>
      </c>
      <c r="BD56" s="246">
        <f t="shared" si="15"/>
        <v>0</v>
      </c>
      <c r="BE56" s="246">
        <f t="shared" si="15"/>
        <v>0</v>
      </c>
      <c r="BF56" s="246">
        <f t="shared" si="15"/>
        <v>0</v>
      </c>
      <c r="BG56" s="246">
        <f t="shared" si="15"/>
        <v>0</v>
      </c>
      <c r="BH56" s="246">
        <f t="shared" si="15"/>
        <v>0</v>
      </c>
      <c r="BI56" s="246">
        <f t="shared" si="15"/>
        <v>0</v>
      </c>
      <c r="BN56" s="175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</row>
    <row r="57" spans="46:81" ht="16" x14ac:dyDescent="0.2">
      <c r="AT57" s="174" t="s">
        <v>441</v>
      </c>
      <c r="AU57" s="246">
        <f t="shared" si="1"/>
        <v>0</v>
      </c>
      <c r="AV57" s="246">
        <f t="shared" ref="AV57:BI57" si="16">AV102</f>
        <v>0</v>
      </c>
      <c r="AW57" s="246">
        <f t="shared" si="16"/>
        <v>0</v>
      </c>
      <c r="AX57" s="246">
        <f t="shared" si="16"/>
        <v>0</v>
      </c>
      <c r="AY57" s="246">
        <f t="shared" si="16"/>
        <v>0</v>
      </c>
      <c r="AZ57" s="246">
        <f t="shared" si="16"/>
        <v>0</v>
      </c>
      <c r="BA57" s="246">
        <f t="shared" si="16"/>
        <v>108184.8596728804</v>
      </c>
      <c r="BB57" s="246">
        <f t="shared" si="16"/>
        <v>0</v>
      </c>
      <c r="BC57" s="246">
        <f t="shared" si="16"/>
        <v>0</v>
      </c>
      <c r="BD57" s="246">
        <f t="shared" si="16"/>
        <v>0</v>
      </c>
      <c r="BE57" s="246">
        <f t="shared" si="16"/>
        <v>0</v>
      </c>
      <c r="BF57" s="246">
        <f t="shared" si="16"/>
        <v>0</v>
      </c>
      <c r="BG57" s="246">
        <f t="shared" si="16"/>
        <v>0</v>
      </c>
      <c r="BH57" s="246">
        <f t="shared" si="16"/>
        <v>0</v>
      </c>
      <c r="BI57" s="246">
        <f t="shared" si="16"/>
        <v>0</v>
      </c>
      <c r="BN57" s="175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</row>
    <row r="58" spans="46:81" ht="16" x14ac:dyDescent="0.2">
      <c r="AT58" s="174" t="s">
        <v>436</v>
      </c>
      <c r="AU58" s="246">
        <f t="shared" si="1"/>
        <v>0</v>
      </c>
      <c r="AV58" s="246">
        <f t="shared" ref="AV58:BI58" si="17">AV103</f>
        <v>0</v>
      </c>
      <c r="AW58" s="246">
        <f t="shared" si="17"/>
        <v>0</v>
      </c>
      <c r="AX58" s="246">
        <f t="shared" si="17"/>
        <v>0</v>
      </c>
      <c r="AY58" s="246">
        <f t="shared" si="17"/>
        <v>0</v>
      </c>
      <c r="AZ58" s="246">
        <f t="shared" si="17"/>
        <v>0</v>
      </c>
      <c r="BA58" s="246">
        <f t="shared" si="17"/>
        <v>0</v>
      </c>
      <c r="BB58" s="246">
        <f t="shared" si="17"/>
        <v>25297.051877142174</v>
      </c>
      <c r="BC58" s="246">
        <f t="shared" si="17"/>
        <v>0</v>
      </c>
      <c r="BD58" s="246">
        <f t="shared" si="17"/>
        <v>0</v>
      </c>
      <c r="BE58" s="246">
        <f t="shared" si="17"/>
        <v>0</v>
      </c>
      <c r="BF58" s="246">
        <f t="shared" si="17"/>
        <v>0</v>
      </c>
      <c r="BG58" s="246">
        <f t="shared" si="17"/>
        <v>0</v>
      </c>
      <c r="BH58" s="246">
        <f t="shared" si="17"/>
        <v>0</v>
      </c>
      <c r="BI58" s="246">
        <f t="shared" si="17"/>
        <v>0</v>
      </c>
      <c r="BN58" s="175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</row>
    <row r="59" spans="46:81" ht="16" x14ac:dyDescent="0.2">
      <c r="AT59" s="174" t="s">
        <v>433</v>
      </c>
      <c r="AU59" s="246">
        <f t="shared" si="1"/>
        <v>0</v>
      </c>
      <c r="AV59" s="246">
        <f t="shared" ref="AV59:BI59" si="18">AV104</f>
        <v>0</v>
      </c>
      <c r="AW59" s="246">
        <f t="shared" si="18"/>
        <v>0</v>
      </c>
      <c r="AX59" s="246">
        <f t="shared" si="18"/>
        <v>0</v>
      </c>
      <c r="AY59" s="246">
        <f t="shared" si="18"/>
        <v>0</v>
      </c>
      <c r="AZ59" s="246">
        <f t="shared" si="18"/>
        <v>0</v>
      </c>
      <c r="BA59" s="246">
        <f t="shared" si="18"/>
        <v>0</v>
      </c>
      <c r="BB59" s="246">
        <f t="shared" si="18"/>
        <v>0</v>
      </c>
      <c r="BC59" s="246">
        <f t="shared" si="18"/>
        <v>8855804.320336977</v>
      </c>
      <c r="BD59" s="246">
        <f t="shared" si="18"/>
        <v>0</v>
      </c>
      <c r="BE59" s="246">
        <f t="shared" si="18"/>
        <v>0</v>
      </c>
      <c r="BF59" s="246">
        <f t="shared" si="18"/>
        <v>0</v>
      </c>
      <c r="BG59" s="246">
        <f t="shared" si="18"/>
        <v>0</v>
      </c>
      <c r="BH59" s="246">
        <f t="shared" si="18"/>
        <v>0</v>
      </c>
      <c r="BI59" s="246">
        <f t="shared" si="18"/>
        <v>0</v>
      </c>
      <c r="BN59" s="175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</row>
    <row r="60" spans="46:81" ht="16" x14ac:dyDescent="0.2">
      <c r="AT60" s="174" t="s">
        <v>439</v>
      </c>
      <c r="AU60" s="246">
        <f t="shared" si="1"/>
        <v>0</v>
      </c>
      <c r="AV60" s="246">
        <f t="shared" ref="AV60:BI60" si="19">AV105</f>
        <v>0</v>
      </c>
      <c r="AW60" s="246">
        <f t="shared" si="19"/>
        <v>0</v>
      </c>
      <c r="AX60" s="246">
        <f t="shared" si="19"/>
        <v>0</v>
      </c>
      <c r="AY60" s="246">
        <f t="shared" si="19"/>
        <v>0</v>
      </c>
      <c r="AZ60" s="246">
        <f t="shared" si="19"/>
        <v>0</v>
      </c>
      <c r="BA60" s="246">
        <f t="shared" si="19"/>
        <v>0</v>
      </c>
      <c r="BB60" s="246">
        <f t="shared" si="19"/>
        <v>0</v>
      </c>
      <c r="BC60" s="246">
        <f t="shared" si="19"/>
        <v>0</v>
      </c>
      <c r="BD60" s="246">
        <f t="shared" si="19"/>
        <v>0</v>
      </c>
      <c r="BE60" s="246">
        <f t="shared" si="19"/>
        <v>0</v>
      </c>
      <c r="BF60" s="246">
        <f t="shared" si="19"/>
        <v>0</v>
      </c>
      <c r="BG60" s="246">
        <f t="shared" si="19"/>
        <v>0</v>
      </c>
      <c r="BH60" s="246">
        <f t="shared" si="19"/>
        <v>88071.706245154463</v>
      </c>
      <c r="BI60" s="246">
        <f t="shared" si="19"/>
        <v>0</v>
      </c>
      <c r="BN60" s="175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</row>
    <row r="61" spans="46:81" x14ac:dyDescent="0.2">
      <c r="AT61" s="175" t="s">
        <v>438</v>
      </c>
      <c r="AU61" s="246">
        <f t="shared" si="1"/>
        <v>0</v>
      </c>
      <c r="AV61" s="246">
        <f t="shared" ref="AV61:BI61" si="20">AV106</f>
        <v>0</v>
      </c>
      <c r="AW61" s="246">
        <f t="shared" si="20"/>
        <v>0</v>
      </c>
      <c r="AX61" s="246">
        <f t="shared" si="20"/>
        <v>0</v>
      </c>
      <c r="AY61" s="246">
        <f t="shared" si="20"/>
        <v>0</v>
      </c>
      <c r="AZ61" s="246">
        <f t="shared" si="20"/>
        <v>0</v>
      </c>
      <c r="BA61" s="246">
        <f t="shared" si="20"/>
        <v>0</v>
      </c>
      <c r="BB61" s="246">
        <f t="shared" si="20"/>
        <v>0</v>
      </c>
      <c r="BC61" s="246">
        <f t="shared" si="20"/>
        <v>0</v>
      </c>
      <c r="BD61" s="246">
        <f t="shared" si="20"/>
        <v>0</v>
      </c>
      <c r="BE61" s="246">
        <f t="shared" si="20"/>
        <v>0</v>
      </c>
      <c r="BF61" s="246">
        <f t="shared" si="20"/>
        <v>0</v>
      </c>
      <c r="BG61" s="246">
        <f t="shared" si="20"/>
        <v>0</v>
      </c>
      <c r="BH61" s="246">
        <f t="shared" si="20"/>
        <v>0</v>
      </c>
      <c r="BI61" s="246">
        <f t="shared" si="20"/>
        <v>0</v>
      </c>
      <c r="BN61" s="175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</row>
    <row r="62" spans="46:81" x14ac:dyDescent="0.2">
      <c r="AT62" s="175" t="s">
        <v>424</v>
      </c>
      <c r="AU62" s="246">
        <f t="shared" si="1"/>
        <v>0</v>
      </c>
      <c r="AV62" s="246">
        <f t="shared" ref="AV62:BI62" si="21">AV107</f>
        <v>0</v>
      </c>
      <c r="AW62" s="246">
        <f t="shared" si="21"/>
        <v>0</v>
      </c>
      <c r="AX62" s="246">
        <f t="shared" si="21"/>
        <v>0</v>
      </c>
      <c r="AY62" s="246">
        <f t="shared" si="21"/>
        <v>0</v>
      </c>
      <c r="AZ62" s="246">
        <f t="shared" si="21"/>
        <v>0</v>
      </c>
      <c r="BA62" s="246">
        <f t="shared" si="21"/>
        <v>0</v>
      </c>
      <c r="BB62" s="246">
        <f t="shared" si="21"/>
        <v>0</v>
      </c>
      <c r="BC62" s="246">
        <f t="shared" si="21"/>
        <v>0</v>
      </c>
      <c r="BD62" s="246">
        <f t="shared" si="21"/>
        <v>25297.051877142174</v>
      </c>
      <c r="BE62" s="246">
        <f t="shared" si="21"/>
        <v>0</v>
      </c>
      <c r="BF62" s="246">
        <f t="shared" si="21"/>
        <v>0</v>
      </c>
      <c r="BG62" s="246">
        <f t="shared" si="21"/>
        <v>0</v>
      </c>
      <c r="BH62" s="246">
        <f t="shared" si="21"/>
        <v>0</v>
      </c>
      <c r="BI62" s="246">
        <f t="shared" si="21"/>
        <v>0</v>
      </c>
      <c r="BN62" s="175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</row>
    <row r="63" spans="46:81" x14ac:dyDescent="0.2">
      <c r="AT63" s="175" t="s">
        <v>456</v>
      </c>
      <c r="AU63" s="246">
        <f t="shared" si="1"/>
        <v>0</v>
      </c>
      <c r="AV63" s="246">
        <f t="shared" ref="AV63:BI63" si="22">AV108</f>
        <v>0</v>
      </c>
      <c r="AW63" s="246">
        <f t="shared" si="22"/>
        <v>0</v>
      </c>
      <c r="AX63" s="246">
        <f t="shared" si="22"/>
        <v>0</v>
      </c>
      <c r="AY63" s="246">
        <f t="shared" si="22"/>
        <v>0</v>
      </c>
      <c r="AZ63" s="246">
        <f t="shared" si="22"/>
        <v>0</v>
      </c>
      <c r="BA63" s="246">
        <f t="shared" si="22"/>
        <v>0</v>
      </c>
      <c r="BB63" s="246">
        <f t="shared" si="22"/>
        <v>0</v>
      </c>
      <c r="BC63" s="246">
        <f t="shared" si="22"/>
        <v>0</v>
      </c>
      <c r="BD63" s="246">
        <f t="shared" si="22"/>
        <v>0</v>
      </c>
      <c r="BE63" s="246">
        <f t="shared" si="22"/>
        <v>8855804.320336977</v>
      </c>
      <c r="BF63" s="246">
        <f t="shared" si="22"/>
        <v>0</v>
      </c>
      <c r="BG63" s="246">
        <f t="shared" si="22"/>
        <v>0</v>
      </c>
      <c r="BH63" s="246">
        <f t="shared" si="22"/>
        <v>0</v>
      </c>
      <c r="BI63" s="246">
        <f t="shared" si="22"/>
        <v>0</v>
      </c>
      <c r="BN63" s="175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</row>
    <row r="64" spans="46:81" x14ac:dyDescent="0.2">
      <c r="AT64" s="175" t="s">
        <v>425</v>
      </c>
      <c r="AU64" s="246">
        <f t="shared" si="1"/>
        <v>0</v>
      </c>
      <c r="AV64" s="246">
        <f t="shared" ref="AV64:BI64" si="23">AV109</f>
        <v>0</v>
      </c>
      <c r="AW64" s="246">
        <f t="shared" si="23"/>
        <v>0</v>
      </c>
      <c r="AX64" s="246">
        <f t="shared" si="23"/>
        <v>0</v>
      </c>
      <c r="AY64" s="246">
        <f t="shared" si="23"/>
        <v>0</v>
      </c>
      <c r="AZ64" s="246">
        <f t="shared" si="23"/>
        <v>0</v>
      </c>
      <c r="BA64" s="246">
        <f t="shared" si="23"/>
        <v>0</v>
      </c>
      <c r="BB64" s="246">
        <f t="shared" si="23"/>
        <v>0</v>
      </c>
      <c r="BC64" s="246">
        <f t="shared" si="23"/>
        <v>0</v>
      </c>
      <c r="BD64" s="246">
        <f t="shared" si="23"/>
        <v>0</v>
      </c>
      <c r="BE64" s="246">
        <f t="shared" si="23"/>
        <v>0</v>
      </c>
      <c r="BF64" s="246">
        <f t="shared" si="23"/>
        <v>0</v>
      </c>
      <c r="BG64" s="246">
        <f t="shared" si="23"/>
        <v>0</v>
      </c>
      <c r="BH64" s="246">
        <f t="shared" si="23"/>
        <v>242016.07607977447</v>
      </c>
      <c r="BI64" s="246">
        <f t="shared" si="23"/>
        <v>0</v>
      </c>
      <c r="BN64" s="175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</row>
    <row r="65" spans="46:81" x14ac:dyDescent="0.2">
      <c r="AT65" s="175" t="s">
        <v>427</v>
      </c>
      <c r="AU65" s="246">
        <f t="shared" si="1"/>
        <v>0</v>
      </c>
      <c r="AV65" s="246">
        <f t="shared" ref="AV65:BI65" si="24">AV110</f>
        <v>0</v>
      </c>
      <c r="AW65" s="246">
        <f t="shared" si="24"/>
        <v>0</v>
      </c>
      <c r="AX65" s="246">
        <f t="shared" si="24"/>
        <v>0</v>
      </c>
      <c r="AY65" s="246">
        <f t="shared" si="24"/>
        <v>0</v>
      </c>
      <c r="AZ65" s="246">
        <f t="shared" si="24"/>
        <v>0</v>
      </c>
      <c r="BA65" s="246">
        <f t="shared" si="24"/>
        <v>0</v>
      </c>
      <c r="BB65" s="246">
        <f t="shared" si="24"/>
        <v>0</v>
      </c>
      <c r="BC65" s="246">
        <f t="shared" si="24"/>
        <v>0</v>
      </c>
      <c r="BD65" s="246">
        <f t="shared" si="24"/>
        <v>0</v>
      </c>
      <c r="BE65" s="246">
        <f t="shared" si="24"/>
        <v>0</v>
      </c>
      <c r="BF65" s="246">
        <f t="shared" si="24"/>
        <v>0</v>
      </c>
      <c r="BG65" s="246">
        <f t="shared" si="24"/>
        <v>0</v>
      </c>
      <c r="BH65" s="246">
        <f t="shared" si="24"/>
        <v>0</v>
      </c>
      <c r="BI65" s="246">
        <f t="shared" si="24"/>
        <v>0</v>
      </c>
      <c r="BN65" s="175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</row>
    <row r="66" spans="46:81" x14ac:dyDescent="0.2">
      <c r="AT66" s="175" t="s">
        <v>426</v>
      </c>
      <c r="AU66" s="246">
        <f t="shared" si="1"/>
        <v>0</v>
      </c>
      <c r="AV66" s="246">
        <f t="shared" ref="AV66:BI66" si="25">AV111</f>
        <v>0</v>
      </c>
      <c r="AW66" s="246">
        <f t="shared" si="25"/>
        <v>0</v>
      </c>
      <c r="AX66" s="246">
        <f t="shared" si="25"/>
        <v>0</v>
      </c>
      <c r="AY66" s="246">
        <f t="shared" si="25"/>
        <v>0</v>
      </c>
      <c r="AZ66" s="246">
        <f t="shared" si="25"/>
        <v>0</v>
      </c>
      <c r="BA66" s="246">
        <f t="shared" si="25"/>
        <v>0</v>
      </c>
      <c r="BB66" s="246">
        <f t="shared" si="25"/>
        <v>0</v>
      </c>
      <c r="BC66" s="246">
        <f t="shared" si="25"/>
        <v>0</v>
      </c>
      <c r="BD66" s="246">
        <f t="shared" si="25"/>
        <v>0</v>
      </c>
      <c r="BE66" s="246">
        <f t="shared" si="25"/>
        <v>0</v>
      </c>
      <c r="BF66" s="246">
        <f t="shared" si="25"/>
        <v>0</v>
      </c>
      <c r="BG66" s="246">
        <f t="shared" si="25"/>
        <v>0</v>
      </c>
      <c r="BH66" s="246">
        <f t="shared" si="25"/>
        <v>0</v>
      </c>
      <c r="BI66" s="246">
        <f t="shared" si="25"/>
        <v>0</v>
      </c>
      <c r="BN66" s="175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</row>
    <row r="67" spans="46:81" x14ac:dyDescent="0.2">
      <c r="AT67" s="175" t="s">
        <v>484</v>
      </c>
      <c r="AU67" s="246">
        <f t="shared" si="1"/>
        <v>0</v>
      </c>
      <c r="AV67" s="246">
        <f t="shared" ref="AV67:BI67" si="26">AV112</f>
        <v>0</v>
      </c>
      <c r="AW67" s="246">
        <f t="shared" si="26"/>
        <v>0</v>
      </c>
      <c r="AX67" s="246">
        <f t="shared" si="26"/>
        <v>0</v>
      </c>
      <c r="AY67" s="246">
        <f t="shared" si="26"/>
        <v>0</v>
      </c>
      <c r="AZ67" s="246">
        <f t="shared" si="26"/>
        <v>0</v>
      </c>
      <c r="BA67" s="246">
        <f t="shared" si="26"/>
        <v>0</v>
      </c>
      <c r="BB67" s="246">
        <f t="shared" si="26"/>
        <v>0</v>
      </c>
      <c r="BC67" s="246">
        <f t="shared" si="26"/>
        <v>0</v>
      </c>
      <c r="BD67" s="246">
        <f t="shared" si="26"/>
        <v>0</v>
      </c>
      <c r="BE67" s="246">
        <f t="shared" si="26"/>
        <v>0</v>
      </c>
      <c r="BF67" s="246">
        <f t="shared" si="26"/>
        <v>0</v>
      </c>
      <c r="BG67" s="246">
        <f t="shared" si="26"/>
        <v>0</v>
      </c>
      <c r="BH67" s="246">
        <f t="shared" si="26"/>
        <v>6408288.6211381694</v>
      </c>
      <c r="BI67" s="246">
        <f t="shared" si="26"/>
        <v>0</v>
      </c>
      <c r="BN67" s="175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</row>
    <row r="68" spans="46:81" ht="16" x14ac:dyDescent="0.2">
      <c r="AT68" s="215" t="s">
        <v>422</v>
      </c>
      <c r="AU68" s="246">
        <f t="shared" si="1"/>
        <v>0</v>
      </c>
      <c r="AV68" s="246">
        <f t="shared" ref="AV68:BI68" si="27">AV113</f>
        <v>0</v>
      </c>
      <c r="AW68" s="246">
        <f t="shared" si="27"/>
        <v>0</v>
      </c>
      <c r="AX68" s="246">
        <f t="shared" si="27"/>
        <v>0</v>
      </c>
      <c r="AY68" s="246">
        <f t="shared" si="27"/>
        <v>0</v>
      </c>
      <c r="AZ68" s="246">
        <f t="shared" si="27"/>
        <v>0</v>
      </c>
      <c r="BA68" s="246">
        <f t="shared" si="27"/>
        <v>0</v>
      </c>
      <c r="BB68" s="246">
        <f t="shared" si="27"/>
        <v>0</v>
      </c>
      <c r="BC68" s="246">
        <f t="shared" si="27"/>
        <v>0</v>
      </c>
      <c r="BD68" s="246">
        <f t="shared" si="27"/>
        <v>0</v>
      </c>
      <c r="BE68" s="246">
        <f t="shared" si="27"/>
        <v>0</v>
      </c>
      <c r="BF68" s="246">
        <f t="shared" si="27"/>
        <v>4026178.1360752485</v>
      </c>
      <c r="BG68" s="246">
        <f t="shared" si="27"/>
        <v>0</v>
      </c>
      <c r="BH68" s="246">
        <f t="shared" si="27"/>
        <v>0</v>
      </c>
      <c r="BI68" s="246">
        <f t="shared" si="27"/>
        <v>0</v>
      </c>
      <c r="BN68" s="175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</row>
    <row r="69" spans="46:81" ht="16" x14ac:dyDescent="0.2">
      <c r="AT69" s="215" t="s">
        <v>552</v>
      </c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  <c r="BG69" s="246"/>
      <c r="BH69" s="246"/>
      <c r="BI69" s="246"/>
      <c r="BN69" s="175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</row>
    <row r="70" spans="46:81" x14ac:dyDescent="0.2">
      <c r="AT70" s="175" t="s">
        <v>421</v>
      </c>
      <c r="AU70" s="246">
        <f t="shared" ref="AU70:AU77" si="28">AU115</f>
        <v>0</v>
      </c>
      <c r="AV70" s="246">
        <f t="shared" ref="AV70:BI70" si="29">AV115</f>
        <v>0</v>
      </c>
      <c r="AW70" s="246">
        <f t="shared" si="29"/>
        <v>0</v>
      </c>
      <c r="AX70" s="246">
        <f t="shared" si="29"/>
        <v>0</v>
      </c>
      <c r="AY70" s="246">
        <f t="shared" si="29"/>
        <v>0</v>
      </c>
      <c r="AZ70" s="246">
        <f t="shared" si="29"/>
        <v>0</v>
      </c>
      <c r="BA70" s="246">
        <f t="shared" si="29"/>
        <v>0</v>
      </c>
      <c r="BB70" s="246">
        <f t="shared" si="29"/>
        <v>0</v>
      </c>
      <c r="BC70" s="246">
        <f t="shared" si="29"/>
        <v>0</v>
      </c>
      <c r="BD70" s="246">
        <f t="shared" si="29"/>
        <v>0</v>
      </c>
      <c r="BE70" s="246">
        <f t="shared" si="29"/>
        <v>0</v>
      </c>
      <c r="BF70" s="246">
        <f t="shared" si="29"/>
        <v>0</v>
      </c>
      <c r="BG70" s="246">
        <f t="shared" si="29"/>
        <v>0</v>
      </c>
      <c r="BH70" s="246">
        <f t="shared" si="29"/>
        <v>0</v>
      </c>
      <c r="BI70" s="246">
        <f t="shared" si="29"/>
        <v>0</v>
      </c>
      <c r="BN70" s="175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</row>
    <row r="71" spans="46:81" x14ac:dyDescent="0.2">
      <c r="AT71" s="173" t="s">
        <v>423</v>
      </c>
      <c r="AU71" s="246">
        <f t="shared" si="28"/>
        <v>0</v>
      </c>
      <c r="AV71" s="246">
        <f t="shared" ref="AV71:BI71" si="30">AV116</f>
        <v>0</v>
      </c>
      <c r="AW71" s="246">
        <f t="shared" si="30"/>
        <v>0</v>
      </c>
      <c r="AX71" s="246">
        <f t="shared" si="30"/>
        <v>0</v>
      </c>
      <c r="AY71" s="246">
        <f t="shared" si="30"/>
        <v>0</v>
      </c>
      <c r="AZ71" s="246">
        <f t="shared" si="30"/>
        <v>0</v>
      </c>
      <c r="BA71" s="246">
        <f t="shared" si="30"/>
        <v>0</v>
      </c>
      <c r="BB71" s="246">
        <f t="shared" si="30"/>
        <v>0</v>
      </c>
      <c r="BC71" s="246">
        <f t="shared" si="30"/>
        <v>0</v>
      </c>
      <c r="BD71" s="246">
        <f t="shared" si="30"/>
        <v>0</v>
      </c>
      <c r="BE71" s="246">
        <f t="shared" si="30"/>
        <v>0</v>
      </c>
      <c r="BF71" s="246">
        <f t="shared" si="30"/>
        <v>0</v>
      </c>
      <c r="BG71" s="246">
        <f t="shared" si="30"/>
        <v>0</v>
      </c>
      <c r="BH71" s="246">
        <f t="shared" si="30"/>
        <v>0</v>
      </c>
      <c r="BI71" s="246">
        <f t="shared" si="30"/>
        <v>0</v>
      </c>
      <c r="BN71" s="175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</row>
    <row r="72" spans="46:81" x14ac:dyDescent="0.2">
      <c r="AT72" s="175" t="s">
        <v>515</v>
      </c>
      <c r="AU72" s="246">
        <f t="shared" si="28"/>
        <v>0</v>
      </c>
      <c r="AV72" s="246">
        <f t="shared" ref="AV72:BI72" si="31">AV117</f>
        <v>0</v>
      </c>
      <c r="AW72" s="246">
        <f t="shared" si="31"/>
        <v>0</v>
      </c>
      <c r="AX72" s="246">
        <f t="shared" si="31"/>
        <v>0</v>
      </c>
      <c r="AY72" s="246">
        <f t="shared" si="31"/>
        <v>0</v>
      </c>
      <c r="AZ72" s="246">
        <f t="shared" si="31"/>
        <v>0</v>
      </c>
      <c r="BA72" s="246">
        <f t="shared" si="31"/>
        <v>0</v>
      </c>
      <c r="BB72" s="246">
        <f t="shared" si="31"/>
        <v>0</v>
      </c>
      <c r="BC72" s="246">
        <f t="shared" si="31"/>
        <v>0</v>
      </c>
      <c r="BD72" s="246">
        <f t="shared" si="31"/>
        <v>0</v>
      </c>
      <c r="BE72" s="246">
        <f t="shared" si="31"/>
        <v>0</v>
      </c>
      <c r="BF72" s="246">
        <f t="shared" si="31"/>
        <v>0</v>
      </c>
      <c r="BG72" s="246">
        <f t="shared" si="31"/>
        <v>4043367.3234254471</v>
      </c>
      <c r="BH72" s="246">
        <f t="shared" si="31"/>
        <v>0</v>
      </c>
      <c r="BI72" s="246">
        <f t="shared" si="31"/>
        <v>0</v>
      </c>
      <c r="BN72" s="175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</row>
    <row r="73" spans="46:81" x14ac:dyDescent="0.2">
      <c r="AT73" s="175" t="s">
        <v>517</v>
      </c>
      <c r="AU73" s="246">
        <f t="shared" si="28"/>
        <v>0</v>
      </c>
      <c r="AV73" s="246">
        <f t="shared" ref="AV73" si="32">AV118</f>
        <v>0</v>
      </c>
      <c r="AW73" s="246">
        <f t="shared" ref="AW73" si="33">AW118</f>
        <v>0</v>
      </c>
      <c r="AX73" s="246">
        <f t="shared" ref="AX73" si="34">AX118</f>
        <v>0</v>
      </c>
      <c r="AY73" s="246">
        <f t="shared" ref="AY73" si="35">AY118</f>
        <v>0</v>
      </c>
      <c r="AZ73" s="246">
        <f t="shared" ref="AZ73" si="36">AZ118</f>
        <v>0</v>
      </c>
      <c r="BA73" s="246">
        <f t="shared" ref="BA73" si="37">BA118</f>
        <v>0</v>
      </c>
      <c r="BB73" s="246">
        <f t="shared" ref="BB73" si="38">BB118</f>
        <v>0</v>
      </c>
      <c r="BC73" s="246">
        <f t="shared" ref="BC73" si="39">BC118</f>
        <v>0</v>
      </c>
      <c r="BD73" s="246">
        <f t="shared" ref="BD73" si="40">BD118</f>
        <v>0</v>
      </c>
      <c r="BE73" s="246">
        <f t="shared" ref="BE73" si="41">BE118</f>
        <v>0</v>
      </c>
      <c r="BF73" s="246">
        <f t="shared" ref="BF73:BI73" si="42">BF118</f>
        <v>0</v>
      </c>
      <c r="BG73" s="246">
        <f t="shared" si="42"/>
        <v>0</v>
      </c>
      <c r="BH73" s="246">
        <f t="shared" si="42"/>
        <v>0</v>
      </c>
      <c r="BI73" s="246">
        <f t="shared" si="42"/>
        <v>2830357.1263978118</v>
      </c>
      <c r="BN73" s="175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</row>
    <row r="74" spans="46:81" x14ac:dyDescent="0.2">
      <c r="AT74" s="175" t="s">
        <v>445</v>
      </c>
      <c r="AU74" s="246">
        <f t="shared" si="28"/>
        <v>0</v>
      </c>
      <c r="AV74" s="246">
        <f t="shared" ref="AV74:BI74" si="43">AV119</f>
        <v>0</v>
      </c>
      <c r="AW74" s="246">
        <f t="shared" si="43"/>
        <v>0</v>
      </c>
      <c r="AX74" s="246">
        <f t="shared" si="43"/>
        <v>0</v>
      </c>
      <c r="AY74" s="246">
        <f t="shared" si="43"/>
        <v>0</v>
      </c>
      <c r="AZ74" s="246">
        <f t="shared" si="43"/>
        <v>0</v>
      </c>
      <c r="BA74" s="246">
        <f t="shared" si="43"/>
        <v>0</v>
      </c>
      <c r="BB74" s="246">
        <f t="shared" si="43"/>
        <v>0</v>
      </c>
      <c r="BC74" s="246">
        <f t="shared" si="43"/>
        <v>0</v>
      </c>
      <c r="BD74" s="246">
        <f t="shared" si="43"/>
        <v>0</v>
      </c>
      <c r="BE74" s="246">
        <f t="shared" si="43"/>
        <v>0</v>
      </c>
      <c r="BF74" s="246">
        <f t="shared" si="43"/>
        <v>0</v>
      </c>
      <c r="BG74" s="246">
        <f t="shared" si="43"/>
        <v>0</v>
      </c>
      <c r="BH74" s="246">
        <f t="shared" si="43"/>
        <v>0</v>
      </c>
      <c r="BI74" s="246">
        <f t="shared" si="43"/>
        <v>6682782.3361421349</v>
      </c>
      <c r="BN74" s="175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</row>
    <row r="75" spans="46:81" x14ac:dyDescent="0.2">
      <c r="AT75" s="175" t="s">
        <v>446</v>
      </c>
      <c r="AU75" s="246">
        <f t="shared" si="28"/>
        <v>0</v>
      </c>
      <c r="AV75" s="246">
        <f t="shared" ref="AV75:BI75" si="44">AV120</f>
        <v>0</v>
      </c>
      <c r="AW75" s="246">
        <f t="shared" si="44"/>
        <v>0</v>
      </c>
      <c r="AX75" s="246">
        <f t="shared" si="44"/>
        <v>0</v>
      </c>
      <c r="AY75" s="246">
        <f t="shared" si="44"/>
        <v>0</v>
      </c>
      <c r="AZ75" s="246">
        <f t="shared" si="44"/>
        <v>0</v>
      </c>
      <c r="BA75" s="246">
        <f t="shared" si="44"/>
        <v>0</v>
      </c>
      <c r="BB75" s="246">
        <f t="shared" si="44"/>
        <v>0</v>
      </c>
      <c r="BC75" s="246">
        <f t="shared" si="44"/>
        <v>0</v>
      </c>
      <c r="BD75" s="246">
        <f t="shared" si="44"/>
        <v>0</v>
      </c>
      <c r="BE75" s="246">
        <f t="shared" si="44"/>
        <v>0</v>
      </c>
      <c r="BF75" s="246">
        <f t="shared" si="44"/>
        <v>0</v>
      </c>
      <c r="BG75" s="246">
        <f t="shared" si="44"/>
        <v>0</v>
      </c>
      <c r="BH75" s="246">
        <f t="shared" si="44"/>
        <v>0</v>
      </c>
      <c r="BI75" s="246">
        <f t="shared" si="44"/>
        <v>0</v>
      </c>
      <c r="BN75" s="175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</row>
    <row r="76" spans="46:81" x14ac:dyDescent="0.2">
      <c r="AT76" s="175" t="s">
        <v>447</v>
      </c>
      <c r="AU76" s="246">
        <f t="shared" si="28"/>
        <v>0</v>
      </c>
      <c r="AV76" s="246">
        <f t="shared" ref="AV76:BI76" si="45">AV121</f>
        <v>0</v>
      </c>
      <c r="AW76" s="246">
        <f t="shared" si="45"/>
        <v>0</v>
      </c>
      <c r="AX76" s="246">
        <f t="shared" si="45"/>
        <v>0</v>
      </c>
      <c r="AY76" s="246">
        <f t="shared" si="45"/>
        <v>0</v>
      </c>
      <c r="AZ76" s="246">
        <f t="shared" si="45"/>
        <v>0</v>
      </c>
      <c r="BA76" s="246">
        <f t="shared" si="45"/>
        <v>0</v>
      </c>
      <c r="BB76" s="246">
        <f t="shared" si="45"/>
        <v>0</v>
      </c>
      <c r="BC76" s="246">
        <f t="shared" si="45"/>
        <v>0</v>
      </c>
      <c r="BD76" s="246">
        <f t="shared" si="45"/>
        <v>0</v>
      </c>
      <c r="BE76" s="246">
        <f t="shared" si="45"/>
        <v>0</v>
      </c>
      <c r="BF76" s="246">
        <f t="shared" si="45"/>
        <v>0</v>
      </c>
      <c r="BG76" s="246">
        <f t="shared" si="45"/>
        <v>0</v>
      </c>
      <c r="BH76" s="246">
        <f t="shared" si="45"/>
        <v>0</v>
      </c>
      <c r="BI76" s="246">
        <f t="shared" si="45"/>
        <v>0</v>
      </c>
      <c r="BN76" s="175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</row>
    <row r="77" spans="46:81" x14ac:dyDescent="0.2">
      <c r="AT77" s="175" t="s">
        <v>457</v>
      </c>
      <c r="AU77" s="246">
        <f t="shared" si="28"/>
        <v>0</v>
      </c>
      <c r="AV77" s="246">
        <f t="shared" ref="AV77:BI77" si="46">AV122</f>
        <v>0</v>
      </c>
      <c r="AW77" s="246">
        <f t="shared" si="46"/>
        <v>0</v>
      </c>
      <c r="AX77" s="246">
        <f t="shared" si="46"/>
        <v>0</v>
      </c>
      <c r="AY77" s="246">
        <f t="shared" si="46"/>
        <v>0</v>
      </c>
      <c r="AZ77" s="246">
        <f t="shared" si="46"/>
        <v>0</v>
      </c>
      <c r="BA77" s="246">
        <f t="shared" si="46"/>
        <v>0</v>
      </c>
      <c r="BB77" s="246">
        <f t="shared" si="46"/>
        <v>0</v>
      </c>
      <c r="BC77" s="246">
        <f t="shared" si="46"/>
        <v>0</v>
      </c>
      <c r="BD77" s="246">
        <f t="shared" si="46"/>
        <v>0</v>
      </c>
      <c r="BE77" s="246">
        <f t="shared" si="46"/>
        <v>0</v>
      </c>
      <c r="BF77" s="246">
        <f t="shared" si="46"/>
        <v>0</v>
      </c>
      <c r="BG77" s="246">
        <f t="shared" si="46"/>
        <v>0</v>
      </c>
      <c r="BH77" s="246">
        <f t="shared" si="46"/>
        <v>0</v>
      </c>
      <c r="BI77" s="246">
        <f t="shared" si="46"/>
        <v>0</v>
      </c>
      <c r="BN77" s="175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</row>
    <row r="78" spans="46:81" x14ac:dyDescent="0.2">
      <c r="AT78" s="175"/>
      <c r="AU78" s="427" t="s">
        <v>472</v>
      </c>
      <c r="AV78" s="427"/>
      <c r="AW78" s="427"/>
      <c r="AX78" s="427"/>
      <c r="AY78" s="427"/>
      <c r="AZ78" s="427"/>
      <c r="BA78" s="427"/>
      <c r="BB78" s="427"/>
      <c r="BC78" s="427"/>
      <c r="BD78" s="427"/>
      <c r="BE78" s="427"/>
      <c r="BF78" s="427"/>
      <c r="BG78" s="427"/>
      <c r="BH78" s="427"/>
      <c r="BI78" s="427"/>
      <c r="BN78" s="175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</row>
    <row r="79" spans="46:81" x14ac:dyDescent="0.2">
      <c r="AT79" s="175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N79" s="175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</row>
    <row r="80" spans="46:81" x14ac:dyDescent="0.2">
      <c r="AT80" s="175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N80" s="175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</row>
    <row r="81" spans="36:81" x14ac:dyDescent="0.2">
      <c r="AT81" s="175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N81" s="175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</row>
    <row r="86" spans="36:81" ht="112" x14ac:dyDescent="0.2">
      <c r="AT86" s="222"/>
      <c r="AU86" s="176" t="s">
        <v>325</v>
      </c>
      <c r="AV86" s="176" t="s">
        <v>326</v>
      </c>
      <c r="AW86" s="176" t="s">
        <v>327</v>
      </c>
      <c r="AX86" s="176" t="s">
        <v>455</v>
      </c>
      <c r="AY86" s="176" t="s">
        <v>435</v>
      </c>
      <c r="AZ86" s="176" t="s">
        <v>434</v>
      </c>
      <c r="BA86" s="176" t="s">
        <v>351</v>
      </c>
      <c r="BB86" s="176" t="s">
        <v>348</v>
      </c>
      <c r="BC86" s="176" t="s">
        <v>362</v>
      </c>
      <c r="BD86" s="176" t="s">
        <v>349</v>
      </c>
      <c r="BE86" s="176" t="s">
        <v>344</v>
      </c>
      <c r="BF86" s="176" t="s">
        <v>514</v>
      </c>
      <c r="BG86" s="176" t="s">
        <v>516</v>
      </c>
      <c r="BH86" s="176" t="s">
        <v>76</v>
      </c>
      <c r="BI86" s="176" t="s">
        <v>337</v>
      </c>
      <c r="BN86" s="176"/>
      <c r="BO86" s="176" t="s">
        <v>331</v>
      </c>
      <c r="BP86" s="176" t="s">
        <v>279</v>
      </c>
    </row>
    <row r="87" spans="36:81" x14ac:dyDescent="0.2">
      <c r="AJ87" s="173"/>
      <c r="AK87" s="173"/>
      <c r="AT87" s="173" t="s">
        <v>333</v>
      </c>
      <c r="AU87" s="195">
        <f>Ore_to_PI!$V$42</f>
        <v>108184.8596728804</v>
      </c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214">
        <f>SUM(AU87:BI87)</f>
        <v>108184.8596728804</v>
      </c>
      <c r="BN87" s="173" t="s">
        <v>333</v>
      </c>
      <c r="BO87" s="206"/>
      <c r="BP87" s="206"/>
      <c r="BQ87" s="214">
        <f>SUM(BO87:BP87)</f>
        <v>0</v>
      </c>
    </row>
    <row r="88" spans="36:81" x14ac:dyDescent="0.2">
      <c r="AJ88" s="173"/>
      <c r="AK88" s="173"/>
      <c r="AT88" s="173" t="s">
        <v>335</v>
      </c>
      <c r="AU88" s="195"/>
      <c r="AV88" s="195">
        <f>Ore_to_PI!$V$126</f>
        <v>25297.051877142174</v>
      </c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214">
        <f>SUM(AU88:BI88)</f>
        <v>25297.051877142174</v>
      </c>
      <c r="BN88" s="173" t="s">
        <v>335</v>
      </c>
      <c r="BO88" s="206"/>
      <c r="BP88" s="206"/>
      <c r="BQ88" s="214">
        <f>SUM(BO88:BP88)</f>
        <v>0</v>
      </c>
    </row>
    <row r="89" spans="36:81" x14ac:dyDescent="0.2">
      <c r="AJ89" s="173"/>
      <c r="AK89" s="173"/>
      <c r="AT89" s="173" t="s">
        <v>336</v>
      </c>
      <c r="AU89" s="195"/>
      <c r="AV89" s="195"/>
      <c r="AW89" s="195">
        <f>Ore_to_PI!$V$206</f>
        <v>8850991.3601140417</v>
      </c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214">
        <f t="shared" ref="BJ89:BJ122" si="47">SUM(AU89:BI89)</f>
        <v>8850991.3601140417</v>
      </c>
      <c r="BN89" s="173" t="s">
        <v>336</v>
      </c>
      <c r="BO89" s="206"/>
      <c r="BP89" s="206"/>
      <c r="BQ89" s="214">
        <f>SUM(BO89:BP89)</f>
        <v>0</v>
      </c>
    </row>
    <row r="90" spans="36:81" x14ac:dyDescent="0.2">
      <c r="AJ90" s="173"/>
      <c r="AK90" s="173"/>
      <c r="AT90" s="173" t="s">
        <v>355</v>
      </c>
      <c r="AU90" s="195">
        <f>Ore_to_PI!V72</f>
        <v>125.02637472887361</v>
      </c>
      <c r="AV90" s="195">
        <f>Ore_to_PI!V163</f>
        <v>0.37484270351331089</v>
      </c>
      <c r="AW90" s="195">
        <f>Ore_to_PI!V236</f>
        <v>30.954464502133519</v>
      </c>
      <c r="AX90" s="195"/>
      <c r="AY90" s="195"/>
      <c r="AZ90" s="195"/>
      <c r="BA90" s="195"/>
      <c r="BB90" s="195"/>
      <c r="BC90" s="195"/>
      <c r="BD90" s="195">
        <f>Ore_to_PI!CB140</f>
        <v>2671.5132120132448</v>
      </c>
      <c r="BE90" s="195">
        <f>Ore_to_PI!CB232</f>
        <v>14491.84871754296</v>
      </c>
      <c r="BF90" s="195"/>
      <c r="BG90" s="195"/>
      <c r="BH90" s="195"/>
      <c r="BI90" s="205">
        <f>Ore_to_PI!EM140</f>
        <v>11826.742854693757</v>
      </c>
      <c r="BJ90" s="214">
        <f t="shared" si="47"/>
        <v>29146.460466184486</v>
      </c>
      <c r="BN90" s="173" t="s">
        <v>355</v>
      </c>
      <c r="BO90" s="206"/>
      <c r="BP90" s="206"/>
      <c r="BQ90" s="214">
        <f t="shared" ref="BQ90:BQ94" si="48">SUM(BO90:BP90)</f>
        <v>0</v>
      </c>
    </row>
    <row r="91" spans="36:81" x14ac:dyDescent="0.2">
      <c r="AJ91" s="173"/>
      <c r="AK91" s="173"/>
      <c r="AM91" s="173"/>
      <c r="AT91" s="173" t="s">
        <v>377</v>
      </c>
      <c r="AU91" s="195"/>
      <c r="AV91" s="195"/>
      <c r="AW91" s="195"/>
      <c r="AX91" s="195"/>
      <c r="AY91" s="195"/>
      <c r="AZ91" s="195"/>
      <c r="BA91" s="195"/>
      <c r="BB91" s="195"/>
      <c r="BC91" s="195"/>
      <c r="BD91" s="195">
        <f>Ore_to_PI!CB152</f>
        <v>1951076.4755827489</v>
      </c>
      <c r="BE91" s="195">
        <f>Ore_to_PI!CB244</f>
        <v>10583778.883576756</v>
      </c>
      <c r="BF91" s="195"/>
      <c r="BG91" s="195"/>
      <c r="BH91" s="195"/>
      <c r="BI91" s="195">
        <f>Ore_to_PI!EM114</f>
        <v>2329445.3092260091</v>
      </c>
      <c r="BJ91" s="214">
        <f t="shared" si="47"/>
        <v>14864300.668385513</v>
      </c>
      <c r="BN91" s="173" t="s">
        <v>377</v>
      </c>
      <c r="BO91" s="206"/>
      <c r="BP91" s="206"/>
      <c r="BQ91" s="214">
        <f t="shared" si="48"/>
        <v>0</v>
      </c>
    </row>
    <row r="92" spans="36:81" x14ac:dyDescent="0.2">
      <c r="AJ92" s="173"/>
      <c r="AK92" s="173"/>
      <c r="AM92" s="173"/>
      <c r="AT92" s="173" t="s">
        <v>466</v>
      </c>
      <c r="AU92" s="195">
        <f>Ore_to_PI!V59</f>
        <v>94146.207140653787</v>
      </c>
      <c r="AV92" s="195">
        <f>Ore_to_PI!V140</f>
        <v>257.99399332425372</v>
      </c>
      <c r="AW92" s="195">
        <f>Ore_to_PI!V222</f>
        <v>23309.045257575242</v>
      </c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214">
        <f t="shared" si="47"/>
        <v>117713.24639155329</v>
      </c>
      <c r="BN92" s="173" t="s">
        <v>466</v>
      </c>
      <c r="BO92" s="206"/>
      <c r="BP92" s="206"/>
      <c r="BQ92" s="214">
        <f t="shared" si="48"/>
        <v>0</v>
      </c>
    </row>
    <row r="93" spans="36:81" x14ac:dyDescent="0.2">
      <c r="AJ93" s="173"/>
      <c r="AK93" s="173"/>
      <c r="AM93" s="173"/>
      <c r="AT93" s="173" t="s">
        <v>467</v>
      </c>
      <c r="AU93" s="195"/>
      <c r="AV93" s="195">
        <f>Ore_to_PI!V151</f>
        <v>24.076233417548465</v>
      </c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214">
        <f t="shared" si="47"/>
        <v>24.076233417548465</v>
      </c>
      <c r="BN93" s="173" t="s">
        <v>467</v>
      </c>
      <c r="BO93" s="206"/>
      <c r="BP93" s="206"/>
      <c r="BQ93" s="214">
        <f t="shared" si="48"/>
        <v>0</v>
      </c>
    </row>
    <row r="94" spans="36:81" x14ac:dyDescent="0.2">
      <c r="AJ94" s="173"/>
      <c r="AK94" s="173"/>
      <c r="AM94" s="173"/>
      <c r="AT94" s="173" t="s">
        <v>411</v>
      </c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>
        <f>Ore_to_PI!EM101</f>
        <v>29112.263489807588</v>
      </c>
      <c r="BJ94" s="214">
        <f t="shared" si="47"/>
        <v>29112.263489807588</v>
      </c>
      <c r="BN94" s="173" t="s">
        <v>411</v>
      </c>
      <c r="BO94" s="206"/>
      <c r="BP94" s="206"/>
      <c r="BQ94" s="214">
        <f t="shared" si="48"/>
        <v>0</v>
      </c>
    </row>
    <row r="95" spans="36:81" x14ac:dyDescent="0.2">
      <c r="AJ95" s="173"/>
      <c r="AK95" s="173"/>
      <c r="AM95" s="173"/>
      <c r="AT95" s="173" t="s">
        <v>459</v>
      </c>
      <c r="AU95" s="195"/>
      <c r="AV95" s="195"/>
      <c r="AW95" s="195">
        <f>Ore_to_PI!AC195</f>
        <v>80616.370239891301</v>
      </c>
      <c r="AX95" s="195">
        <f>Ore_to_PI!AU28</f>
        <v>609792.2517593482</v>
      </c>
      <c r="AY95" s="195">
        <f>Ore_to_PI!AU113</f>
        <v>2824.8856477449194</v>
      </c>
      <c r="AZ95" s="195">
        <f>Ore_to_PI!AU190</f>
        <v>282.1287710315147</v>
      </c>
      <c r="BA95" s="195">
        <f>Ore_to_PI!BN35</f>
        <v>12626.098826338684</v>
      </c>
      <c r="BB95" s="195">
        <f>Ore_to_PI!BM116</f>
        <v>34.678095164114971</v>
      </c>
      <c r="BC95" s="195">
        <f>Ore_to_PI!BM195</f>
        <v>50.358084153937838</v>
      </c>
      <c r="BD95" s="195"/>
      <c r="BE95" s="195"/>
      <c r="BF95" s="195">
        <f>Ore_to_PI!DD229</f>
        <v>33191.859393697465</v>
      </c>
      <c r="BG95" s="195"/>
      <c r="BH95" s="195"/>
      <c r="BI95" s="195">
        <f>Ore_to_PI!EU117</f>
        <v>318930.1042317453</v>
      </c>
      <c r="BJ95" s="214">
        <f t="shared" si="47"/>
        <v>1058348.7350491155</v>
      </c>
      <c r="BN95" s="173" t="s">
        <v>459</v>
      </c>
      <c r="BO95" s="206"/>
      <c r="BP95" s="206"/>
      <c r="BQ95" s="214">
        <f t="shared" ref="BQ95:BQ101" si="49">SUM(BO95:BP95)</f>
        <v>0</v>
      </c>
    </row>
    <row r="96" spans="36:81" ht="16" x14ac:dyDescent="0.2">
      <c r="AJ96" s="208"/>
      <c r="AK96" s="208"/>
      <c r="AT96" s="174" t="s">
        <v>442</v>
      </c>
      <c r="AU96" s="195"/>
      <c r="AV96" s="195"/>
      <c r="AW96" s="195"/>
      <c r="AX96" s="195">
        <f>Ore_to_PI!$AO$42</f>
        <v>108184.8596728804</v>
      </c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214">
        <f t="shared" si="47"/>
        <v>108184.8596728804</v>
      </c>
      <c r="BN96" s="174" t="s">
        <v>442</v>
      </c>
      <c r="BO96" s="206"/>
      <c r="BP96" s="206"/>
      <c r="BQ96" s="214">
        <f t="shared" si="49"/>
        <v>0</v>
      </c>
    </row>
    <row r="97" spans="36:74" ht="16" x14ac:dyDescent="0.2">
      <c r="AJ97" s="174"/>
      <c r="AK97" s="174"/>
      <c r="AT97" s="173" t="s">
        <v>409</v>
      </c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214">
        <f t="shared" si="47"/>
        <v>0</v>
      </c>
      <c r="BN97" s="173" t="s">
        <v>409</v>
      </c>
      <c r="BO97" s="206"/>
      <c r="BP97" s="206">
        <f>Ore_to_PI!AO63</f>
        <v>2244.7960862667505</v>
      </c>
      <c r="BQ97" s="214">
        <f t="shared" si="49"/>
        <v>2244.7960862667505</v>
      </c>
    </row>
    <row r="98" spans="36:74" ht="16" x14ac:dyDescent="0.2">
      <c r="AJ98" s="175"/>
      <c r="AK98" s="175"/>
      <c r="AT98" s="174" t="s">
        <v>412</v>
      </c>
      <c r="AU98" s="195"/>
      <c r="AV98" s="195"/>
      <c r="AW98" s="195"/>
      <c r="AX98" s="195"/>
      <c r="AY98" s="195">
        <f>Ore_to_PI!$AP$126</f>
        <v>25297.051877142174</v>
      </c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214">
        <f t="shared" si="47"/>
        <v>25297.051877142174</v>
      </c>
      <c r="BN98" s="174" t="s">
        <v>412</v>
      </c>
      <c r="BO98" s="206"/>
      <c r="BP98" s="210"/>
      <c r="BQ98" s="214">
        <f t="shared" si="49"/>
        <v>0</v>
      </c>
    </row>
    <row r="99" spans="36:74" x14ac:dyDescent="0.2">
      <c r="AJ99" s="175"/>
      <c r="AK99" s="175"/>
      <c r="AT99" s="173" t="s">
        <v>437</v>
      </c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205"/>
      <c r="BI99" s="195"/>
      <c r="BJ99" s="214">
        <f t="shared" si="47"/>
        <v>0</v>
      </c>
      <c r="BN99" s="173" t="s">
        <v>437</v>
      </c>
      <c r="BO99" s="206"/>
      <c r="BP99" s="206">
        <f>Ore_to_PI!AP142</f>
        <v>6.7177820097776806</v>
      </c>
      <c r="BQ99" s="214">
        <f t="shared" si="49"/>
        <v>6.7177820097776806</v>
      </c>
    </row>
    <row r="100" spans="36:74" x14ac:dyDescent="0.2">
      <c r="AJ100" s="175"/>
      <c r="AK100" s="175"/>
      <c r="AT100" s="175" t="s">
        <v>430</v>
      </c>
      <c r="AU100" s="195"/>
      <c r="AV100" s="195"/>
      <c r="AW100" s="195"/>
      <c r="AX100" s="195"/>
      <c r="AY100" s="195"/>
      <c r="AZ100" s="195">
        <f>Ore_to_PI!$AP$206</f>
        <v>8855804.320336977</v>
      </c>
      <c r="BA100" s="195"/>
      <c r="BB100" s="195"/>
      <c r="BC100" s="195"/>
      <c r="BD100" s="195"/>
      <c r="BE100" s="195"/>
      <c r="BF100" s="195"/>
      <c r="BG100" s="195"/>
      <c r="BH100" s="195"/>
      <c r="BI100" s="205"/>
      <c r="BJ100" s="214">
        <f t="shared" si="47"/>
        <v>8855804.320336977</v>
      </c>
      <c r="BN100" s="175" t="s">
        <v>430</v>
      </c>
      <c r="BO100" s="206"/>
      <c r="BP100" s="206"/>
      <c r="BQ100" s="214">
        <f t="shared" si="49"/>
        <v>0</v>
      </c>
    </row>
    <row r="101" spans="36:74" x14ac:dyDescent="0.2">
      <c r="AJ101" s="175"/>
      <c r="AK101" s="175"/>
      <c r="AT101" s="173" t="s">
        <v>416</v>
      </c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214">
        <f t="shared" si="47"/>
        <v>0</v>
      </c>
      <c r="BN101" s="173" t="s">
        <v>416</v>
      </c>
      <c r="BO101" s="206"/>
      <c r="BP101" s="206">
        <f>Ore_to_PI!AP227</f>
        <v>555.77441893806406</v>
      </c>
      <c r="BQ101" s="214">
        <f t="shared" si="49"/>
        <v>555.77441893806406</v>
      </c>
      <c r="BR101" s="20"/>
      <c r="BS101" s="20"/>
      <c r="BT101" s="20"/>
      <c r="BU101" s="20"/>
      <c r="BV101" s="20"/>
    </row>
    <row r="102" spans="36:74" ht="16" x14ac:dyDescent="0.2">
      <c r="AJ102" s="175"/>
      <c r="AK102" s="175"/>
      <c r="AT102" s="174" t="s">
        <v>441</v>
      </c>
      <c r="AU102" s="195"/>
      <c r="AV102" s="195"/>
      <c r="AW102" s="195"/>
      <c r="AX102" s="195"/>
      <c r="AY102" s="195"/>
      <c r="AZ102" s="195"/>
      <c r="BA102" s="195">
        <f>Ore_to_PI!$BH$42</f>
        <v>108184.8596728804</v>
      </c>
      <c r="BB102" s="195"/>
      <c r="BC102" s="195"/>
      <c r="BD102" s="195"/>
      <c r="BE102" s="195"/>
      <c r="BF102" s="195"/>
      <c r="BG102" s="195"/>
      <c r="BH102" s="195"/>
      <c r="BI102" s="195"/>
      <c r="BJ102" s="214">
        <f t="shared" si="47"/>
        <v>108184.8596728804</v>
      </c>
      <c r="BN102" s="174" t="s">
        <v>441</v>
      </c>
      <c r="BO102" s="206"/>
      <c r="BP102" s="206"/>
      <c r="BQ102" s="214">
        <f t="shared" ref="BQ102:BQ122" si="50">SUM(BO102:BP102)</f>
        <v>0</v>
      </c>
    </row>
    <row r="103" spans="36:74" ht="16" x14ac:dyDescent="0.2">
      <c r="AJ103" s="175"/>
      <c r="AK103" s="175"/>
      <c r="AT103" s="174" t="s">
        <v>436</v>
      </c>
      <c r="AU103" s="195"/>
      <c r="AV103" s="195"/>
      <c r="AW103" s="195"/>
      <c r="AX103" s="195"/>
      <c r="AY103" s="195"/>
      <c r="AZ103" s="195"/>
      <c r="BA103" s="195"/>
      <c r="BB103" s="195">
        <f>Ore_to_PI!$BI$126</f>
        <v>25297.051877142174</v>
      </c>
      <c r="BC103" s="195"/>
      <c r="BD103" s="195"/>
      <c r="BE103" s="195"/>
      <c r="BF103" s="195"/>
      <c r="BG103" s="195"/>
      <c r="BH103" s="195"/>
      <c r="BI103" s="195"/>
      <c r="BJ103" s="214">
        <f t="shared" si="47"/>
        <v>25297.051877142174</v>
      </c>
      <c r="BN103" s="174" t="s">
        <v>436</v>
      </c>
      <c r="BO103" s="206"/>
      <c r="BP103" s="206"/>
      <c r="BQ103" s="214">
        <f t="shared" si="50"/>
        <v>0</v>
      </c>
    </row>
    <row r="104" spans="36:74" ht="16" x14ac:dyDescent="0.2">
      <c r="AJ104" s="175"/>
      <c r="AK104" s="175"/>
      <c r="AT104" s="174" t="s">
        <v>433</v>
      </c>
      <c r="AU104" s="195"/>
      <c r="AV104" s="195"/>
      <c r="AW104" s="195"/>
      <c r="AX104" s="195"/>
      <c r="AY104" s="195"/>
      <c r="AZ104" s="195"/>
      <c r="BA104" s="195"/>
      <c r="BB104" s="195"/>
      <c r="BC104" s="195">
        <f>Ore_to_PI!$BI$206</f>
        <v>8855804.320336977</v>
      </c>
      <c r="BD104" s="195"/>
      <c r="BE104" s="195"/>
      <c r="BF104" s="195"/>
      <c r="BG104" s="195"/>
      <c r="BH104" s="195"/>
      <c r="BI104" s="195"/>
      <c r="BJ104" s="214">
        <f t="shared" si="47"/>
        <v>8855804.320336977</v>
      </c>
      <c r="BN104" s="174" t="s">
        <v>433</v>
      </c>
      <c r="BO104" s="206"/>
      <c r="BP104" s="206"/>
      <c r="BQ104" s="214">
        <f t="shared" si="50"/>
        <v>0</v>
      </c>
    </row>
    <row r="105" spans="36:74" ht="16" x14ac:dyDescent="0.2">
      <c r="AJ105" s="215"/>
      <c r="AK105" s="215"/>
      <c r="AT105" s="174" t="s">
        <v>439</v>
      </c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>
        <f>Ore_to_PI!CA42</f>
        <v>88071.706245154463</v>
      </c>
      <c r="BI105" s="195"/>
      <c r="BJ105" s="214">
        <f t="shared" si="47"/>
        <v>88071.706245154463</v>
      </c>
      <c r="BN105" s="174" t="s">
        <v>439</v>
      </c>
      <c r="BO105" s="206"/>
      <c r="BP105" s="206"/>
      <c r="BQ105" s="214">
        <f t="shared" si="50"/>
        <v>0</v>
      </c>
    </row>
    <row r="106" spans="36:74" x14ac:dyDescent="0.2">
      <c r="AJ106" s="175"/>
      <c r="AK106" s="175"/>
      <c r="AT106" s="175" t="s">
        <v>438</v>
      </c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205"/>
      <c r="BJ106" s="214">
        <f t="shared" si="47"/>
        <v>0</v>
      </c>
      <c r="BK106" s="20"/>
      <c r="BL106" s="20"/>
      <c r="BN106" s="175" t="s">
        <v>438</v>
      </c>
      <c r="BO106" s="206"/>
      <c r="BP106" s="206">
        <f>Ore_to_PI!CA55</f>
        <v>21722.892325740406</v>
      </c>
      <c r="BQ106" s="214">
        <f t="shared" si="50"/>
        <v>21722.892325740406</v>
      </c>
    </row>
    <row r="107" spans="36:74" x14ac:dyDescent="0.2">
      <c r="AJ107" s="175"/>
      <c r="AK107" s="175"/>
      <c r="AT107" s="175" t="s">
        <v>424</v>
      </c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>
        <f>Ore_to_PI!$CB$126</f>
        <v>25297.051877142174</v>
      </c>
      <c r="BE107" s="195"/>
      <c r="BF107" s="195"/>
      <c r="BG107" s="195"/>
      <c r="BH107" s="195"/>
      <c r="BI107" s="195"/>
      <c r="BJ107" s="214">
        <f t="shared" si="47"/>
        <v>25297.051877142174</v>
      </c>
      <c r="BN107" s="175" t="s">
        <v>424</v>
      </c>
      <c r="BO107" s="206"/>
      <c r="BP107" s="206"/>
      <c r="BQ107" s="214">
        <f t="shared" si="50"/>
        <v>0</v>
      </c>
    </row>
    <row r="108" spans="36:74" x14ac:dyDescent="0.2">
      <c r="AJ108" s="175"/>
      <c r="AK108" s="175"/>
      <c r="AT108" s="175" t="s">
        <v>456</v>
      </c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Ore_to_PI!$CB$206</f>
        <v>8855804.320336977</v>
      </c>
      <c r="BF108" s="195"/>
      <c r="BG108" s="195"/>
      <c r="BH108" s="195"/>
      <c r="BI108" s="195"/>
      <c r="BJ108" s="214">
        <f t="shared" si="47"/>
        <v>8855804.320336977</v>
      </c>
      <c r="BN108" s="175" t="s">
        <v>456</v>
      </c>
      <c r="BO108" s="206"/>
      <c r="BP108" s="206"/>
      <c r="BQ108" s="214">
        <f t="shared" si="50"/>
        <v>0</v>
      </c>
    </row>
    <row r="109" spans="36:74" x14ac:dyDescent="0.2">
      <c r="AJ109" s="175"/>
      <c r="AK109" s="175"/>
      <c r="AT109" s="175" t="s">
        <v>425</v>
      </c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>
        <f>Ore_to_PI!$CW$126</f>
        <v>242016.07607977447</v>
      </c>
      <c r="BI109" s="195"/>
      <c r="BJ109" s="214">
        <f t="shared" si="47"/>
        <v>242016.07607977447</v>
      </c>
      <c r="BN109" s="175" t="s">
        <v>425</v>
      </c>
      <c r="BO109" s="206"/>
      <c r="BP109" s="206"/>
      <c r="BQ109" s="214">
        <f t="shared" si="50"/>
        <v>0</v>
      </c>
    </row>
    <row r="110" spans="36:74" x14ac:dyDescent="0.2">
      <c r="AJ110" s="175"/>
      <c r="AK110" s="175"/>
      <c r="AT110" s="175" t="s">
        <v>427</v>
      </c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205"/>
      <c r="BJ110" s="214">
        <f t="shared" si="47"/>
        <v>0</v>
      </c>
      <c r="BN110" s="175" t="s">
        <v>427</v>
      </c>
      <c r="BO110" s="206"/>
      <c r="BP110" s="206">
        <f>Ore_to_PI!CW114</f>
        <v>7739.2511800711582</v>
      </c>
      <c r="BQ110" s="214">
        <f t="shared" si="50"/>
        <v>7739.2511800711582</v>
      </c>
    </row>
    <row r="111" spans="36:74" x14ac:dyDescent="0.2">
      <c r="AJ111" s="175"/>
      <c r="AK111" s="175"/>
      <c r="AT111" s="175" t="s">
        <v>426</v>
      </c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214">
        <f t="shared" si="47"/>
        <v>0</v>
      </c>
      <c r="BN111" s="175" t="s">
        <v>426</v>
      </c>
      <c r="BO111" s="206"/>
      <c r="BP111" s="206">
        <f>Ore_to_PI!CW138</f>
        <v>87222.135331413883</v>
      </c>
      <c r="BQ111" s="214">
        <f t="shared" si="50"/>
        <v>87222.135331413883</v>
      </c>
    </row>
    <row r="112" spans="36:74" x14ac:dyDescent="0.2">
      <c r="AJ112" s="175"/>
      <c r="AK112" s="175"/>
      <c r="AT112" s="175" t="s">
        <v>484</v>
      </c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>
        <f>Ore_to_PI!$CW$206</f>
        <v>6408288.6211381694</v>
      </c>
      <c r="BI112" s="195"/>
      <c r="BJ112" s="214">
        <f t="shared" si="47"/>
        <v>6408288.6211381694</v>
      </c>
      <c r="BN112" s="175" t="s">
        <v>484</v>
      </c>
      <c r="BO112" s="206"/>
      <c r="BP112" s="206"/>
      <c r="BQ112" s="214">
        <f t="shared" si="50"/>
        <v>0</v>
      </c>
    </row>
    <row r="113" spans="5:69" ht="16" x14ac:dyDescent="0.2">
      <c r="AJ113" s="175"/>
      <c r="AK113" s="175"/>
      <c r="AT113" s="215" t="s">
        <v>422</v>
      </c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>
        <f>Ore_to_PI!$CW$234</f>
        <v>4026178.1360752485</v>
      </c>
      <c r="BG113" s="195"/>
      <c r="BH113" s="195"/>
      <c r="BI113" s="195"/>
      <c r="BJ113" s="214">
        <f t="shared" si="47"/>
        <v>4026178.1360752485</v>
      </c>
      <c r="BN113" s="215" t="s">
        <v>422</v>
      </c>
      <c r="BO113" s="206"/>
      <c r="BP113" s="206"/>
      <c r="BQ113" s="214">
        <f t="shared" si="50"/>
        <v>0</v>
      </c>
    </row>
    <row r="114" spans="5:69" ht="16" x14ac:dyDescent="0.2">
      <c r="AJ114" s="175"/>
      <c r="AK114" s="175"/>
      <c r="AT114" s="215" t="s">
        <v>552</v>
      </c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214">
        <f t="shared" si="47"/>
        <v>0</v>
      </c>
      <c r="BN114" s="215" t="s">
        <v>552</v>
      </c>
      <c r="BO114" s="206"/>
      <c r="BP114" s="206">
        <f>Ore_to_PI!CW267</f>
        <v>955411.7785075705</v>
      </c>
      <c r="BQ114" s="214">
        <f t="shared" si="50"/>
        <v>955411.7785075705</v>
      </c>
    </row>
    <row r="115" spans="5:69" x14ac:dyDescent="0.2">
      <c r="AJ115" s="175"/>
      <c r="AK115" s="175"/>
      <c r="AT115" s="175" t="s">
        <v>421</v>
      </c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214">
        <f t="shared" si="47"/>
        <v>0</v>
      </c>
      <c r="BN115" s="175" t="s">
        <v>421</v>
      </c>
      <c r="BO115" s="206"/>
      <c r="BP115" s="206">
        <f>Ore_to_PI!CW218</f>
        <v>8991.620323109395</v>
      </c>
      <c r="BQ115" s="214">
        <f t="shared" si="50"/>
        <v>8991.620323109395</v>
      </c>
    </row>
    <row r="116" spans="5:69" x14ac:dyDescent="0.2">
      <c r="AJ116" s="175"/>
      <c r="AK116" s="175"/>
      <c r="AT116" s="173" t="s">
        <v>423</v>
      </c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214">
        <f t="shared" si="47"/>
        <v>0</v>
      </c>
      <c r="BN116" s="173" t="s">
        <v>423</v>
      </c>
      <c r="BO116" s="206"/>
      <c r="BP116" s="206">
        <f>Ore_to_PI!CW251</f>
        <v>303788.26554911444</v>
      </c>
      <c r="BQ116" s="214">
        <f t="shared" si="50"/>
        <v>303788.26554911444</v>
      </c>
    </row>
    <row r="117" spans="5:69" x14ac:dyDescent="0.2">
      <c r="AJ117" s="175"/>
      <c r="AK117" s="175"/>
      <c r="AT117" s="175" t="s">
        <v>515</v>
      </c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>
        <f>Ore_to_PI!$DQ$233</f>
        <v>4043367.3234254471</v>
      </c>
      <c r="BH117" s="195"/>
      <c r="BI117" s="205"/>
      <c r="BJ117" s="214">
        <f t="shared" si="47"/>
        <v>4043367.3234254471</v>
      </c>
      <c r="BN117" s="175" t="s">
        <v>515</v>
      </c>
      <c r="BO117" s="206"/>
      <c r="BP117" s="206"/>
      <c r="BQ117" s="214">
        <f t="shared" si="50"/>
        <v>0</v>
      </c>
    </row>
    <row r="118" spans="5:69" x14ac:dyDescent="0.2">
      <c r="AJ118" s="175"/>
      <c r="AK118" s="175"/>
      <c r="AT118" s="175" t="s">
        <v>517</v>
      </c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205">
        <f>Ore_to_PI!$EM$152</f>
        <v>2830357.1263978118</v>
      </c>
      <c r="BJ118" s="214">
        <f t="shared" si="47"/>
        <v>2830357.1263978118</v>
      </c>
      <c r="BN118" s="175" t="s">
        <v>517</v>
      </c>
      <c r="BO118" s="206">
        <f>Ore_to_PI!$FG$233</f>
        <v>1213010.1970276341</v>
      </c>
      <c r="BP118" s="206"/>
      <c r="BQ118" s="214">
        <f t="shared" si="50"/>
        <v>1213010.1970276341</v>
      </c>
    </row>
    <row r="119" spans="5:69" x14ac:dyDescent="0.2">
      <c r="AJ119" s="175"/>
      <c r="AK119" s="175"/>
      <c r="AT119" s="175" t="s">
        <v>445</v>
      </c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205">
        <f>Ore_to_PI!EM126</f>
        <v>6682782.3361421349</v>
      </c>
      <c r="BJ119" s="214">
        <f t="shared" si="47"/>
        <v>6682782.3361421349</v>
      </c>
      <c r="BN119" s="175" t="s">
        <v>445</v>
      </c>
      <c r="BO119" s="206"/>
      <c r="BP119" s="206"/>
      <c r="BQ119" s="214">
        <f t="shared" si="50"/>
        <v>0</v>
      </c>
    </row>
    <row r="120" spans="5:69" x14ac:dyDescent="0.2">
      <c r="AJ120" s="175"/>
      <c r="AK120" s="175"/>
      <c r="AT120" s="175" t="s">
        <v>446</v>
      </c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214">
        <f t="shared" si="47"/>
        <v>0</v>
      </c>
      <c r="BN120" s="175" t="s">
        <v>446</v>
      </c>
      <c r="BO120" s="206">
        <f>Ore_to_PI!FM126</f>
        <v>4157895.2984628798</v>
      </c>
      <c r="BP120" s="206"/>
      <c r="BQ120" s="214">
        <f t="shared" si="50"/>
        <v>4157895.2984628798</v>
      </c>
    </row>
    <row r="121" spans="5:69" x14ac:dyDescent="0.2">
      <c r="AJ121" s="175"/>
      <c r="AK121" s="175"/>
      <c r="AT121" s="175" t="s">
        <v>447</v>
      </c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214">
        <f t="shared" si="47"/>
        <v>0</v>
      </c>
      <c r="BN121" s="175" t="s">
        <v>447</v>
      </c>
      <c r="BO121" s="206"/>
      <c r="BP121" s="206">
        <f>Ore_to_PI!FM141</f>
        <v>404209.15818875749</v>
      </c>
      <c r="BQ121" s="214">
        <f t="shared" si="50"/>
        <v>404209.15818875749</v>
      </c>
    </row>
    <row r="122" spans="5:69" x14ac:dyDescent="0.2">
      <c r="AJ122" s="175"/>
      <c r="AK122" s="175"/>
      <c r="AT122" s="175" t="s">
        <v>457</v>
      </c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214">
        <f t="shared" si="47"/>
        <v>0</v>
      </c>
      <c r="BN122" s="175" t="s">
        <v>457</v>
      </c>
      <c r="BO122" s="206"/>
      <c r="BP122" s="206">
        <f>Ore_to_PI!FM104</f>
        <v>67875.356217847453</v>
      </c>
      <c r="BQ122" s="214">
        <f t="shared" si="50"/>
        <v>67875.356217847453</v>
      </c>
    </row>
    <row r="123" spans="5:69" x14ac:dyDescent="0.2">
      <c r="AJ123" s="175"/>
      <c r="AK123" s="175"/>
      <c r="AT123" s="175"/>
      <c r="AU123" s="427" t="s">
        <v>328</v>
      </c>
      <c r="AV123" s="427"/>
      <c r="AW123" s="427"/>
      <c r="AX123" s="427"/>
      <c r="AY123" s="427"/>
      <c r="AZ123" s="427"/>
      <c r="BA123" s="427"/>
      <c r="BB123" s="427"/>
      <c r="BC123" s="427"/>
      <c r="BD123" s="427"/>
      <c r="BE123" s="427"/>
      <c r="BF123" s="427"/>
      <c r="BG123" s="427"/>
      <c r="BH123" s="427"/>
      <c r="BI123" s="427"/>
      <c r="BJ123" s="20" t="s">
        <v>369</v>
      </c>
      <c r="BO123" s="427" t="s">
        <v>330</v>
      </c>
      <c r="BP123" s="427"/>
      <c r="BQ123" s="20" t="s">
        <v>381</v>
      </c>
    </row>
    <row r="124" spans="5:69" x14ac:dyDescent="0.2">
      <c r="AJ124" s="175"/>
      <c r="AK124" s="175"/>
      <c r="AT124" s="175"/>
      <c r="AU124" s="214">
        <f>SUM(AU87:AU122)</f>
        <v>202456.09318826307</v>
      </c>
      <c r="AV124" s="214">
        <f>SUM(AV87:AV122)</f>
        <v>25579.496946587489</v>
      </c>
      <c r="AW124" s="214">
        <f>SUM(AW87:AW122)</f>
        <v>8954947.7300760113</v>
      </c>
      <c r="AX124" s="214">
        <f t="shared" ref="AX124:BI124" si="51">SUM(AX87:AX122)</f>
        <v>717977.11143222859</v>
      </c>
      <c r="AY124" s="214">
        <f t="shared" si="51"/>
        <v>28121.937524887093</v>
      </c>
      <c r="AZ124" s="214">
        <f t="shared" si="51"/>
        <v>8856086.4491080083</v>
      </c>
      <c r="BA124" s="214">
        <f t="shared" si="51"/>
        <v>120810.95849921908</v>
      </c>
      <c r="BB124" s="214">
        <f t="shared" si="51"/>
        <v>25331.72997230629</v>
      </c>
      <c r="BC124" s="214">
        <f t="shared" si="51"/>
        <v>8855854.6784211304</v>
      </c>
      <c r="BD124" s="214">
        <f t="shared" si="51"/>
        <v>1979045.0406719043</v>
      </c>
      <c r="BE124" s="214">
        <f t="shared" si="51"/>
        <v>19454075.052631274</v>
      </c>
      <c r="BF124" s="214">
        <f t="shared" si="51"/>
        <v>4059369.9954689462</v>
      </c>
      <c r="BG124" s="214">
        <f t="shared" si="51"/>
        <v>4043367.3234254471</v>
      </c>
      <c r="BH124" s="214">
        <f t="shared" si="51"/>
        <v>6738376.4034630982</v>
      </c>
      <c r="BI124" s="214">
        <f t="shared" si="51"/>
        <v>12202453.882342203</v>
      </c>
      <c r="BO124" s="20"/>
      <c r="BP124" s="20"/>
    </row>
    <row r="125" spans="5:69" ht="13" customHeight="1" x14ac:dyDescent="0.2">
      <c r="F125" s="428"/>
      <c r="G125" s="428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  <c r="AA125" s="197"/>
      <c r="AB125" s="197"/>
      <c r="AC125" s="197"/>
      <c r="AD125" s="197"/>
      <c r="AE125" s="197"/>
      <c r="AF125" s="197"/>
      <c r="AG125" s="197"/>
      <c r="AH125" s="197"/>
      <c r="AI125" s="197"/>
      <c r="AJ125" s="175"/>
      <c r="AK125" s="175"/>
      <c r="AL125" s="197"/>
      <c r="AM125" s="197"/>
      <c r="AN125" s="197"/>
      <c r="AO125" s="197"/>
      <c r="AP125" s="197"/>
      <c r="AQ125" s="197"/>
      <c r="AR125" s="197"/>
      <c r="AU125" s="427" t="s">
        <v>368</v>
      </c>
      <c r="AV125" s="427"/>
      <c r="AW125" s="427"/>
      <c r="AX125" s="427"/>
      <c r="AY125" s="427"/>
      <c r="AZ125" s="427"/>
      <c r="BA125" s="427"/>
      <c r="BB125" s="427"/>
      <c r="BC125" s="427"/>
      <c r="BD125" s="427"/>
      <c r="BE125" s="427"/>
      <c r="BF125" s="427"/>
      <c r="BG125" s="427"/>
      <c r="BH125" s="427"/>
      <c r="BI125" s="427"/>
      <c r="BO125" s="20"/>
      <c r="BP125" s="20"/>
    </row>
    <row r="126" spans="5:69" ht="236" x14ac:dyDescent="0.2">
      <c r="E126" s="202"/>
      <c r="F126" s="176" t="s">
        <v>333</v>
      </c>
      <c r="G126" s="176" t="s">
        <v>335</v>
      </c>
      <c r="H126" s="176" t="s">
        <v>336</v>
      </c>
      <c r="I126" s="176" t="s">
        <v>355</v>
      </c>
      <c r="J126" s="176" t="s">
        <v>377</v>
      </c>
      <c r="K126" s="176" t="s">
        <v>466</v>
      </c>
      <c r="L126" s="176" t="s">
        <v>467</v>
      </c>
      <c r="M126" s="176" t="s">
        <v>411</v>
      </c>
      <c r="N126" s="176" t="s">
        <v>459</v>
      </c>
      <c r="O126" s="177" t="s">
        <v>442</v>
      </c>
      <c r="P126" s="176" t="s">
        <v>409</v>
      </c>
      <c r="Q126" s="177" t="s">
        <v>412</v>
      </c>
      <c r="R126" s="176" t="s">
        <v>437</v>
      </c>
      <c r="S126" s="178" t="s">
        <v>430</v>
      </c>
      <c r="T126" s="176" t="s">
        <v>416</v>
      </c>
      <c r="U126" s="177" t="s">
        <v>441</v>
      </c>
      <c r="V126" s="177" t="s">
        <v>436</v>
      </c>
      <c r="W126" s="177" t="s">
        <v>433</v>
      </c>
      <c r="X126" s="177" t="s">
        <v>439</v>
      </c>
      <c r="Y126" s="178" t="s">
        <v>438</v>
      </c>
      <c r="Z126" s="178" t="s">
        <v>424</v>
      </c>
      <c r="AA126" s="178" t="s">
        <v>456</v>
      </c>
      <c r="AB126" s="178" t="s">
        <v>425</v>
      </c>
      <c r="AC126" s="178" t="s">
        <v>427</v>
      </c>
      <c r="AD126" s="178" t="s">
        <v>426</v>
      </c>
      <c r="AE126" s="178" t="s">
        <v>484</v>
      </c>
      <c r="AF126" s="196" t="s">
        <v>422</v>
      </c>
      <c r="AG126" s="196" t="s">
        <v>552</v>
      </c>
      <c r="AH126" s="178" t="s">
        <v>421</v>
      </c>
      <c r="AI126" s="176" t="s">
        <v>423</v>
      </c>
      <c r="AJ126" s="178" t="s">
        <v>515</v>
      </c>
      <c r="AK126" s="178" t="s">
        <v>517</v>
      </c>
      <c r="AL126" s="178" t="s">
        <v>445</v>
      </c>
      <c r="AM126" s="178" t="s">
        <v>446</v>
      </c>
      <c r="AN126" s="178" t="s">
        <v>447</v>
      </c>
      <c r="AO126" s="178" t="s">
        <v>457</v>
      </c>
    </row>
    <row r="127" spans="5:69" x14ac:dyDescent="0.2">
      <c r="E127" s="173" t="s">
        <v>325</v>
      </c>
      <c r="F127" s="195"/>
      <c r="G127" s="195"/>
      <c r="H127" s="195"/>
      <c r="I127" s="195"/>
      <c r="J127" s="195"/>
      <c r="K127" s="195"/>
      <c r="L127" s="195"/>
      <c r="M127" s="195"/>
      <c r="N127" s="195"/>
      <c r="O127" s="195">
        <f>Ore_to_PI!AO42</f>
        <v>108184.8596728804</v>
      </c>
      <c r="P127" s="195">
        <f>Ore_to_PI!AO63</f>
        <v>2244.7960862667505</v>
      </c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214">
        <f>SUM(F127:AO127)</f>
        <v>110429.65575914715</v>
      </c>
    </row>
    <row r="128" spans="5:69" x14ac:dyDescent="0.2">
      <c r="E128" s="173" t="s">
        <v>326</v>
      </c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>
        <f>Ore_to_PI!AP126</f>
        <v>25297.051877142174</v>
      </c>
      <c r="R128" s="195">
        <f>Ore_to_PI!AP142</f>
        <v>6.7177820097776806</v>
      </c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214">
        <f>SUM(F128:AO128)</f>
        <v>25303.769659151953</v>
      </c>
    </row>
    <row r="129" spans="5:68" x14ac:dyDescent="0.2">
      <c r="E129" s="173" t="s">
        <v>327</v>
      </c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>
        <f>Ore_to_PI!AP206</f>
        <v>8855804.320336977</v>
      </c>
      <c r="T129" s="195">
        <f>Ore_to_PI!AP227</f>
        <v>555.77441893806406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214">
        <f t="shared" ref="AP129:AP141" si="52">SUM(F129:AO129)</f>
        <v>8856360.0947559159</v>
      </c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O129" s="20"/>
      <c r="BP129" s="20"/>
    </row>
    <row r="130" spans="5:68" x14ac:dyDescent="0.2">
      <c r="E130" s="173" t="s">
        <v>455</v>
      </c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Ore_to_PI!BH42</f>
        <v>108184.8596728804</v>
      </c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214">
        <f t="shared" si="52"/>
        <v>108184.8596728804</v>
      </c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O130" s="20"/>
      <c r="BP130" s="20"/>
    </row>
    <row r="131" spans="5:68" x14ac:dyDescent="0.2">
      <c r="E131" s="173" t="s">
        <v>435</v>
      </c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>
        <f>Ore_to_PI!BI126</f>
        <v>25297.051877142174</v>
      </c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214">
        <f t="shared" si="52"/>
        <v>25297.051877142174</v>
      </c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O131" s="20"/>
      <c r="BP131" s="20"/>
    </row>
    <row r="132" spans="5:68" x14ac:dyDescent="0.2">
      <c r="E132" s="173" t="s">
        <v>434</v>
      </c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>
        <f>Ore_to_PI!BI206</f>
        <v>8855804.320336977</v>
      </c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214">
        <f t="shared" si="52"/>
        <v>8855804.320336977</v>
      </c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O132" s="20"/>
      <c r="BP132" s="20"/>
    </row>
    <row r="133" spans="5:68" x14ac:dyDescent="0.2">
      <c r="E133" s="173" t="s">
        <v>351</v>
      </c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>
        <f>Ore_to_PI!CA42</f>
        <v>88071.706245154463</v>
      </c>
      <c r="Y133" s="195">
        <f>Ore_to_PI!CA55</f>
        <v>21722.892325740406</v>
      </c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214">
        <f t="shared" si="52"/>
        <v>109794.59857089487</v>
      </c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O133" s="20"/>
      <c r="BP133" s="20"/>
    </row>
    <row r="134" spans="5:68" x14ac:dyDescent="0.2">
      <c r="E134" s="173" t="s">
        <v>348</v>
      </c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>
        <f>Ore_to_PI!CB126</f>
        <v>25297.051877142174</v>
      </c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214">
        <f t="shared" si="52"/>
        <v>25297.051877142174</v>
      </c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O134" s="20"/>
      <c r="BP134" s="20"/>
    </row>
    <row r="135" spans="5:68" x14ac:dyDescent="0.2">
      <c r="E135" s="173" t="s">
        <v>362</v>
      </c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>
        <f>Ore_to_PI!CB206</f>
        <v>8855804.320336977</v>
      </c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214">
        <f t="shared" si="52"/>
        <v>8855804.320336977</v>
      </c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O135" s="20"/>
      <c r="BP135" s="20"/>
    </row>
    <row r="136" spans="5:68" x14ac:dyDescent="0.2">
      <c r="E136" s="173" t="s">
        <v>349</v>
      </c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>
        <f>Ore_to_PI!CW126</f>
        <v>242016.07607977447</v>
      </c>
      <c r="AC136" s="195">
        <f>Ore_to_PI!CW114</f>
        <v>7739.2511800711582</v>
      </c>
      <c r="AD136" s="195">
        <f>Ore_to_PI!CW138</f>
        <v>87222.135331413883</v>
      </c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214">
        <f t="shared" si="52"/>
        <v>336977.46259125951</v>
      </c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O136" s="20"/>
      <c r="BP136" s="20"/>
    </row>
    <row r="137" spans="5:68" x14ac:dyDescent="0.2">
      <c r="E137" s="173" t="s">
        <v>344</v>
      </c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>
        <f>Ore_to_PI!CW206</f>
        <v>6408288.6211381694</v>
      </c>
      <c r="AF137" s="195">
        <f>Ore_to_PI!CW234</f>
        <v>4026178.1360752485</v>
      </c>
      <c r="AG137" s="195">
        <f>Ore_to_PI!CW267</f>
        <v>955411.7785075705</v>
      </c>
      <c r="AH137" s="195">
        <f>Ore_to_PI!CW218</f>
        <v>8991.620323109395</v>
      </c>
      <c r="AI137" s="195">
        <f>Ore_to_PI!CW251</f>
        <v>303788.26554911444</v>
      </c>
      <c r="AJ137" s="195"/>
      <c r="AK137" s="195"/>
      <c r="AL137" s="195"/>
      <c r="AM137" s="195"/>
      <c r="AN137" s="195"/>
      <c r="AO137" s="195"/>
      <c r="AP137" s="214">
        <f t="shared" si="52"/>
        <v>11702658.42159321</v>
      </c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O137" s="20"/>
      <c r="BP137" s="20"/>
    </row>
    <row r="138" spans="5:68" x14ac:dyDescent="0.2">
      <c r="E138" s="173" t="s">
        <v>514</v>
      </c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Ore_to_PI!DQ233</f>
        <v>4043367.3234254471</v>
      </c>
      <c r="AK138" s="195"/>
      <c r="AL138" s="195"/>
      <c r="AM138" s="195"/>
      <c r="AN138" s="195"/>
      <c r="AO138" s="195"/>
      <c r="AP138" s="214">
        <f t="shared" si="52"/>
        <v>4043367.3234254471</v>
      </c>
    </row>
    <row r="139" spans="5:68" x14ac:dyDescent="0.2">
      <c r="E139" s="173" t="s">
        <v>516</v>
      </c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>
        <f>Ore_to_PI!$EL$233</f>
        <v>4043367.3234254471</v>
      </c>
      <c r="AL139" s="195"/>
      <c r="AM139" s="195"/>
      <c r="AN139" s="195"/>
      <c r="AO139" s="195"/>
      <c r="AP139" s="214">
        <f t="shared" si="52"/>
        <v>4043367.3234254471</v>
      </c>
    </row>
    <row r="140" spans="5:68" x14ac:dyDescent="0.2">
      <c r="E140" s="173" t="s">
        <v>76</v>
      </c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205"/>
      <c r="AJ140" s="195"/>
      <c r="AK140" s="195"/>
      <c r="AL140" s="205">
        <f>Ore_to_PI!EM126</f>
        <v>6682782.3361421349</v>
      </c>
      <c r="AM140" s="195"/>
      <c r="AN140" s="195"/>
      <c r="AO140" s="195"/>
      <c r="AP140" s="214">
        <f t="shared" si="52"/>
        <v>6682782.3361421349</v>
      </c>
    </row>
    <row r="141" spans="5:68" x14ac:dyDescent="0.2">
      <c r="E141" s="173" t="s">
        <v>337</v>
      </c>
      <c r="F141" s="195"/>
      <c r="G141" s="195"/>
      <c r="H141" s="195"/>
      <c r="I141" s="20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209"/>
      <c r="AE141" s="195"/>
      <c r="AF141" s="195"/>
      <c r="AG141" s="195"/>
      <c r="AH141" s="195"/>
      <c r="AI141" s="195"/>
      <c r="AJ141" s="195"/>
      <c r="AK141" s="195"/>
      <c r="AL141" s="195"/>
      <c r="AM141" s="195">
        <f>Ore_to_PI!FM126</f>
        <v>4157895.2984628798</v>
      </c>
      <c r="AN141" s="195">
        <f>Ore_to_PI!FM141</f>
        <v>404209.15818875749</v>
      </c>
      <c r="AO141" s="195">
        <f>Ore_to_PI!FM104</f>
        <v>67875.356217847453</v>
      </c>
      <c r="AP141" s="214">
        <f t="shared" si="52"/>
        <v>4629979.8128694845</v>
      </c>
    </row>
    <row r="142" spans="5:68" x14ac:dyDescent="0.2">
      <c r="E142" s="173"/>
      <c r="F142" s="427" t="s">
        <v>329</v>
      </c>
      <c r="G142" s="427"/>
      <c r="H142" s="427"/>
      <c r="I142" s="427"/>
      <c r="J142" s="427"/>
      <c r="K142" s="427"/>
      <c r="L142" s="427"/>
      <c r="M142" s="427"/>
      <c r="N142" s="427"/>
      <c r="O142" s="427"/>
      <c r="P142" s="427"/>
      <c r="Q142" s="427"/>
      <c r="R142" s="427"/>
      <c r="S142" s="427"/>
      <c r="T142" s="427"/>
      <c r="U142" s="427"/>
      <c r="V142" s="427"/>
      <c r="W142" s="427"/>
      <c r="X142" s="427"/>
      <c r="Y142" s="427"/>
      <c r="Z142" s="427"/>
      <c r="AA142" s="427"/>
      <c r="AB142" s="427"/>
      <c r="AC142" s="427"/>
      <c r="AD142" s="427"/>
      <c r="AE142" s="427"/>
      <c r="AF142" s="427"/>
      <c r="AG142" s="427"/>
      <c r="AH142" s="427"/>
      <c r="AI142" s="427"/>
      <c r="AJ142" s="427"/>
      <c r="AK142" s="427"/>
      <c r="AL142" s="427"/>
      <c r="AM142" s="427"/>
      <c r="AN142" s="427"/>
      <c r="AO142" s="427"/>
      <c r="AP142" s="20" t="s">
        <v>365</v>
      </c>
      <c r="AQ142" s="20"/>
    </row>
    <row r="143" spans="5:68" x14ac:dyDescent="0.2">
      <c r="E143" s="173"/>
      <c r="F143" s="214">
        <f t="shared" ref="F143:AO143" si="53">SUM(F127:F141)</f>
        <v>0</v>
      </c>
      <c r="G143" s="214">
        <f t="shared" si="53"/>
        <v>0</v>
      </c>
      <c r="H143" s="214">
        <f t="shared" si="53"/>
        <v>0</v>
      </c>
      <c r="I143" s="214">
        <f t="shared" si="53"/>
        <v>0</v>
      </c>
      <c r="J143" s="214">
        <f t="shared" si="53"/>
        <v>0</v>
      </c>
      <c r="K143" s="214">
        <f t="shared" si="53"/>
        <v>0</v>
      </c>
      <c r="L143" s="214">
        <f t="shared" si="53"/>
        <v>0</v>
      </c>
      <c r="M143" s="214">
        <f t="shared" si="53"/>
        <v>0</v>
      </c>
      <c r="N143" s="214">
        <f t="shared" si="53"/>
        <v>0</v>
      </c>
      <c r="O143" s="214">
        <f t="shared" si="53"/>
        <v>108184.8596728804</v>
      </c>
      <c r="P143" s="214">
        <f t="shared" si="53"/>
        <v>2244.7960862667505</v>
      </c>
      <c r="Q143" s="214">
        <f t="shared" si="53"/>
        <v>25297.051877142174</v>
      </c>
      <c r="R143" s="214">
        <f t="shared" si="53"/>
        <v>6.7177820097776806</v>
      </c>
      <c r="S143" s="214">
        <f t="shared" si="53"/>
        <v>8855804.320336977</v>
      </c>
      <c r="T143" s="214">
        <f t="shared" si="53"/>
        <v>555.77441893806406</v>
      </c>
      <c r="U143" s="214">
        <f t="shared" si="53"/>
        <v>108184.8596728804</v>
      </c>
      <c r="V143" s="214">
        <f t="shared" si="53"/>
        <v>25297.051877142174</v>
      </c>
      <c r="W143" s="214">
        <f t="shared" si="53"/>
        <v>8855804.320336977</v>
      </c>
      <c r="X143" s="214">
        <f t="shared" si="53"/>
        <v>88071.706245154463</v>
      </c>
      <c r="Y143" s="214">
        <f t="shared" si="53"/>
        <v>21722.892325740406</v>
      </c>
      <c r="Z143" s="214">
        <f t="shared" si="53"/>
        <v>25297.051877142174</v>
      </c>
      <c r="AA143" s="214">
        <f t="shared" si="53"/>
        <v>8855804.320336977</v>
      </c>
      <c r="AB143" s="214">
        <f t="shared" si="53"/>
        <v>242016.07607977447</v>
      </c>
      <c r="AC143" s="214">
        <f t="shared" si="53"/>
        <v>7739.2511800711582</v>
      </c>
      <c r="AD143" s="214">
        <f t="shared" si="53"/>
        <v>87222.135331413883</v>
      </c>
      <c r="AE143" s="214">
        <f t="shared" si="53"/>
        <v>6408288.6211381694</v>
      </c>
      <c r="AF143" s="214">
        <f t="shared" si="53"/>
        <v>4026178.1360752485</v>
      </c>
      <c r="AG143" s="214">
        <f t="shared" si="53"/>
        <v>955411.7785075705</v>
      </c>
      <c r="AH143" s="214">
        <f t="shared" si="53"/>
        <v>8991.620323109395</v>
      </c>
      <c r="AI143" s="214">
        <f t="shared" si="53"/>
        <v>303788.26554911444</v>
      </c>
      <c r="AJ143" s="214">
        <f t="shared" si="53"/>
        <v>4043367.3234254471</v>
      </c>
      <c r="AK143" s="214">
        <f t="shared" si="53"/>
        <v>4043367.3234254471</v>
      </c>
      <c r="AL143" s="214">
        <f t="shared" si="53"/>
        <v>6682782.3361421349</v>
      </c>
      <c r="AM143" s="214">
        <f t="shared" si="53"/>
        <v>4157895.2984628798</v>
      </c>
      <c r="AN143" s="214">
        <f t="shared" si="53"/>
        <v>404209.15818875749</v>
      </c>
      <c r="AO143" s="214">
        <f t="shared" si="53"/>
        <v>67875.356217847453</v>
      </c>
    </row>
    <row r="144" spans="5:68" x14ac:dyDescent="0.2">
      <c r="E144" s="173"/>
      <c r="F144" s="427" t="s">
        <v>366</v>
      </c>
      <c r="G144" s="427"/>
      <c r="H144" s="427"/>
      <c r="I144" s="427"/>
      <c r="J144" s="427"/>
      <c r="K144" s="427"/>
      <c r="L144" s="427"/>
      <c r="M144" s="427"/>
      <c r="N144" s="427"/>
      <c r="O144" s="427"/>
      <c r="P144" s="427"/>
      <c r="Q144" s="427"/>
      <c r="R144" s="427"/>
      <c r="S144" s="427"/>
      <c r="T144" s="427"/>
      <c r="U144" s="427"/>
      <c r="V144" s="427"/>
      <c r="W144" s="427"/>
      <c r="X144" s="427"/>
      <c r="Y144" s="427"/>
      <c r="Z144" s="427"/>
      <c r="AA144" s="427"/>
      <c r="AB144" s="427"/>
      <c r="AC144" s="427"/>
      <c r="AD144" s="427"/>
      <c r="AE144" s="427"/>
      <c r="AF144" s="427"/>
      <c r="AG144" s="427"/>
      <c r="AH144" s="427"/>
      <c r="AI144" s="427"/>
      <c r="AJ144" s="427"/>
      <c r="AK144" s="427"/>
      <c r="AL144" s="427"/>
      <c r="AM144" s="427"/>
      <c r="AN144" s="427"/>
      <c r="AO144" s="427"/>
    </row>
    <row r="145" spans="5:43" x14ac:dyDescent="0.2">
      <c r="E145" s="173"/>
    </row>
    <row r="146" spans="5:43" x14ac:dyDescent="0.2">
      <c r="E146" s="173"/>
    </row>
    <row r="147" spans="5:43" x14ac:dyDescent="0.2">
      <c r="E147" s="173"/>
    </row>
    <row r="148" spans="5:43" x14ac:dyDescent="0.2">
      <c r="E148" s="173"/>
    </row>
    <row r="149" spans="5:43" x14ac:dyDescent="0.2">
      <c r="E149" s="173"/>
    </row>
    <row r="150" spans="5:43" x14ac:dyDescent="0.2">
      <c r="E150" s="173"/>
    </row>
    <row r="151" spans="5:43" x14ac:dyDescent="0.2">
      <c r="E151" s="173"/>
    </row>
    <row r="152" spans="5:43" x14ac:dyDescent="0.2">
      <c r="E152" s="173"/>
    </row>
    <row r="153" spans="5:43" x14ac:dyDescent="0.2">
      <c r="E153" s="173"/>
    </row>
    <row r="154" spans="5:43" x14ac:dyDescent="0.2">
      <c r="E154" s="173"/>
    </row>
    <row r="155" spans="5:43" ht="236" x14ac:dyDescent="0.2">
      <c r="E155" s="173"/>
      <c r="F155" s="176" t="s">
        <v>333</v>
      </c>
      <c r="G155" s="176" t="s">
        <v>335</v>
      </c>
      <c r="H155" s="176" t="s">
        <v>336</v>
      </c>
      <c r="I155" s="176" t="s">
        <v>355</v>
      </c>
      <c r="J155" s="176" t="s">
        <v>377</v>
      </c>
      <c r="K155" s="176" t="s">
        <v>466</v>
      </c>
      <c r="L155" s="176" t="s">
        <v>467</v>
      </c>
      <c r="M155" s="176" t="s">
        <v>411</v>
      </c>
      <c r="N155" s="176" t="s">
        <v>459</v>
      </c>
      <c r="O155" s="177" t="s">
        <v>442</v>
      </c>
      <c r="P155" s="176" t="s">
        <v>409</v>
      </c>
      <c r="Q155" s="177" t="s">
        <v>412</v>
      </c>
      <c r="R155" s="176" t="s">
        <v>437</v>
      </c>
      <c r="S155" s="178" t="s">
        <v>430</v>
      </c>
      <c r="T155" s="176" t="s">
        <v>416</v>
      </c>
      <c r="U155" s="177" t="s">
        <v>441</v>
      </c>
      <c r="V155" s="177" t="s">
        <v>436</v>
      </c>
      <c r="W155" s="177" t="s">
        <v>433</v>
      </c>
      <c r="X155" s="177" t="s">
        <v>439</v>
      </c>
      <c r="Y155" s="178" t="s">
        <v>438</v>
      </c>
      <c r="Z155" s="178" t="s">
        <v>424</v>
      </c>
      <c r="AA155" s="178" t="s">
        <v>456</v>
      </c>
      <c r="AB155" s="178" t="s">
        <v>425</v>
      </c>
      <c r="AC155" s="178" t="s">
        <v>427</v>
      </c>
      <c r="AD155" s="178" t="s">
        <v>426</v>
      </c>
      <c r="AE155" s="178" t="s">
        <v>484</v>
      </c>
      <c r="AF155" s="196" t="s">
        <v>422</v>
      </c>
      <c r="AG155" s="196" t="s">
        <v>552</v>
      </c>
      <c r="AH155" s="178" t="s">
        <v>421</v>
      </c>
      <c r="AI155" s="176" t="s">
        <v>423</v>
      </c>
      <c r="AJ155" s="178" t="s">
        <v>515</v>
      </c>
      <c r="AK155" s="178" t="s">
        <v>517</v>
      </c>
      <c r="AL155" s="178" t="s">
        <v>445</v>
      </c>
      <c r="AM155" s="178" t="s">
        <v>446</v>
      </c>
      <c r="AN155" s="178" t="s">
        <v>447</v>
      </c>
      <c r="AO155" s="178" t="s">
        <v>457</v>
      </c>
      <c r="AP155" s="178"/>
      <c r="AQ155" s="178"/>
    </row>
    <row r="156" spans="5:43" x14ac:dyDescent="0.2">
      <c r="E156" s="173" t="s">
        <v>332</v>
      </c>
      <c r="F156" s="206">
        <f>Ore_to_PI!V42</f>
        <v>108184.8596728804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</row>
    <row r="157" spans="5:43" ht="16" x14ac:dyDescent="0.2">
      <c r="E157" s="174" t="s">
        <v>334</v>
      </c>
      <c r="F157" s="206"/>
      <c r="G157" s="206">
        <f>Ore_to_PI!V126</f>
        <v>25297.051877142174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</row>
    <row r="158" spans="5:43" x14ac:dyDescent="0.2">
      <c r="E158" s="175" t="s">
        <v>356</v>
      </c>
      <c r="F158" s="206"/>
      <c r="G158" s="206"/>
      <c r="H158" s="206">
        <f>Ore_to_PI!V206</f>
        <v>8850991.3601140417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</row>
    <row r="159" spans="5:43" x14ac:dyDescent="0.2">
      <c r="E159" s="173" t="s">
        <v>380</v>
      </c>
      <c r="F159" s="206"/>
      <c r="G159" s="206"/>
      <c r="H159" s="206"/>
      <c r="I159" s="212">
        <f>Ore_to_PI!V236+Ore_to_PI!V163+Ore_to_PI!V72+Ore_to_PI!CB232+Ore_to_PI!CB140+Ore_to_PI!EM140</f>
        <v>29146.460466184486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</row>
    <row r="160" spans="5:43" x14ac:dyDescent="0.2">
      <c r="E160" s="173" t="s">
        <v>376</v>
      </c>
      <c r="F160" s="206"/>
      <c r="G160" s="206"/>
      <c r="H160" s="206"/>
      <c r="I160" s="206"/>
      <c r="J160" s="206">
        <f>Ore_to_PI!EM114+Ore_to_PI!CB152+Ore_to_PI!CB244</f>
        <v>14864300.668385513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</row>
    <row r="161" spans="5:47" x14ac:dyDescent="0.2">
      <c r="E161" s="173" t="s">
        <v>469</v>
      </c>
      <c r="F161" s="206"/>
      <c r="G161" s="206"/>
      <c r="H161" s="206"/>
      <c r="I161" s="206"/>
      <c r="J161" s="206"/>
      <c r="K161" s="206">
        <f>Ore_to_PI!V59+Ore_to_PI!V140+Ore_to_PI!V222</f>
        <v>117713.24639155329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U161" s="196"/>
    </row>
    <row r="162" spans="5:47" x14ac:dyDescent="0.2">
      <c r="E162" s="173" t="s">
        <v>468</v>
      </c>
      <c r="F162" s="206"/>
      <c r="G162" s="206"/>
      <c r="H162" s="206"/>
      <c r="I162" s="206"/>
      <c r="J162" s="206"/>
      <c r="K162" s="206"/>
      <c r="L162" s="206">
        <f>Ore_to_PI!V151</f>
        <v>24.076233417548465</v>
      </c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</row>
    <row r="163" spans="5:47" x14ac:dyDescent="0.2">
      <c r="E163" s="173" t="s">
        <v>410</v>
      </c>
      <c r="F163" s="206"/>
      <c r="G163" s="206"/>
      <c r="H163" s="206"/>
      <c r="I163" s="206"/>
      <c r="J163" s="206"/>
      <c r="K163" s="206"/>
      <c r="L163" s="206"/>
      <c r="M163" s="206">
        <f>Ore_to_PI!EM101</f>
        <v>29112.263489807588</v>
      </c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</row>
    <row r="164" spans="5:47" x14ac:dyDescent="0.2">
      <c r="E164" s="173" t="s">
        <v>458</v>
      </c>
      <c r="F164" s="206"/>
      <c r="G164" s="206"/>
      <c r="H164" s="206"/>
      <c r="I164" s="206"/>
      <c r="J164" s="206"/>
      <c r="K164" s="206"/>
      <c r="L164" s="206"/>
      <c r="M164" s="206"/>
      <c r="N164" s="206">
        <f>Ore_to_PI!EU117+Ore_to_PI!BM116+Ore_to_PI!AU113+Ore_to_PI!AC195+Ore_to_PI!AU190+Ore_to_PI!BM195+Ore_to_PI!DD229+Ore_to_PI!BN35+Ore_to_PI!AU28</f>
        <v>1058348.7350491155</v>
      </c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</row>
    <row r="165" spans="5:47" x14ac:dyDescent="0.2">
      <c r="F165" s="427" t="s">
        <v>56</v>
      </c>
      <c r="G165" s="427"/>
      <c r="H165" s="427"/>
      <c r="I165" s="427"/>
      <c r="J165" s="427"/>
      <c r="K165" s="427"/>
      <c r="L165" s="427"/>
      <c r="M165" s="427"/>
      <c r="N165" s="427"/>
      <c r="O165" s="427"/>
      <c r="P165" s="427"/>
      <c r="Q165" s="427"/>
      <c r="R165" s="427"/>
      <c r="S165" s="427"/>
      <c r="T165" s="427"/>
      <c r="U165" s="427"/>
      <c r="V165" s="427"/>
      <c r="W165" s="427"/>
      <c r="X165" s="427"/>
      <c r="Y165" s="427"/>
      <c r="Z165" s="427"/>
      <c r="AA165" s="427"/>
      <c r="AB165" s="427"/>
      <c r="AC165" s="427"/>
      <c r="AD165" s="427"/>
      <c r="AE165" s="427"/>
      <c r="AF165" s="427"/>
      <c r="AG165" s="427"/>
      <c r="AH165" s="427"/>
      <c r="AI165" s="427"/>
      <c r="AJ165" s="427"/>
      <c r="AK165" s="427"/>
      <c r="AL165" s="427"/>
      <c r="AM165" s="427"/>
      <c r="AN165" s="427"/>
      <c r="AO165" s="427"/>
      <c r="AP165" s="20"/>
      <c r="AQ165" s="20"/>
    </row>
    <row r="166" spans="5:47" x14ac:dyDescent="0.2">
      <c r="F166" s="214">
        <f t="shared" ref="F166:AO166" si="54">SUM(F156:F164)</f>
        <v>108184.8596728804</v>
      </c>
      <c r="G166" s="214">
        <f t="shared" si="54"/>
        <v>25297.051877142174</v>
      </c>
      <c r="H166" s="214">
        <f t="shared" si="54"/>
        <v>8850991.3601140417</v>
      </c>
      <c r="I166" s="214">
        <f t="shared" si="54"/>
        <v>29146.460466184486</v>
      </c>
      <c r="J166" s="214">
        <f t="shared" si="54"/>
        <v>14864300.668385513</v>
      </c>
      <c r="K166" s="214">
        <f t="shared" si="54"/>
        <v>117713.24639155329</v>
      </c>
      <c r="L166" s="214">
        <f t="shared" si="54"/>
        <v>24.076233417548465</v>
      </c>
      <c r="M166" s="214">
        <f t="shared" si="54"/>
        <v>29112.263489807588</v>
      </c>
      <c r="N166" s="214">
        <f t="shared" si="54"/>
        <v>1058348.7350491155</v>
      </c>
      <c r="O166" s="214">
        <f t="shared" si="54"/>
        <v>0</v>
      </c>
      <c r="P166" s="214">
        <f t="shared" si="54"/>
        <v>0</v>
      </c>
      <c r="Q166" s="214">
        <f t="shared" si="54"/>
        <v>0</v>
      </c>
      <c r="R166" s="214">
        <f t="shared" si="54"/>
        <v>0</v>
      </c>
      <c r="S166" s="214">
        <f t="shared" si="54"/>
        <v>0</v>
      </c>
      <c r="T166" s="214">
        <f t="shared" si="54"/>
        <v>0</v>
      </c>
      <c r="U166" s="214">
        <f t="shared" si="54"/>
        <v>0</v>
      </c>
      <c r="V166" s="214">
        <f t="shared" si="54"/>
        <v>0</v>
      </c>
      <c r="W166" s="214">
        <f t="shared" si="54"/>
        <v>0</v>
      </c>
      <c r="X166" s="214">
        <f t="shared" si="54"/>
        <v>0</v>
      </c>
      <c r="Y166" s="214">
        <f t="shared" si="54"/>
        <v>0</v>
      </c>
      <c r="Z166" s="214">
        <f t="shared" si="54"/>
        <v>0</v>
      </c>
      <c r="AA166" s="214">
        <f t="shared" si="54"/>
        <v>0</v>
      </c>
      <c r="AB166" s="214">
        <f t="shared" si="54"/>
        <v>0</v>
      </c>
      <c r="AC166" s="214">
        <f t="shared" si="54"/>
        <v>0</v>
      </c>
      <c r="AD166" s="214">
        <f t="shared" si="54"/>
        <v>0</v>
      </c>
      <c r="AE166" s="214">
        <f t="shared" si="54"/>
        <v>0</v>
      </c>
      <c r="AF166" s="214">
        <f t="shared" si="54"/>
        <v>0</v>
      </c>
      <c r="AG166" s="214">
        <f t="shared" si="54"/>
        <v>0</v>
      </c>
      <c r="AH166" s="214">
        <f t="shared" si="54"/>
        <v>0</v>
      </c>
      <c r="AI166" s="214">
        <f t="shared" si="54"/>
        <v>0</v>
      </c>
      <c r="AJ166" s="214">
        <f t="shared" si="54"/>
        <v>0</v>
      </c>
      <c r="AK166" s="214">
        <f t="shared" si="54"/>
        <v>0</v>
      </c>
      <c r="AL166" s="214">
        <f t="shared" si="54"/>
        <v>0</v>
      </c>
      <c r="AM166" s="214">
        <f t="shared" si="54"/>
        <v>0</v>
      </c>
      <c r="AN166" s="214">
        <f t="shared" si="54"/>
        <v>0</v>
      </c>
      <c r="AO166" s="214">
        <f t="shared" si="54"/>
        <v>0</v>
      </c>
    </row>
    <row r="167" spans="5:47" x14ac:dyDescent="0.2">
      <c r="F167" s="427" t="s">
        <v>367</v>
      </c>
      <c r="G167" s="427"/>
      <c r="H167" s="427"/>
      <c r="I167" s="427"/>
      <c r="J167" s="427"/>
      <c r="K167" s="427"/>
      <c r="L167" s="427"/>
      <c r="M167" s="427"/>
      <c r="N167" s="427"/>
      <c r="O167" s="427"/>
      <c r="P167" s="427"/>
      <c r="Q167" s="427"/>
      <c r="R167" s="427"/>
      <c r="S167" s="427"/>
      <c r="T167" s="427"/>
      <c r="U167" s="427"/>
      <c r="V167" s="427"/>
      <c r="W167" s="427"/>
      <c r="X167" s="427"/>
      <c r="Y167" s="427"/>
      <c r="Z167" s="427"/>
      <c r="AA167" s="427"/>
      <c r="AB167" s="427"/>
      <c r="AC167" s="427"/>
      <c r="AD167" s="427"/>
      <c r="AE167" s="427"/>
      <c r="AF167" s="427"/>
      <c r="AG167" s="427"/>
      <c r="AH167" s="427"/>
      <c r="AI167" s="427"/>
      <c r="AJ167" s="427"/>
      <c r="AK167" s="427"/>
      <c r="AL167" s="427"/>
      <c r="AM167" s="427"/>
      <c r="AN167" s="427"/>
      <c r="AO167" s="427"/>
      <c r="AP167" s="20"/>
      <c r="AQ167" s="20"/>
    </row>
    <row r="171" spans="5:47" x14ac:dyDescent="0.2">
      <c r="F171" s="427" t="s">
        <v>461</v>
      </c>
      <c r="G171" s="427"/>
      <c r="H171" s="427"/>
      <c r="I171" s="427"/>
      <c r="J171" s="427"/>
      <c r="K171" s="427"/>
      <c r="L171" s="427"/>
      <c r="M171" s="427"/>
      <c r="N171" s="42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"/>
      <c r="Y171" s="20"/>
    </row>
    <row r="174" spans="5:47" x14ac:dyDescent="0.2">
      <c r="E174" s="173" t="s">
        <v>333</v>
      </c>
      <c r="F174" s="214" cm="1">
        <f t="array" ref="F174:F209">TRANSPOSE((F166:AO166))</f>
        <v>108184.8596728804</v>
      </c>
      <c r="H174" s="214" cm="1">
        <f t="array" ref="H174:H209">TRANSPOSE(F143:AO143)</f>
        <v>0</v>
      </c>
      <c r="J174" s="214">
        <f t="shared" ref="J174:J200" si="55">BJ87</f>
        <v>108184.8596728804</v>
      </c>
      <c r="L174" s="214" cm="1">
        <f t="array" ref="L174:L209">BQ87:BQ122</f>
        <v>0</v>
      </c>
      <c r="N174" s="257">
        <f>F174+H174-J174-L174</f>
        <v>0</v>
      </c>
    </row>
    <row r="175" spans="5:47" x14ac:dyDescent="0.2">
      <c r="E175" s="173" t="s">
        <v>335</v>
      </c>
      <c r="F175" s="214">
        <v>25297.051877142174</v>
      </c>
      <c r="H175" s="214">
        <v>0</v>
      </c>
      <c r="J175" s="214">
        <f t="shared" si="55"/>
        <v>25297.051877142174</v>
      </c>
      <c r="L175" s="214">
        <v>0</v>
      </c>
      <c r="N175" s="257">
        <f>F175+H175-J175-L175</f>
        <v>0</v>
      </c>
    </row>
    <row r="176" spans="5:47" x14ac:dyDescent="0.2">
      <c r="E176" s="173" t="s">
        <v>336</v>
      </c>
      <c r="F176" s="214">
        <v>8850991.3601140417</v>
      </c>
      <c r="H176" s="214">
        <v>0</v>
      </c>
      <c r="J176" s="214">
        <f t="shared" si="55"/>
        <v>8850991.3601140417</v>
      </c>
      <c r="L176" s="214">
        <v>0</v>
      </c>
      <c r="N176" s="257">
        <f>F176+H176-J176-L176</f>
        <v>0</v>
      </c>
    </row>
    <row r="177" spans="5:14" x14ac:dyDescent="0.2">
      <c r="E177" s="173" t="s">
        <v>355</v>
      </c>
      <c r="F177" s="214">
        <v>29146.460466184486</v>
      </c>
      <c r="H177" s="214">
        <v>0</v>
      </c>
      <c r="J177" s="214">
        <f t="shared" si="55"/>
        <v>29146.460466184486</v>
      </c>
      <c r="L177" s="214">
        <v>0</v>
      </c>
      <c r="N177" s="257">
        <f>ROUND(F177+H177-J177-L177, 10)</f>
        <v>0</v>
      </c>
    </row>
    <row r="178" spans="5:14" x14ac:dyDescent="0.2">
      <c r="E178" s="173" t="s">
        <v>377</v>
      </c>
      <c r="F178" s="214">
        <v>14864300.668385513</v>
      </c>
      <c r="H178" s="214">
        <v>0</v>
      </c>
      <c r="J178" s="214">
        <f t="shared" si="55"/>
        <v>14864300.668385513</v>
      </c>
      <c r="L178" s="214">
        <v>0</v>
      </c>
      <c r="N178" s="257">
        <f t="shared" ref="N178:N193" si="56">F178+H178-J178-L178</f>
        <v>0</v>
      </c>
    </row>
    <row r="179" spans="5:14" x14ac:dyDescent="0.2">
      <c r="E179" s="173" t="s">
        <v>466</v>
      </c>
      <c r="F179" s="214">
        <v>117713.24639155329</v>
      </c>
      <c r="H179" s="214">
        <v>0</v>
      </c>
      <c r="J179" s="214">
        <f t="shared" si="55"/>
        <v>117713.24639155329</v>
      </c>
      <c r="L179" s="214">
        <v>0</v>
      </c>
      <c r="N179" s="257">
        <f t="shared" si="56"/>
        <v>0</v>
      </c>
    </row>
    <row r="180" spans="5:14" x14ac:dyDescent="0.2">
      <c r="E180" s="173" t="s">
        <v>467</v>
      </c>
      <c r="F180" s="214">
        <v>24.076233417548465</v>
      </c>
      <c r="H180" s="214">
        <v>0</v>
      </c>
      <c r="J180" s="214">
        <f t="shared" si="55"/>
        <v>24.076233417548465</v>
      </c>
      <c r="L180" s="214">
        <v>0</v>
      </c>
      <c r="N180" s="257">
        <f t="shared" si="56"/>
        <v>0</v>
      </c>
    </row>
    <row r="181" spans="5:14" x14ac:dyDescent="0.2">
      <c r="E181" s="173" t="s">
        <v>411</v>
      </c>
      <c r="F181" s="214">
        <v>29112.263489807588</v>
      </c>
      <c r="H181" s="214">
        <v>0</v>
      </c>
      <c r="J181" s="214">
        <f t="shared" si="55"/>
        <v>29112.263489807588</v>
      </c>
      <c r="L181" s="214">
        <v>0</v>
      </c>
      <c r="N181" s="257">
        <f t="shared" si="56"/>
        <v>0</v>
      </c>
    </row>
    <row r="182" spans="5:14" x14ac:dyDescent="0.2">
      <c r="E182" s="173" t="s">
        <v>459</v>
      </c>
      <c r="F182" s="214">
        <v>1058348.7350491155</v>
      </c>
      <c r="H182" s="214">
        <v>0</v>
      </c>
      <c r="J182" s="214">
        <f t="shared" si="55"/>
        <v>1058348.7350491155</v>
      </c>
      <c r="L182" s="214">
        <v>0</v>
      </c>
      <c r="N182" s="257">
        <f t="shared" si="56"/>
        <v>0</v>
      </c>
    </row>
    <row r="183" spans="5:14" ht="16" x14ac:dyDescent="0.2">
      <c r="E183" s="174" t="s">
        <v>442</v>
      </c>
      <c r="F183" s="214">
        <v>0</v>
      </c>
      <c r="H183" s="214">
        <v>108184.8596728804</v>
      </c>
      <c r="J183" s="214">
        <f t="shared" si="55"/>
        <v>108184.8596728804</v>
      </c>
      <c r="L183" s="214">
        <v>0</v>
      </c>
      <c r="N183" s="257">
        <f t="shared" si="56"/>
        <v>0</v>
      </c>
    </row>
    <row r="184" spans="5:14" x14ac:dyDescent="0.2">
      <c r="E184" s="173" t="s">
        <v>409</v>
      </c>
      <c r="F184" s="214">
        <v>0</v>
      </c>
      <c r="H184" s="214">
        <v>2244.7960862667505</v>
      </c>
      <c r="J184" s="214">
        <f t="shared" si="55"/>
        <v>0</v>
      </c>
      <c r="L184" s="214">
        <v>2244.7960862667505</v>
      </c>
      <c r="N184" s="257">
        <f t="shared" si="56"/>
        <v>0</v>
      </c>
    </row>
    <row r="185" spans="5:14" ht="16" x14ac:dyDescent="0.2">
      <c r="E185" s="174" t="s">
        <v>412</v>
      </c>
      <c r="F185" s="214">
        <v>0</v>
      </c>
      <c r="H185" s="214">
        <v>25297.051877142174</v>
      </c>
      <c r="J185" s="214">
        <f t="shared" si="55"/>
        <v>25297.051877142174</v>
      </c>
      <c r="L185" s="214">
        <v>0</v>
      </c>
      <c r="N185" s="257">
        <f t="shared" si="56"/>
        <v>0</v>
      </c>
    </row>
    <row r="186" spans="5:14" x14ac:dyDescent="0.2">
      <c r="E186" s="173" t="s">
        <v>437</v>
      </c>
      <c r="F186" s="214">
        <v>0</v>
      </c>
      <c r="H186" s="214">
        <v>6.7177820097776806</v>
      </c>
      <c r="J186" s="214">
        <f t="shared" si="55"/>
        <v>0</v>
      </c>
      <c r="L186" s="214">
        <v>6.7177820097776806</v>
      </c>
      <c r="N186" s="257">
        <f t="shared" si="56"/>
        <v>0</v>
      </c>
    </row>
    <row r="187" spans="5:14" x14ac:dyDescent="0.2">
      <c r="E187" s="175" t="s">
        <v>430</v>
      </c>
      <c r="F187" s="214">
        <v>0</v>
      </c>
      <c r="G187" s="221" t="s">
        <v>371</v>
      </c>
      <c r="H187" s="214">
        <v>8855804.320336977</v>
      </c>
      <c r="I187" s="142" t="s">
        <v>373</v>
      </c>
      <c r="J187" s="214">
        <f t="shared" si="55"/>
        <v>8855804.320336977</v>
      </c>
      <c r="K187" s="142" t="s">
        <v>373</v>
      </c>
      <c r="L187" s="214">
        <v>0</v>
      </c>
      <c r="M187" s="221" t="s">
        <v>374</v>
      </c>
      <c r="N187" s="257">
        <f t="shared" si="56"/>
        <v>0</v>
      </c>
    </row>
    <row r="188" spans="5:14" x14ac:dyDescent="0.2">
      <c r="E188" s="173" t="s">
        <v>416</v>
      </c>
      <c r="F188" s="214">
        <v>0</v>
      </c>
      <c r="H188" s="214">
        <v>555.77441893806406</v>
      </c>
      <c r="J188" s="214">
        <f t="shared" si="55"/>
        <v>0</v>
      </c>
      <c r="L188" s="214">
        <v>555.77441893806406</v>
      </c>
      <c r="N188" s="257">
        <f t="shared" si="56"/>
        <v>0</v>
      </c>
    </row>
    <row r="189" spans="5:14" ht="16" x14ac:dyDescent="0.2">
      <c r="E189" s="174" t="s">
        <v>441</v>
      </c>
      <c r="F189" s="214">
        <v>0</v>
      </c>
      <c r="H189" s="214">
        <v>108184.8596728804</v>
      </c>
      <c r="J189" s="214">
        <f t="shared" si="55"/>
        <v>108184.8596728804</v>
      </c>
      <c r="L189" s="214">
        <v>0</v>
      </c>
      <c r="N189" s="257">
        <f t="shared" si="56"/>
        <v>0</v>
      </c>
    </row>
    <row r="190" spans="5:14" ht="16" x14ac:dyDescent="0.2">
      <c r="E190" s="174" t="s">
        <v>436</v>
      </c>
      <c r="F190" s="214">
        <v>0</v>
      </c>
      <c r="H190" s="214">
        <v>25297.051877142174</v>
      </c>
      <c r="J190" s="214">
        <f t="shared" si="55"/>
        <v>25297.051877142174</v>
      </c>
      <c r="L190" s="214">
        <v>0</v>
      </c>
      <c r="N190" s="257">
        <f t="shared" si="56"/>
        <v>0</v>
      </c>
    </row>
    <row r="191" spans="5:14" ht="16" x14ac:dyDescent="0.2">
      <c r="E191" s="174" t="s">
        <v>433</v>
      </c>
      <c r="F191" s="214">
        <v>0</v>
      </c>
      <c r="H191" s="214">
        <v>8855804.320336977</v>
      </c>
      <c r="J191" s="214">
        <f t="shared" si="55"/>
        <v>8855804.320336977</v>
      </c>
      <c r="L191" s="214">
        <v>0</v>
      </c>
      <c r="N191" s="257">
        <f t="shared" si="56"/>
        <v>0</v>
      </c>
    </row>
    <row r="192" spans="5:14" ht="16" x14ac:dyDescent="0.2">
      <c r="E192" s="174" t="s">
        <v>439</v>
      </c>
      <c r="F192" s="214">
        <v>0</v>
      </c>
      <c r="H192" s="214">
        <v>88071.706245154463</v>
      </c>
      <c r="J192" s="214">
        <f t="shared" si="55"/>
        <v>88071.706245154463</v>
      </c>
      <c r="L192" s="214">
        <v>0</v>
      </c>
      <c r="N192" s="257">
        <f t="shared" si="56"/>
        <v>0</v>
      </c>
    </row>
    <row r="193" spans="5:22" x14ac:dyDescent="0.2">
      <c r="E193" s="175" t="s">
        <v>438</v>
      </c>
      <c r="F193" s="214">
        <v>0</v>
      </c>
      <c r="H193" s="214">
        <v>21722.892325740406</v>
      </c>
      <c r="J193" s="214">
        <f t="shared" si="55"/>
        <v>0</v>
      </c>
      <c r="L193" s="214">
        <v>21722.892325740406</v>
      </c>
      <c r="N193" s="257">
        <f t="shared" si="56"/>
        <v>0</v>
      </c>
    </row>
    <row r="194" spans="5:22" x14ac:dyDescent="0.2">
      <c r="E194" s="175" t="s">
        <v>424</v>
      </c>
      <c r="F194" s="214">
        <v>0</v>
      </c>
      <c r="H194" s="214">
        <v>25297.051877142174</v>
      </c>
      <c r="J194" s="214">
        <f t="shared" si="55"/>
        <v>25297.051877142174</v>
      </c>
      <c r="L194" s="214">
        <v>0</v>
      </c>
      <c r="N194" s="257">
        <f t="shared" ref="N194:N209" si="57">F194+H194-J194-L194</f>
        <v>0</v>
      </c>
      <c r="Q194" s="20"/>
      <c r="S194" s="20"/>
      <c r="T194" s="20"/>
      <c r="U194" s="20"/>
    </row>
    <row r="195" spans="5:22" x14ac:dyDescent="0.2">
      <c r="E195" s="175" t="s">
        <v>456</v>
      </c>
      <c r="F195" s="214">
        <v>0</v>
      </c>
      <c r="H195" s="214">
        <v>8855804.320336977</v>
      </c>
      <c r="J195" s="214">
        <f t="shared" si="55"/>
        <v>8855804.320336977</v>
      </c>
      <c r="L195" s="214">
        <v>0</v>
      </c>
      <c r="N195" s="257">
        <f t="shared" si="57"/>
        <v>0</v>
      </c>
      <c r="Q195" s="20"/>
      <c r="S195" s="20"/>
      <c r="T195" s="20"/>
      <c r="U195" s="20"/>
    </row>
    <row r="196" spans="5:22" x14ac:dyDescent="0.2">
      <c r="E196" s="175" t="s">
        <v>425</v>
      </c>
      <c r="F196" s="214">
        <v>0</v>
      </c>
      <c r="H196" s="214">
        <v>242016.07607977447</v>
      </c>
      <c r="J196" s="214">
        <f t="shared" si="55"/>
        <v>242016.07607977447</v>
      </c>
      <c r="L196" s="214">
        <v>0</v>
      </c>
      <c r="N196" s="257">
        <f t="shared" si="57"/>
        <v>0</v>
      </c>
      <c r="Q196" s="20"/>
      <c r="S196" s="20"/>
      <c r="T196" s="20"/>
      <c r="U196" s="20"/>
    </row>
    <row r="197" spans="5:22" x14ac:dyDescent="0.2">
      <c r="E197" s="175" t="s">
        <v>427</v>
      </c>
      <c r="F197" s="214">
        <v>0</v>
      </c>
      <c r="H197" s="214">
        <v>7739.2511800711582</v>
      </c>
      <c r="J197" s="214">
        <f t="shared" si="55"/>
        <v>0</v>
      </c>
      <c r="L197" s="214">
        <v>7739.2511800711582</v>
      </c>
      <c r="N197" s="257">
        <f t="shared" si="57"/>
        <v>0</v>
      </c>
      <c r="Q197" s="20"/>
      <c r="S197" s="20"/>
      <c r="T197" s="20"/>
      <c r="U197" s="20"/>
    </row>
    <row r="198" spans="5:22" x14ac:dyDescent="0.2">
      <c r="E198" s="175" t="s">
        <v>426</v>
      </c>
      <c r="F198" s="214">
        <v>0</v>
      </c>
      <c r="H198" s="214">
        <v>87222.135331413883</v>
      </c>
      <c r="J198" s="214">
        <f t="shared" si="55"/>
        <v>0</v>
      </c>
      <c r="L198" s="214">
        <v>87222.135331413883</v>
      </c>
      <c r="N198" s="257">
        <f t="shared" si="57"/>
        <v>0</v>
      </c>
      <c r="Q198" s="20"/>
      <c r="S198" s="20"/>
      <c r="T198" s="20"/>
      <c r="U198" s="20"/>
    </row>
    <row r="199" spans="5:22" x14ac:dyDescent="0.2">
      <c r="E199" s="175" t="s">
        <v>484</v>
      </c>
      <c r="F199" s="214">
        <v>0</v>
      </c>
      <c r="H199" s="214">
        <v>6408288.6211381694</v>
      </c>
      <c r="J199" s="214">
        <f t="shared" si="55"/>
        <v>6408288.6211381694</v>
      </c>
      <c r="L199" s="214">
        <v>0</v>
      </c>
      <c r="N199" s="257">
        <f t="shared" si="57"/>
        <v>0</v>
      </c>
    </row>
    <row r="200" spans="5:22" ht="16" x14ac:dyDescent="0.2">
      <c r="E200" s="215" t="s">
        <v>422</v>
      </c>
      <c r="F200" s="214">
        <v>0</v>
      </c>
      <c r="H200" s="214">
        <v>4026178.1360752485</v>
      </c>
      <c r="J200" s="214">
        <f t="shared" si="55"/>
        <v>4026178.1360752485</v>
      </c>
      <c r="L200" s="214">
        <v>0</v>
      </c>
      <c r="N200" s="257">
        <f t="shared" si="57"/>
        <v>0</v>
      </c>
    </row>
    <row r="201" spans="5:22" ht="16" x14ac:dyDescent="0.2">
      <c r="E201" s="215" t="s">
        <v>552</v>
      </c>
      <c r="F201" s="214">
        <v>0</v>
      </c>
      <c r="H201" s="214">
        <v>955411.7785075705</v>
      </c>
      <c r="J201" s="214">
        <f t="shared" ref="J201:J209" si="58">BJ114</f>
        <v>0</v>
      </c>
      <c r="L201" s="214">
        <v>955411.7785075705</v>
      </c>
      <c r="N201" s="257">
        <f t="shared" si="57"/>
        <v>0</v>
      </c>
    </row>
    <row r="202" spans="5:22" x14ac:dyDescent="0.2">
      <c r="E202" s="175" t="s">
        <v>421</v>
      </c>
      <c r="F202" s="214">
        <v>0</v>
      </c>
      <c r="H202" s="214">
        <v>8991.620323109395</v>
      </c>
      <c r="J202" s="214">
        <f t="shared" si="58"/>
        <v>0</v>
      </c>
      <c r="L202" s="214">
        <v>8991.620323109395</v>
      </c>
      <c r="N202" s="257">
        <f t="shared" si="57"/>
        <v>0</v>
      </c>
      <c r="O202" s="20"/>
    </row>
    <row r="203" spans="5:22" x14ac:dyDescent="0.2">
      <c r="E203" s="173" t="s">
        <v>423</v>
      </c>
      <c r="F203" s="214">
        <v>0</v>
      </c>
      <c r="H203" s="214">
        <v>303788.26554911444</v>
      </c>
      <c r="J203" s="214">
        <f t="shared" si="58"/>
        <v>0</v>
      </c>
      <c r="L203" s="214">
        <v>303788.26554911444</v>
      </c>
      <c r="N203" s="257">
        <f t="shared" si="57"/>
        <v>0</v>
      </c>
    </row>
    <row r="204" spans="5:22" x14ac:dyDescent="0.2">
      <c r="E204" s="175" t="s">
        <v>515</v>
      </c>
      <c r="F204" s="214">
        <v>0</v>
      </c>
      <c r="H204" s="214">
        <v>4043367.3234254471</v>
      </c>
      <c r="J204" s="214">
        <f t="shared" si="58"/>
        <v>4043367.3234254471</v>
      </c>
      <c r="L204" s="214">
        <v>0</v>
      </c>
      <c r="N204" s="257">
        <f t="shared" si="57"/>
        <v>0</v>
      </c>
    </row>
    <row r="205" spans="5:22" x14ac:dyDescent="0.2">
      <c r="E205" s="175" t="s">
        <v>517</v>
      </c>
      <c r="F205" s="214">
        <v>0</v>
      </c>
      <c r="H205" s="214">
        <v>4043367.3234254471</v>
      </c>
      <c r="J205" s="214">
        <f t="shared" si="58"/>
        <v>2830357.1263978118</v>
      </c>
      <c r="L205" s="214">
        <v>1213010.1970276341</v>
      </c>
      <c r="N205" s="257">
        <f t="shared" si="57"/>
        <v>0</v>
      </c>
    </row>
    <row r="206" spans="5:22" x14ac:dyDescent="0.2">
      <c r="E206" s="175" t="s">
        <v>445</v>
      </c>
      <c r="F206" s="214">
        <v>0</v>
      </c>
      <c r="H206" s="214">
        <v>6682782.3361421349</v>
      </c>
      <c r="J206" s="214">
        <f t="shared" si="58"/>
        <v>6682782.3361421349</v>
      </c>
      <c r="L206" s="214">
        <v>0</v>
      </c>
      <c r="N206" s="257">
        <f t="shared" si="57"/>
        <v>0</v>
      </c>
      <c r="S206" s="207"/>
      <c r="T206" s="207"/>
      <c r="U206" s="207"/>
      <c r="V206" s="207"/>
    </row>
    <row r="207" spans="5:22" x14ac:dyDescent="0.2">
      <c r="E207" s="175" t="s">
        <v>446</v>
      </c>
      <c r="F207" s="214">
        <v>0</v>
      </c>
      <c r="H207" s="214">
        <v>4157895.2984628798</v>
      </c>
      <c r="J207" s="214">
        <f t="shared" si="58"/>
        <v>0</v>
      </c>
      <c r="L207" s="214">
        <v>4157895.2984628798</v>
      </c>
      <c r="N207" s="257">
        <f t="shared" si="57"/>
        <v>0</v>
      </c>
    </row>
    <row r="208" spans="5:22" x14ac:dyDescent="0.2">
      <c r="E208" s="175" t="s">
        <v>447</v>
      </c>
      <c r="F208" s="214">
        <v>0</v>
      </c>
      <c r="H208" s="214">
        <v>404209.15818875749</v>
      </c>
      <c r="J208" s="214">
        <f t="shared" si="58"/>
        <v>0</v>
      </c>
      <c r="L208" s="214">
        <v>404209.15818875749</v>
      </c>
      <c r="N208" s="257">
        <f t="shared" si="57"/>
        <v>0</v>
      </c>
    </row>
    <row r="209" spans="5:18" x14ac:dyDescent="0.2">
      <c r="E209" s="175" t="s">
        <v>457</v>
      </c>
      <c r="F209" s="214">
        <v>0</v>
      </c>
      <c r="H209" s="214">
        <v>67875.356217847453</v>
      </c>
      <c r="J209" s="214">
        <f t="shared" si="58"/>
        <v>0</v>
      </c>
      <c r="L209" s="214">
        <v>67875.356217847453</v>
      </c>
      <c r="N209" s="257">
        <f t="shared" si="57"/>
        <v>0</v>
      </c>
    </row>
    <row r="210" spans="5:18" ht="17" x14ac:dyDescent="0.2">
      <c r="E210" s="175"/>
      <c r="F210" s="3" t="s">
        <v>370</v>
      </c>
      <c r="H210" s="3" t="s">
        <v>372</v>
      </c>
      <c r="J210" s="20" t="s">
        <v>369</v>
      </c>
      <c r="L210" s="20" t="s">
        <v>38</v>
      </c>
      <c r="N210" s="20">
        <v>0</v>
      </c>
    </row>
    <row r="211" spans="5:18" x14ac:dyDescent="0.2">
      <c r="E211" s="175"/>
      <c r="J211" s="20"/>
      <c r="L211" s="20"/>
    </row>
    <row r="212" spans="5:18" x14ac:dyDescent="0.2">
      <c r="E212" s="175"/>
    </row>
    <row r="213" spans="5:18" x14ac:dyDescent="0.2">
      <c r="F213" s="427" t="s">
        <v>490</v>
      </c>
      <c r="G213" s="427"/>
      <c r="H213" s="427"/>
      <c r="I213" s="427"/>
      <c r="J213" s="427"/>
      <c r="O213" s="207"/>
      <c r="P213" s="207"/>
    </row>
    <row r="216" spans="5:18" x14ac:dyDescent="0.2">
      <c r="E216" s="173" t="s">
        <v>325</v>
      </c>
      <c r="F216" s="214" cm="1">
        <f t="array" ref="F216:F230">TRANSPOSE((AU124:BI124))</f>
        <v>202456.09318826307</v>
      </c>
      <c r="H216" s="214">
        <f t="shared" ref="H216:H230" si="59">AP127</f>
        <v>110429.65575914715</v>
      </c>
      <c r="J216" s="214">
        <f>F216-H216</f>
        <v>92026.437429115918</v>
      </c>
    </row>
    <row r="217" spans="5:18" x14ac:dyDescent="0.2">
      <c r="E217" s="173" t="s">
        <v>326</v>
      </c>
      <c r="F217" s="214">
        <v>25579.496946587489</v>
      </c>
      <c r="H217" s="214">
        <f t="shared" si="59"/>
        <v>25303.769659151953</v>
      </c>
      <c r="J217" s="214">
        <f t="shared" ref="J217:J230" si="60">F217-H217</f>
        <v>275.72728743553671</v>
      </c>
      <c r="Q217" s="207"/>
      <c r="R217" s="207"/>
    </row>
    <row r="218" spans="5:18" x14ac:dyDescent="0.2">
      <c r="E218" s="173" t="s">
        <v>327</v>
      </c>
      <c r="F218" s="214">
        <v>8954947.7300760113</v>
      </c>
      <c r="H218" s="214">
        <f t="shared" si="59"/>
        <v>8856360.0947559159</v>
      </c>
      <c r="J218" s="214">
        <f t="shared" si="60"/>
        <v>98587.635320095345</v>
      </c>
    </row>
    <row r="219" spans="5:18" x14ac:dyDescent="0.2">
      <c r="E219" s="173" t="s">
        <v>455</v>
      </c>
      <c r="F219" s="214">
        <v>717977.11143222859</v>
      </c>
      <c r="G219" s="216"/>
      <c r="H219" s="214">
        <f t="shared" si="59"/>
        <v>108184.8596728804</v>
      </c>
      <c r="I219" s="216"/>
      <c r="J219" s="214">
        <f t="shared" si="60"/>
        <v>609792.2517593482</v>
      </c>
    </row>
    <row r="220" spans="5:18" x14ac:dyDescent="0.2">
      <c r="E220" s="173" t="s">
        <v>435</v>
      </c>
      <c r="F220" s="214">
        <v>28121.937524887093</v>
      </c>
      <c r="H220" s="214">
        <f t="shared" si="59"/>
        <v>25297.051877142174</v>
      </c>
      <c r="J220" s="214">
        <f t="shared" si="60"/>
        <v>2824.885647744919</v>
      </c>
      <c r="K220" s="207"/>
      <c r="L220" s="207"/>
      <c r="M220" s="207"/>
      <c r="N220" s="207"/>
    </row>
    <row r="221" spans="5:18" x14ac:dyDescent="0.2">
      <c r="E221" s="173" t="s">
        <v>434</v>
      </c>
      <c r="F221" s="214">
        <v>8856086.4491080083</v>
      </c>
      <c r="H221" s="214">
        <f t="shared" si="59"/>
        <v>8855804.320336977</v>
      </c>
      <c r="J221" s="214">
        <f t="shared" si="60"/>
        <v>282.12877103127539</v>
      </c>
    </row>
    <row r="222" spans="5:18" x14ac:dyDescent="0.2">
      <c r="E222" s="173" t="s">
        <v>351</v>
      </c>
      <c r="F222" s="214">
        <v>120810.95849921908</v>
      </c>
      <c r="H222" s="214">
        <f t="shared" si="59"/>
        <v>109794.59857089487</v>
      </c>
      <c r="J222" s="214">
        <f t="shared" si="60"/>
        <v>11016.359928324207</v>
      </c>
    </row>
    <row r="223" spans="5:18" x14ac:dyDescent="0.2">
      <c r="E223" s="173" t="s">
        <v>348</v>
      </c>
      <c r="F223" s="214">
        <v>25331.72997230629</v>
      </c>
      <c r="G223" s="142" t="s">
        <v>378</v>
      </c>
      <c r="H223" s="214">
        <f t="shared" si="59"/>
        <v>25297.051877142174</v>
      </c>
      <c r="I223" s="142" t="s">
        <v>374</v>
      </c>
      <c r="J223" s="214">
        <f t="shared" si="60"/>
        <v>34.678095164115803</v>
      </c>
    </row>
    <row r="224" spans="5:18" x14ac:dyDescent="0.2">
      <c r="E224" s="173" t="s">
        <v>362</v>
      </c>
      <c r="F224" s="214">
        <v>8855854.6784211304</v>
      </c>
      <c r="H224" s="214">
        <f t="shared" si="59"/>
        <v>8855804.320336977</v>
      </c>
      <c r="J224" s="214">
        <f t="shared" si="60"/>
        <v>50.35808415338397</v>
      </c>
    </row>
    <row r="225" spans="5:14" x14ac:dyDescent="0.2">
      <c r="E225" s="173" t="s">
        <v>349</v>
      </c>
      <c r="F225" s="214">
        <v>1979045.0406719043</v>
      </c>
      <c r="H225" s="214">
        <f t="shared" si="59"/>
        <v>336977.46259125951</v>
      </c>
      <c r="J225" s="214">
        <f t="shared" si="60"/>
        <v>1642067.5780806448</v>
      </c>
    </row>
    <row r="226" spans="5:14" x14ac:dyDescent="0.2">
      <c r="E226" s="173" t="s">
        <v>344</v>
      </c>
      <c r="F226" s="214">
        <v>19454075.052631274</v>
      </c>
      <c r="H226" s="214">
        <f t="shared" si="59"/>
        <v>11702658.42159321</v>
      </c>
      <c r="J226" s="214">
        <f t="shared" si="60"/>
        <v>7751416.6310380641</v>
      </c>
    </row>
    <row r="227" spans="5:14" x14ac:dyDescent="0.2">
      <c r="E227" s="173" t="s">
        <v>514</v>
      </c>
      <c r="F227" s="214">
        <v>4059369.9954689462</v>
      </c>
      <c r="H227" s="214">
        <f t="shared" si="59"/>
        <v>4043367.3234254471</v>
      </c>
      <c r="J227" s="214">
        <f t="shared" si="60"/>
        <v>16002.672043499071</v>
      </c>
    </row>
    <row r="228" spans="5:14" x14ac:dyDescent="0.2">
      <c r="E228" s="173" t="s">
        <v>516</v>
      </c>
      <c r="F228" s="214">
        <v>4043367.3234254471</v>
      </c>
      <c r="H228" s="214">
        <f t="shared" si="59"/>
        <v>4043367.3234254471</v>
      </c>
      <c r="J228" s="214">
        <f t="shared" si="60"/>
        <v>0</v>
      </c>
    </row>
    <row r="229" spans="5:14" x14ac:dyDescent="0.2">
      <c r="E229" s="173" t="s">
        <v>76</v>
      </c>
      <c r="F229" s="214">
        <v>6738376.4034630982</v>
      </c>
      <c r="H229" s="214">
        <f t="shared" si="59"/>
        <v>6682782.3361421349</v>
      </c>
      <c r="J229" s="214">
        <f t="shared" si="60"/>
        <v>55594.067320963368</v>
      </c>
    </row>
    <row r="230" spans="5:14" x14ac:dyDescent="0.2">
      <c r="E230" s="173" t="s">
        <v>337</v>
      </c>
      <c r="F230" s="214">
        <v>12202453.882342203</v>
      </c>
      <c r="G230" s="142"/>
      <c r="H230" s="214">
        <f t="shared" si="59"/>
        <v>4629979.8128694845</v>
      </c>
      <c r="J230" s="214">
        <f t="shared" si="60"/>
        <v>7572474.0694727181</v>
      </c>
    </row>
    <row r="231" spans="5:14" x14ac:dyDescent="0.2">
      <c r="E231" s="175"/>
      <c r="F231" s="142" t="s">
        <v>368</v>
      </c>
      <c r="G231" s="142"/>
      <c r="H231" s="142" t="s">
        <v>365</v>
      </c>
      <c r="I231" s="142"/>
      <c r="J231" s="142" t="s">
        <v>379</v>
      </c>
    </row>
    <row r="232" spans="5:14" x14ac:dyDescent="0.2">
      <c r="E232" s="175"/>
    </row>
    <row r="233" spans="5:14" x14ac:dyDescent="0.2">
      <c r="E233" s="175"/>
    </row>
    <row r="238" spans="5:14" x14ac:dyDescent="0.2">
      <c r="K238" s="142"/>
      <c r="L238" s="142"/>
      <c r="M238" s="142"/>
      <c r="N238" s="14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97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176" t="s">
        <v>478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360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516</v>
      </c>
      <c r="BX1" s="176" t="s">
        <v>76</v>
      </c>
      <c r="BY1" s="176" t="s">
        <v>337</v>
      </c>
    </row>
    <row r="2" spans="2:77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x14ac:dyDescent="0.2">
      <c r="B29" s="215"/>
      <c r="C29" s="246"/>
      <c r="AQ29" s="215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15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175" t="s">
        <v>419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175" t="s">
        <v>445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175" t="s">
        <v>446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175" t="s">
        <v>447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175" t="s">
        <v>457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142" t="s">
        <v>473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175"/>
      <c r="AR38" s="427" t="s">
        <v>470</v>
      </c>
      <c r="AS38" s="427"/>
      <c r="AT38" s="427"/>
      <c r="AU38" s="427"/>
      <c r="AV38" s="427"/>
      <c r="AW38" s="427"/>
      <c r="AX38" s="427"/>
      <c r="AY38" s="427"/>
      <c r="AZ38" s="427"/>
      <c r="BA38" s="427"/>
      <c r="BB38" s="427"/>
      <c r="BC38" s="427"/>
      <c r="BD38" s="427"/>
      <c r="BE38" s="427"/>
      <c r="BF38" s="427"/>
      <c r="BK38" s="175"/>
      <c r="BL38" s="427" t="s">
        <v>471</v>
      </c>
      <c r="BM38" s="427"/>
      <c r="BN38" s="427"/>
      <c r="BO38" s="427"/>
      <c r="BP38" s="427"/>
      <c r="BQ38" s="427"/>
      <c r="BR38" s="427"/>
      <c r="BS38" s="427"/>
      <c r="BT38" s="427"/>
      <c r="BU38" s="427"/>
      <c r="BV38" s="427"/>
      <c r="BW38" s="427"/>
      <c r="BX38" s="427"/>
      <c r="BY38" s="427"/>
    </row>
    <row r="39" spans="2:77" x14ac:dyDescent="0.2">
      <c r="AQ39" s="175"/>
      <c r="BK39" s="175"/>
    </row>
    <row r="40" spans="2:77" x14ac:dyDescent="0.2">
      <c r="AQ40" s="175"/>
    </row>
    <row r="41" spans="2:77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7" x14ac:dyDescent="0.2">
      <c r="AQ42" s="173" t="s">
        <v>333</v>
      </c>
      <c r="AR42" s="246">
        <f>AR83</f>
        <v>1011.7674660019052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73" t="s">
        <v>335</v>
      </c>
      <c r="AR43" s="246">
        <f t="shared" ref="AR43:AY68" si="1">AR84</f>
        <v>0</v>
      </c>
      <c r="AS43" s="246">
        <f t="shared" si="1"/>
        <v>208.55560337725498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ref="AZ43:BC43" si="2">AZ84</f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ref="BD43:BF43" si="3">BD84</f>
        <v>0</v>
      </c>
      <c r="BE43" s="246">
        <f t="shared" si="3"/>
        <v>0</v>
      </c>
      <c r="BF43" s="246">
        <f t="shared" si="3"/>
        <v>0</v>
      </c>
    </row>
    <row r="44" spans="2:77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298.6148747230165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ref="AZ44:BC44" si="4">AZ85</f>
        <v>0</v>
      </c>
      <c r="BA44" s="246">
        <f t="shared" si="4"/>
        <v>0</v>
      </c>
      <c r="BB44" s="246">
        <f t="shared" si="4"/>
        <v>0</v>
      </c>
      <c r="BC44" s="246">
        <f t="shared" si="4"/>
        <v>0</v>
      </c>
      <c r="BD44" s="246">
        <f t="shared" ref="BD44:BF44" si="5">BD85</f>
        <v>0</v>
      </c>
      <c r="BE44" s="246">
        <f t="shared" si="5"/>
        <v>0</v>
      </c>
      <c r="BF44" s="246">
        <f t="shared" si="5"/>
        <v>0</v>
      </c>
    </row>
    <row r="45" spans="2:77" x14ac:dyDescent="0.2">
      <c r="AQ45" s="173" t="s">
        <v>355</v>
      </c>
      <c r="AR45" s="246">
        <f t="shared" si="1"/>
        <v>30.150427560669065</v>
      </c>
      <c r="AS45" s="246">
        <f t="shared" si="1"/>
        <v>9.0394269236644703E-2</v>
      </c>
      <c r="AT45" s="246">
        <f t="shared" si="1"/>
        <v>7.4647476716394348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ref="AZ45:BC45" si="6">AZ86</f>
        <v>0</v>
      </c>
      <c r="BA45" s="246">
        <f t="shared" si="6"/>
        <v>644.2421909044931</v>
      </c>
      <c r="BB45" s="246">
        <f t="shared" si="6"/>
        <v>3494.7460959815226</v>
      </c>
      <c r="BC45" s="246">
        <f t="shared" si="6"/>
        <v>0</v>
      </c>
      <c r="BD45" s="246">
        <f t="shared" ref="BD45:BF45" si="7">BD86</f>
        <v>0</v>
      </c>
      <c r="BE45" s="246">
        <f t="shared" si="7"/>
        <v>0</v>
      </c>
      <c r="BF45" s="246">
        <f t="shared" si="7"/>
        <v>2852.0490535886452</v>
      </c>
    </row>
    <row r="46" spans="2:77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ref="AZ46:BC46" si="8">AZ87</f>
        <v>0</v>
      </c>
      <c r="BA46" s="246">
        <f t="shared" si="8"/>
        <v>37.630021206323519</v>
      </c>
      <c r="BB46" s="246">
        <f t="shared" si="8"/>
        <v>204.127223518021</v>
      </c>
      <c r="BC46" s="246">
        <f t="shared" si="8"/>
        <v>0</v>
      </c>
      <c r="BD46" s="246">
        <f t="shared" ref="BD46:BF46" si="9">BD87</f>
        <v>0</v>
      </c>
      <c r="BE46" s="246">
        <f t="shared" si="9"/>
        <v>0</v>
      </c>
      <c r="BF46" s="246">
        <f t="shared" si="9"/>
        <v>44.927545117863247</v>
      </c>
    </row>
    <row r="47" spans="2:77" x14ac:dyDescent="0.2">
      <c r="AQ47" s="173" t="s">
        <v>466</v>
      </c>
      <c r="AR47" s="246">
        <f t="shared" si="1"/>
        <v>2.0694989883749622</v>
      </c>
      <c r="AS47" s="246">
        <f t="shared" si="1"/>
        <v>5.671161105764883E-3</v>
      </c>
      <c r="AT47" s="246">
        <f t="shared" si="1"/>
        <v>0.51237375403207552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ref="AZ47:BC47" si="10">AZ88</f>
        <v>0</v>
      </c>
      <c r="BA47" s="246">
        <f t="shared" si="10"/>
        <v>0</v>
      </c>
      <c r="BB47" s="246">
        <f t="shared" si="10"/>
        <v>0</v>
      </c>
      <c r="BC47" s="246">
        <f t="shared" si="10"/>
        <v>0</v>
      </c>
      <c r="BD47" s="246">
        <f t="shared" ref="BD47:BF47" si="11">BD88</f>
        <v>0</v>
      </c>
      <c r="BE47" s="246">
        <f t="shared" si="11"/>
        <v>0</v>
      </c>
      <c r="BF47" s="246">
        <f t="shared" si="11"/>
        <v>0</v>
      </c>
    </row>
    <row r="48" spans="2:77" x14ac:dyDescent="0.2">
      <c r="AQ48" s="173" t="s">
        <v>467</v>
      </c>
      <c r="AR48" s="246">
        <f t="shared" si="1"/>
        <v>0</v>
      </c>
      <c r="AS48" s="246">
        <f t="shared" si="1"/>
        <v>5.1714158616864253E-4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ref="AZ48:BC48" si="12">AZ89</f>
        <v>0</v>
      </c>
      <c r="BA48" s="246">
        <f t="shared" si="12"/>
        <v>0</v>
      </c>
      <c r="BB48" s="246">
        <f t="shared" si="12"/>
        <v>0</v>
      </c>
      <c r="BC48" s="246">
        <f t="shared" si="12"/>
        <v>0</v>
      </c>
      <c r="BD48" s="246">
        <f t="shared" ref="BD48:BF48" si="13">BD89</f>
        <v>0</v>
      </c>
      <c r="BE48" s="246">
        <f t="shared" si="13"/>
        <v>0</v>
      </c>
      <c r="BF48" s="246">
        <f t="shared" si="13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ref="AZ49:BC49" si="14">AZ90</f>
        <v>0</v>
      </c>
      <c r="BA49" s="246">
        <f t="shared" si="14"/>
        <v>0</v>
      </c>
      <c r="BB49" s="246">
        <f t="shared" si="14"/>
        <v>0</v>
      </c>
      <c r="BC49" s="246">
        <f t="shared" si="14"/>
        <v>0</v>
      </c>
      <c r="BD49" s="246">
        <f t="shared" ref="BD49:BF49" si="15">BD90</f>
        <v>0</v>
      </c>
      <c r="BE49" s="246">
        <f t="shared" si="15"/>
        <v>0</v>
      </c>
      <c r="BF49" s="246">
        <f t="shared" si="15"/>
        <v>4.914718171980665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ref="AZ50:BC50" si="16">AZ91</f>
        <v>0</v>
      </c>
      <c r="BA50" s="246">
        <f t="shared" si="16"/>
        <v>0</v>
      </c>
      <c r="BB50" s="246">
        <f t="shared" si="16"/>
        <v>0</v>
      </c>
      <c r="BC50" s="246">
        <f t="shared" si="16"/>
        <v>0</v>
      </c>
      <c r="BD50" s="246">
        <f t="shared" ref="BD50:BF50" si="17">BD91</f>
        <v>0</v>
      </c>
      <c r="BE50" s="246">
        <f t="shared" si="17"/>
        <v>0</v>
      </c>
      <c r="BF50" s="246">
        <f t="shared" si="17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1011.7674660019052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ref="AZ51:BC51" si="18">AZ92</f>
        <v>0</v>
      </c>
      <c r="BA51" s="246">
        <f t="shared" si="18"/>
        <v>0</v>
      </c>
      <c r="BB51" s="246">
        <f t="shared" si="18"/>
        <v>0</v>
      </c>
      <c r="BC51" s="246">
        <f t="shared" si="18"/>
        <v>0</v>
      </c>
      <c r="BD51" s="246">
        <f t="shared" ref="BD51:BF51" si="19">BD92</f>
        <v>0</v>
      </c>
      <c r="BE51" s="246">
        <f t="shared" si="19"/>
        <v>0</v>
      </c>
      <c r="BF51" s="246">
        <f t="shared" si="19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ref="AZ52:BC52" si="20">AZ93</f>
        <v>0</v>
      </c>
      <c r="BA52" s="246">
        <f t="shared" si="20"/>
        <v>0</v>
      </c>
      <c r="BB52" s="246">
        <f t="shared" si="20"/>
        <v>0</v>
      </c>
      <c r="BC52" s="246">
        <f t="shared" si="20"/>
        <v>0</v>
      </c>
      <c r="BD52" s="246">
        <f t="shared" ref="BD52:BF52" si="21">BD93</f>
        <v>0</v>
      </c>
      <c r="BE52" s="246">
        <f t="shared" si="21"/>
        <v>0</v>
      </c>
      <c r="BF52" s="246">
        <f t="shared" si="2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208.55560337725498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ref="AZ53:BC53" si="22">AZ94</f>
        <v>0</v>
      </c>
      <c r="BA53" s="246">
        <f t="shared" si="22"/>
        <v>0</v>
      </c>
      <c r="BB53" s="246">
        <f t="shared" si="22"/>
        <v>0</v>
      </c>
      <c r="BC53" s="246">
        <f t="shared" si="22"/>
        <v>0</v>
      </c>
      <c r="BD53" s="246">
        <f t="shared" ref="BD53:BF53" si="23">BD94</f>
        <v>0</v>
      </c>
      <c r="BE53" s="246">
        <f t="shared" si="23"/>
        <v>0</v>
      </c>
      <c r="BF53" s="246">
        <f t="shared" si="23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ref="AZ54:BC54" si="24">AZ95</f>
        <v>0</v>
      </c>
      <c r="BA54" s="246">
        <f t="shared" si="24"/>
        <v>0</v>
      </c>
      <c r="BB54" s="246">
        <f t="shared" si="24"/>
        <v>0</v>
      </c>
      <c r="BC54" s="246">
        <f t="shared" si="24"/>
        <v>0</v>
      </c>
      <c r="BD54" s="246">
        <f t="shared" ref="BD54:BF54" si="25">BD95</f>
        <v>0</v>
      </c>
      <c r="BE54" s="246">
        <f t="shared" si="25"/>
        <v>0</v>
      </c>
      <c r="BF54" s="246">
        <f t="shared" si="25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298.6148747230165</v>
      </c>
      <c r="AX55" s="246">
        <f t="shared" si="1"/>
        <v>0</v>
      </c>
      <c r="AY55" s="246">
        <f t="shared" si="1"/>
        <v>0</v>
      </c>
      <c r="AZ55" s="246">
        <f t="shared" ref="AZ55:BC55" si="26">AZ96</f>
        <v>0</v>
      </c>
      <c r="BA55" s="246">
        <f t="shared" si="26"/>
        <v>0</v>
      </c>
      <c r="BB55" s="246">
        <f t="shared" si="26"/>
        <v>0</v>
      </c>
      <c r="BC55" s="246">
        <f t="shared" si="26"/>
        <v>0</v>
      </c>
      <c r="BD55" s="246">
        <f t="shared" ref="BD55:BF55" si="27">BD96</f>
        <v>0</v>
      </c>
      <c r="BE55" s="246">
        <f t="shared" si="27"/>
        <v>0</v>
      </c>
      <c r="BF55" s="246">
        <f t="shared" si="27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ref="AZ56:BC56" si="28">AZ97</f>
        <v>0</v>
      </c>
      <c r="BA56" s="246">
        <f t="shared" si="28"/>
        <v>0</v>
      </c>
      <c r="BB56" s="246">
        <f t="shared" si="28"/>
        <v>0</v>
      </c>
      <c r="BC56" s="246">
        <f t="shared" si="28"/>
        <v>0</v>
      </c>
      <c r="BD56" s="246">
        <f t="shared" ref="BD56:BF56" si="29">BD97</f>
        <v>0</v>
      </c>
      <c r="BE56" s="246">
        <f t="shared" si="29"/>
        <v>0</v>
      </c>
      <c r="BF56" s="246">
        <f t="shared" si="29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1011.7674660019052</v>
      </c>
      <c r="AY57" s="246">
        <f t="shared" si="1"/>
        <v>0</v>
      </c>
      <c r="AZ57" s="246">
        <f t="shared" ref="AZ57:BC57" si="30">AZ98</f>
        <v>0</v>
      </c>
      <c r="BA57" s="246">
        <f t="shared" si="30"/>
        <v>0</v>
      </c>
      <c r="BB57" s="246">
        <f t="shared" si="30"/>
        <v>0</v>
      </c>
      <c r="BC57" s="246">
        <f t="shared" si="30"/>
        <v>0</v>
      </c>
      <c r="BD57" s="246">
        <f t="shared" ref="BD57:BF57" si="31">BD98</f>
        <v>0</v>
      </c>
      <c r="BE57" s="246">
        <f t="shared" si="31"/>
        <v>0</v>
      </c>
      <c r="BF57" s="246">
        <f t="shared" si="3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208.55560337725498</v>
      </c>
      <c r="AZ58" s="246">
        <f t="shared" ref="AZ58:BC58" si="32">AZ99</f>
        <v>0</v>
      </c>
      <c r="BA58" s="246">
        <f t="shared" si="32"/>
        <v>0</v>
      </c>
      <c r="BB58" s="246">
        <f t="shared" si="32"/>
        <v>0</v>
      </c>
      <c r="BC58" s="246">
        <f t="shared" si="32"/>
        <v>0</v>
      </c>
      <c r="BD58" s="246">
        <f t="shared" ref="BD58:BF58" si="33">BD99</f>
        <v>0</v>
      </c>
      <c r="BE58" s="246">
        <f t="shared" si="33"/>
        <v>0</v>
      </c>
      <c r="BF58" s="246">
        <f t="shared" si="33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ref="AZ59:BC59" si="34">AZ100</f>
        <v>298.6148747230165</v>
      </c>
      <c r="BA59" s="246">
        <f t="shared" si="34"/>
        <v>0</v>
      </c>
      <c r="BB59" s="246">
        <f t="shared" si="34"/>
        <v>0</v>
      </c>
      <c r="BC59" s="246">
        <f t="shared" si="34"/>
        <v>0</v>
      </c>
      <c r="BD59" s="246">
        <f t="shared" ref="BD59:BF59" si="35">BD100</f>
        <v>0</v>
      </c>
      <c r="BE59" s="246">
        <f t="shared" si="35"/>
        <v>0</v>
      </c>
      <c r="BF59" s="246">
        <f t="shared" si="35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1"/>
        <v>0</v>
      </c>
      <c r="AT60" s="246">
        <f t="shared" si="1"/>
        <v>0</v>
      </c>
      <c r="AU60" s="246">
        <f t="shared" si="1"/>
        <v>0</v>
      </c>
      <c r="AV60" s="246">
        <f t="shared" si="1"/>
        <v>0</v>
      </c>
      <c r="AW60" s="246">
        <f t="shared" si="1"/>
        <v>0</v>
      </c>
      <c r="AX60" s="246">
        <f t="shared" si="1"/>
        <v>0</v>
      </c>
      <c r="AY60" s="246">
        <f t="shared" si="1"/>
        <v>0</v>
      </c>
      <c r="AZ60" s="246">
        <f t="shared" ref="AZ60:BC60" si="36">AZ101</f>
        <v>0</v>
      </c>
      <c r="BA60" s="246">
        <f t="shared" si="36"/>
        <v>0</v>
      </c>
      <c r="BB60" s="246">
        <f t="shared" si="36"/>
        <v>0</v>
      </c>
      <c r="BC60" s="246">
        <f t="shared" si="36"/>
        <v>0</v>
      </c>
      <c r="BD60" s="246">
        <f t="shared" ref="BD60:BF60" si="37">BD101</f>
        <v>0</v>
      </c>
      <c r="BE60" s="246">
        <f t="shared" si="37"/>
        <v>1000.0000000000001</v>
      </c>
      <c r="BF60" s="246">
        <f t="shared" si="37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1"/>
        <v>0</v>
      </c>
      <c r="AT61" s="246">
        <f t="shared" si="1"/>
        <v>0</v>
      </c>
      <c r="AU61" s="246">
        <f t="shared" si="1"/>
        <v>0</v>
      </c>
      <c r="AV61" s="246">
        <f t="shared" si="1"/>
        <v>0</v>
      </c>
      <c r="AW61" s="246">
        <f t="shared" si="1"/>
        <v>0</v>
      </c>
      <c r="AX61" s="246">
        <f t="shared" si="1"/>
        <v>0</v>
      </c>
      <c r="AY61" s="246">
        <f t="shared" si="1"/>
        <v>0</v>
      </c>
      <c r="AZ61" s="246">
        <f t="shared" ref="AZ61:BC61" si="38">AZ102</f>
        <v>0</v>
      </c>
      <c r="BA61" s="246">
        <f t="shared" si="38"/>
        <v>0</v>
      </c>
      <c r="BB61" s="246">
        <f t="shared" si="38"/>
        <v>0</v>
      </c>
      <c r="BC61" s="246">
        <f t="shared" si="38"/>
        <v>0</v>
      </c>
      <c r="BD61" s="246">
        <f t="shared" ref="BD61:BF61" si="39">BD102</f>
        <v>0</v>
      </c>
      <c r="BE61" s="246">
        <f t="shared" si="39"/>
        <v>0</v>
      </c>
      <c r="BF61" s="246">
        <f t="shared" si="39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1"/>
        <v>0</v>
      </c>
      <c r="AT62" s="246">
        <f t="shared" si="1"/>
        <v>0</v>
      </c>
      <c r="AU62" s="246">
        <f t="shared" si="1"/>
        <v>0</v>
      </c>
      <c r="AV62" s="246">
        <f t="shared" si="1"/>
        <v>0</v>
      </c>
      <c r="AW62" s="246">
        <f t="shared" si="1"/>
        <v>0</v>
      </c>
      <c r="AX62" s="246">
        <f t="shared" si="1"/>
        <v>0</v>
      </c>
      <c r="AY62" s="246">
        <f t="shared" si="1"/>
        <v>0</v>
      </c>
      <c r="AZ62" s="246">
        <f t="shared" ref="AZ62:BC62" si="40">AZ103</f>
        <v>0</v>
      </c>
      <c r="BA62" s="246">
        <f t="shared" si="40"/>
        <v>208.55560337725498</v>
      </c>
      <c r="BB62" s="246">
        <f t="shared" si="40"/>
        <v>0</v>
      </c>
      <c r="BC62" s="246">
        <f t="shared" si="40"/>
        <v>0</v>
      </c>
      <c r="BD62" s="246">
        <f t="shared" ref="BD62:BF62" si="41">BD103</f>
        <v>0</v>
      </c>
      <c r="BE62" s="246">
        <f t="shared" si="41"/>
        <v>0</v>
      </c>
      <c r="BF62" s="246">
        <f t="shared" si="41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1"/>
        <v>0</v>
      </c>
      <c r="AT63" s="246">
        <f t="shared" si="1"/>
        <v>0</v>
      </c>
      <c r="AU63" s="246">
        <f t="shared" si="1"/>
        <v>0</v>
      </c>
      <c r="AV63" s="246">
        <f t="shared" si="1"/>
        <v>0</v>
      </c>
      <c r="AW63" s="246">
        <f t="shared" si="1"/>
        <v>0</v>
      </c>
      <c r="AX63" s="246">
        <f t="shared" si="1"/>
        <v>0</v>
      </c>
      <c r="AY63" s="246">
        <f t="shared" si="1"/>
        <v>0</v>
      </c>
      <c r="AZ63" s="246">
        <f t="shared" ref="AZ63:BC63" si="42">AZ104</f>
        <v>0</v>
      </c>
      <c r="BA63" s="246">
        <f t="shared" si="42"/>
        <v>0</v>
      </c>
      <c r="BB63" s="246">
        <f t="shared" si="42"/>
        <v>298.6148747230165</v>
      </c>
      <c r="BC63" s="246">
        <f t="shared" si="42"/>
        <v>0</v>
      </c>
      <c r="BD63" s="246">
        <f t="shared" ref="BD63:BF63" si="43">BD104</f>
        <v>0</v>
      </c>
      <c r="BE63" s="246">
        <f t="shared" si="43"/>
        <v>0</v>
      </c>
      <c r="BF63" s="246">
        <f t="shared" si="43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1"/>
        <v>0</v>
      </c>
      <c r="AT64" s="246">
        <f t="shared" si="1"/>
        <v>0</v>
      </c>
      <c r="AU64" s="246">
        <f t="shared" si="1"/>
        <v>0</v>
      </c>
      <c r="AV64" s="246">
        <f t="shared" si="1"/>
        <v>0</v>
      </c>
      <c r="AW64" s="246">
        <f t="shared" si="1"/>
        <v>0</v>
      </c>
      <c r="AX64" s="246">
        <f t="shared" si="1"/>
        <v>0</v>
      </c>
      <c r="AY64" s="246">
        <f t="shared" si="1"/>
        <v>0</v>
      </c>
      <c r="AZ64" s="246">
        <f t="shared" ref="AZ64:BC64" si="44">AZ105</f>
        <v>0</v>
      </c>
      <c r="BA64" s="246">
        <f t="shared" si="44"/>
        <v>0</v>
      </c>
      <c r="BB64" s="246">
        <f t="shared" si="44"/>
        <v>0</v>
      </c>
      <c r="BC64" s="246">
        <f t="shared" si="44"/>
        <v>0</v>
      </c>
      <c r="BD64" s="246">
        <f t="shared" ref="BD64:BD68" si="45">BD105</f>
        <v>0</v>
      </c>
      <c r="BE64" s="246">
        <f t="shared" ref="BE64:BF64" si="46">BE105</f>
        <v>111.00813284002646</v>
      </c>
      <c r="BF64" s="246">
        <f t="shared" si="46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1"/>
        <v>0</v>
      </c>
      <c r="AT65" s="246">
        <f t="shared" si="1"/>
        <v>0</v>
      </c>
      <c r="AU65" s="246">
        <f t="shared" si="1"/>
        <v>0</v>
      </c>
      <c r="AV65" s="246">
        <f t="shared" si="1"/>
        <v>0</v>
      </c>
      <c r="AW65" s="246">
        <f t="shared" si="1"/>
        <v>0</v>
      </c>
      <c r="AX65" s="246">
        <f t="shared" si="1"/>
        <v>0</v>
      </c>
      <c r="AY65" s="246">
        <f t="shared" si="1"/>
        <v>0</v>
      </c>
      <c r="AZ65" s="246">
        <f t="shared" ref="AZ65:BC65" si="47">AZ106</f>
        <v>0</v>
      </c>
      <c r="BA65" s="246">
        <f t="shared" si="47"/>
        <v>0</v>
      </c>
      <c r="BB65" s="246">
        <f t="shared" si="47"/>
        <v>0</v>
      </c>
      <c r="BC65" s="246">
        <f t="shared" si="47"/>
        <v>0</v>
      </c>
      <c r="BD65" s="246">
        <f t="shared" si="45"/>
        <v>0</v>
      </c>
      <c r="BE65" s="246">
        <f t="shared" ref="BE65:BF65" si="48">BE106</f>
        <v>0</v>
      </c>
      <c r="BF65" s="246">
        <f t="shared" si="48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1"/>
        <v>0</v>
      </c>
      <c r="AT66" s="246">
        <f t="shared" si="1"/>
        <v>0</v>
      </c>
      <c r="AU66" s="246">
        <f t="shared" si="1"/>
        <v>0</v>
      </c>
      <c r="AV66" s="246">
        <f t="shared" si="1"/>
        <v>0</v>
      </c>
      <c r="AW66" s="246">
        <f t="shared" si="1"/>
        <v>0</v>
      </c>
      <c r="AX66" s="246">
        <f t="shared" si="1"/>
        <v>0</v>
      </c>
      <c r="AY66" s="246">
        <f t="shared" si="1"/>
        <v>0</v>
      </c>
      <c r="AZ66" s="246">
        <f t="shared" ref="AZ66:BC66" si="49">AZ107</f>
        <v>0</v>
      </c>
      <c r="BA66" s="246">
        <f t="shared" si="49"/>
        <v>0</v>
      </c>
      <c r="BB66" s="246">
        <f t="shared" si="49"/>
        <v>0</v>
      </c>
      <c r="BC66" s="246">
        <f t="shared" si="49"/>
        <v>0</v>
      </c>
      <c r="BD66" s="246">
        <f t="shared" si="45"/>
        <v>0</v>
      </c>
      <c r="BE66" s="246">
        <f t="shared" ref="BE66:BF66" si="50">BE107</f>
        <v>0</v>
      </c>
      <c r="BF66" s="246">
        <f t="shared" si="50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1"/>
        <v>0</v>
      </c>
      <c r="AT67" s="246">
        <f t="shared" si="1"/>
        <v>0</v>
      </c>
      <c r="AU67" s="246">
        <f t="shared" si="1"/>
        <v>0</v>
      </c>
      <c r="AV67" s="246">
        <f t="shared" si="1"/>
        <v>0</v>
      </c>
      <c r="AW67" s="246">
        <f t="shared" si="1"/>
        <v>0</v>
      </c>
      <c r="AX67" s="246">
        <f t="shared" si="1"/>
        <v>0</v>
      </c>
      <c r="AY67" s="246">
        <f t="shared" ref="AY67:BC67" si="51">AY108</f>
        <v>0</v>
      </c>
      <c r="AZ67" s="246">
        <f t="shared" si="51"/>
        <v>0</v>
      </c>
      <c r="BA67" s="246">
        <f t="shared" si="51"/>
        <v>0</v>
      </c>
      <c r="BB67" s="246">
        <f t="shared" si="51"/>
        <v>0</v>
      </c>
      <c r="BC67" s="246">
        <f t="shared" si="51"/>
        <v>0</v>
      </c>
      <c r="BD67" s="246">
        <f t="shared" si="45"/>
        <v>0</v>
      </c>
      <c r="BE67" s="246">
        <f t="shared" ref="BE67:BF67" si="52">BE108</f>
        <v>203.27980063725872</v>
      </c>
      <c r="BF67" s="246">
        <f t="shared" si="5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si="1"/>
        <v>0</v>
      </c>
      <c r="AT68" s="246">
        <f t="shared" si="1"/>
        <v>0</v>
      </c>
      <c r="AU68" s="246">
        <f t="shared" si="1"/>
        <v>0</v>
      </c>
      <c r="AV68" s="246">
        <f t="shared" si="1"/>
        <v>0</v>
      </c>
      <c r="AW68" s="246">
        <f t="shared" si="1"/>
        <v>0</v>
      </c>
      <c r="AX68" s="246">
        <f t="shared" si="1"/>
        <v>0</v>
      </c>
      <c r="AY68" s="246">
        <f t="shared" ref="AY68:BC68" si="53">AY109</f>
        <v>0</v>
      </c>
      <c r="AZ68" s="246">
        <f t="shared" si="53"/>
        <v>0</v>
      </c>
      <c r="BA68" s="246">
        <f t="shared" si="53"/>
        <v>0</v>
      </c>
      <c r="BB68" s="246">
        <f t="shared" si="53"/>
        <v>0</v>
      </c>
      <c r="BC68" s="246">
        <f t="shared" si="53"/>
        <v>46.0998047134687</v>
      </c>
      <c r="BD68" s="246">
        <f t="shared" si="45"/>
        <v>0</v>
      </c>
      <c r="BE68" s="246">
        <f t="shared" ref="BE68:BF68" si="54">BE109</f>
        <v>0</v>
      </c>
      <c r="BF68" s="246">
        <f t="shared" si="54"/>
        <v>0</v>
      </c>
    </row>
    <row r="69" spans="43:58" ht="16" x14ac:dyDescent="0.2">
      <c r="AQ69" s="215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175" t="s">
        <v>421</v>
      </c>
      <c r="AR70" s="246">
        <f t="shared" ref="AR70:AX71" si="55">AR111</f>
        <v>0</v>
      </c>
      <c r="AS70" s="246">
        <f t="shared" si="55"/>
        <v>0</v>
      </c>
      <c r="AT70" s="246">
        <f t="shared" si="55"/>
        <v>0</v>
      </c>
      <c r="AU70" s="246">
        <f t="shared" si="55"/>
        <v>0</v>
      </c>
      <c r="AV70" s="246">
        <f t="shared" si="55"/>
        <v>0</v>
      </c>
      <c r="AW70" s="246">
        <f t="shared" si="55"/>
        <v>0</v>
      </c>
      <c r="AX70" s="246">
        <f t="shared" si="55"/>
        <v>0</v>
      </c>
      <c r="AY70" s="246">
        <f t="shared" ref="AY70:BC70" si="56">AY111</f>
        <v>0</v>
      </c>
      <c r="AZ70" s="246">
        <f t="shared" si="56"/>
        <v>0</v>
      </c>
      <c r="BA70" s="246">
        <f t="shared" si="56"/>
        <v>0</v>
      </c>
      <c r="BB70" s="246">
        <f t="shared" si="56"/>
        <v>0</v>
      </c>
      <c r="BC70" s="246">
        <f t="shared" si="56"/>
        <v>0</v>
      </c>
      <c r="BD70" s="246">
        <f>BD111</f>
        <v>0</v>
      </c>
      <c r="BE70" s="246">
        <f t="shared" ref="BE70:BF70" si="57">BE111</f>
        <v>0</v>
      </c>
      <c r="BF70" s="246">
        <f t="shared" si="57"/>
        <v>0</v>
      </c>
    </row>
    <row r="71" spans="43:58" x14ac:dyDescent="0.2">
      <c r="AQ71" s="173" t="s">
        <v>423</v>
      </c>
      <c r="AR71" s="246">
        <f t="shared" si="55"/>
        <v>0</v>
      </c>
      <c r="AS71" s="246">
        <f t="shared" si="55"/>
        <v>0</v>
      </c>
      <c r="AT71" s="246">
        <f t="shared" si="55"/>
        <v>0</v>
      </c>
      <c r="AU71" s="246">
        <f t="shared" si="55"/>
        <v>0</v>
      </c>
      <c r="AV71" s="246">
        <f t="shared" si="55"/>
        <v>0</v>
      </c>
      <c r="AW71" s="246">
        <f t="shared" si="55"/>
        <v>0</v>
      </c>
      <c r="AX71" s="246">
        <f t="shared" si="55"/>
        <v>0</v>
      </c>
      <c r="AY71" s="246">
        <f t="shared" ref="AY71:BC71" si="58">AY112</f>
        <v>0</v>
      </c>
      <c r="AZ71" s="246">
        <f t="shared" si="58"/>
        <v>0</v>
      </c>
      <c r="BA71" s="246">
        <f t="shared" si="58"/>
        <v>0</v>
      </c>
      <c r="BB71" s="246">
        <f t="shared" si="58"/>
        <v>0</v>
      </c>
      <c r="BC71" s="246">
        <f t="shared" si="58"/>
        <v>0</v>
      </c>
      <c r="BD71" s="246">
        <f>BD112</f>
        <v>0</v>
      </c>
      <c r="BE71" s="246">
        <f t="shared" ref="BE71:BF71" si="59">BE112</f>
        <v>0</v>
      </c>
      <c r="BF71" s="246">
        <f t="shared" si="59"/>
        <v>0</v>
      </c>
    </row>
    <row r="72" spans="43:58" x14ac:dyDescent="0.2">
      <c r="AQ72" s="175" t="s">
        <v>515</v>
      </c>
      <c r="AR72" s="246">
        <f t="shared" ref="AR72:AR77" si="60">AR113</f>
        <v>0</v>
      </c>
      <c r="AS72" s="246">
        <f t="shared" ref="AS72:BC72" si="61">AS113</f>
        <v>0</v>
      </c>
      <c r="AT72" s="246">
        <f t="shared" si="61"/>
        <v>0</v>
      </c>
      <c r="AU72" s="246">
        <f t="shared" si="61"/>
        <v>0</v>
      </c>
      <c r="AV72" s="246">
        <f t="shared" si="61"/>
        <v>0</v>
      </c>
      <c r="AW72" s="246">
        <f t="shared" si="61"/>
        <v>0</v>
      </c>
      <c r="AX72" s="246">
        <f t="shared" si="61"/>
        <v>0</v>
      </c>
      <c r="AY72" s="246">
        <f t="shared" si="61"/>
        <v>0</v>
      </c>
      <c r="AZ72" s="246">
        <f t="shared" si="61"/>
        <v>0</v>
      </c>
      <c r="BA72" s="246">
        <f t="shared" si="61"/>
        <v>0</v>
      </c>
      <c r="BB72" s="246">
        <f t="shared" si="61"/>
        <v>0</v>
      </c>
      <c r="BC72" s="246">
        <f t="shared" si="61"/>
        <v>0</v>
      </c>
      <c r="BD72" s="246"/>
      <c r="BE72" s="246">
        <f t="shared" ref="BE72:BF72" si="62">BE113</f>
        <v>0</v>
      </c>
      <c r="BF72" s="246">
        <f t="shared" si="62"/>
        <v>0</v>
      </c>
    </row>
    <row r="73" spans="43:58" x14ac:dyDescent="0.2">
      <c r="AQ73" s="175" t="s">
        <v>517</v>
      </c>
      <c r="AR73" s="246">
        <f t="shared" si="60"/>
        <v>0</v>
      </c>
      <c r="AS73" s="246">
        <f t="shared" ref="AS73:AX77" si="63">AS114</f>
        <v>0</v>
      </c>
      <c r="AT73" s="246">
        <f t="shared" si="63"/>
        <v>0</v>
      </c>
      <c r="AU73" s="246">
        <f t="shared" si="63"/>
        <v>0</v>
      </c>
      <c r="AV73" s="246">
        <f t="shared" si="63"/>
        <v>0</v>
      </c>
      <c r="AW73" s="246">
        <f t="shared" si="63"/>
        <v>0</v>
      </c>
      <c r="AX73" s="246">
        <f t="shared" si="63"/>
        <v>0</v>
      </c>
      <c r="AY73" s="246">
        <f t="shared" ref="AY73:BC73" si="64">AY114</f>
        <v>0</v>
      </c>
      <c r="AZ73" s="246">
        <f t="shared" si="64"/>
        <v>0</v>
      </c>
      <c r="BA73" s="246">
        <f t="shared" si="64"/>
        <v>0</v>
      </c>
      <c r="BB73" s="246">
        <f t="shared" si="64"/>
        <v>0</v>
      </c>
      <c r="BC73" s="246">
        <f t="shared" si="64"/>
        <v>0</v>
      </c>
      <c r="BD73" s="246">
        <f t="shared" ref="BD73" si="65">BD113</f>
        <v>46.099804713468714</v>
      </c>
      <c r="BE73" s="246">
        <f t="shared" ref="BE73:BF73" si="66">BE114</f>
        <v>0</v>
      </c>
      <c r="BF73" s="246">
        <f t="shared" si="66"/>
        <v>32.269863299428096</v>
      </c>
    </row>
    <row r="74" spans="43:58" x14ac:dyDescent="0.2">
      <c r="AQ74" s="175" t="s">
        <v>445</v>
      </c>
      <c r="AR74" s="246">
        <f t="shared" si="60"/>
        <v>0</v>
      </c>
      <c r="AS74" s="246">
        <f t="shared" si="63"/>
        <v>0</v>
      </c>
      <c r="AT74" s="246">
        <f t="shared" si="63"/>
        <v>0</v>
      </c>
      <c r="AU74" s="246">
        <f t="shared" si="63"/>
        <v>0</v>
      </c>
      <c r="AV74" s="246">
        <f t="shared" si="63"/>
        <v>0</v>
      </c>
      <c r="AW74" s="246">
        <f t="shared" si="63"/>
        <v>0</v>
      </c>
      <c r="AX74" s="246">
        <f t="shared" si="63"/>
        <v>0</v>
      </c>
      <c r="AY74" s="246">
        <f t="shared" ref="AY74:BC74" si="67">AY115</f>
        <v>0</v>
      </c>
      <c r="AZ74" s="246">
        <f t="shared" si="67"/>
        <v>0</v>
      </c>
      <c r="BA74" s="246">
        <f t="shared" si="67"/>
        <v>0</v>
      </c>
      <c r="BB74" s="246">
        <f t="shared" si="67"/>
        <v>0</v>
      </c>
      <c r="BC74" s="246">
        <f t="shared" si="67"/>
        <v>0</v>
      </c>
      <c r="BD74" s="246">
        <f t="shared" ref="BD74" si="68">BD114</f>
        <v>0</v>
      </c>
      <c r="BE74" s="246">
        <f t="shared" ref="BE74:BF74" si="69">BE115</f>
        <v>0</v>
      </c>
      <c r="BF74" s="246">
        <f t="shared" si="69"/>
        <v>1314.2879334772852</v>
      </c>
    </row>
    <row r="75" spans="43:58" x14ac:dyDescent="0.2">
      <c r="AQ75" s="175" t="s">
        <v>446</v>
      </c>
      <c r="AR75" s="246">
        <f t="shared" si="60"/>
        <v>0</v>
      </c>
      <c r="AS75" s="246">
        <f t="shared" si="63"/>
        <v>0</v>
      </c>
      <c r="AT75" s="246">
        <f t="shared" si="63"/>
        <v>0</v>
      </c>
      <c r="AU75" s="246">
        <f t="shared" si="63"/>
        <v>0</v>
      </c>
      <c r="AV75" s="246">
        <f t="shared" si="63"/>
        <v>0</v>
      </c>
      <c r="AW75" s="246">
        <f t="shared" si="63"/>
        <v>0</v>
      </c>
      <c r="AX75" s="246">
        <f t="shared" si="63"/>
        <v>0</v>
      </c>
      <c r="AY75" s="246">
        <f t="shared" ref="AY75:BC75" si="70">AY116</f>
        <v>0</v>
      </c>
      <c r="AZ75" s="246">
        <f t="shared" si="70"/>
        <v>0</v>
      </c>
      <c r="BA75" s="246">
        <f t="shared" si="70"/>
        <v>0</v>
      </c>
      <c r="BB75" s="246">
        <f t="shared" si="70"/>
        <v>0</v>
      </c>
      <c r="BC75" s="246">
        <f t="shared" si="70"/>
        <v>0</v>
      </c>
      <c r="BD75" s="246">
        <f t="shared" ref="BD75" si="71">BD115</f>
        <v>0</v>
      </c>
      <c r="BE75" s="246">
        <f t="shared" ref="BE75:BF75" si="72">BE116</f>
        <v>0</v>
      </c>
      <c r="BF75" s="246">
        <f t="shared" si="72"/>
        <v>0</v>
      </c>
    </row>
    <row r="76" spans="43:58" x14ac:dyDescent="0.2">
      <c r="AQ76" s="175" t="s">
        <v>447</v>
      </c>
      <c r="AR76" s="246">
        <f t="shared" si="60"/>
        <v>0</v>
      </c>
      <c r="AS76" s="246">
        <f t="shared" si="63"/>
        <v>0</v>
      </c>
      <c r="AT76" s="246">
        <f t="shared" si="63"/>
        <v>0</v>
      </c>
      <c r="AU76" s="246">
        <f t="shared" si="63"/>
        <v>0</v>
      </c>
      <c r="AV76" s="246">
        <f t="shared" si="63"/>
        <v>0</v>
      </c>
      <c r="AW76" s="246">
        <f t="shared" si="63"/>
        <v>0</v>
      </c>
      <c r="AX76" s="246">
        <f t="shared" si="63"/>
        <v>0</v>
      </c>
      <c r="AY76" s="246">
        <f t="shared" ref="AY76:BC76" si="73">AY117</f>
        <v>0</v>
      </c>
      <c r="AZ76" s="246">
        <f t="shared" si="73"/>
        <v>0</v>
      </c>
      <c r="BA76" s="246">
        <f t="shared" si="73"/>
        <v>0</v>
      </c>
      <c r="BB76" s="246">
        <f t="shared" si="73"/>
        <v>0</v>
      </c>
      <c r="BC76" s="246">
        <f t="shared" si="73"/>
        <v>0</v>
      </c>
      <c r="BD76" s="246">
        <f t="shared" ref="BD76" si="74">BD116</f>
        <v>0</v>
      </c>
      <c r="BE76" s="246">
        <f t="shared" ref="BE76:BF76" si="75">BE117</f>
        <v>0</v>
      </c>
      <c r="BF76" s="246">
        <f t="shared" si="75"/>
        <v>0</v>
      </c>
    </row>
    <row r="77" spans="43:58" x14ac:dyDescent="0.2">
      <c r="AQ77" s="175" t="s">
        <v>457</v>
      </c>
      <c r="AR77" s="246">
        <f t="shared" si="60"/>
        <v>0</v>
      </c>
      <c r="AS77" s="246">
        <f t="shared" si="63"/>
        <v>0</v>
      </c>
      <c r="AT77" s="246">
        <f t="shared" si="63"/>
        <v>0</v>
      </c>
      <c r="AU77" s="246">
        <f t="shared" si="63"/>
        <v>0</v>
      </c>
      <c r="AV77" s="246">
        <f t="shared" si="63"/>
        <v>0</v>
      </c>
      <c r="AW77" s="246">
        <f t="shared" si="63"/>
        <v>0</v>
      </c>
      <c r="AX77" s="246">
        <f t="shared" si="63"/>
        <v>0</v>
      </c>
      <c r="AY77" s="246">
        <f t="shared" ref="AY77:BC77" si="76">AY118</f>
        <v>0</v>
      </c>
      <c r="AZ77" s="246">
        <f t="shared" si="76"/>
        <v>0</v>
      </c>
      <c r="BA77" s="246">
        <f t="shared" si="76"/>
        <v>0</v>
      </c>
      <c r="BB77" s="246">
        <f t="shared" si="76"/>
        <v>0</v>
      </c>
      <c r="BC77" s="246">
        <f t="shared" si="76"/>
        <v>0</v>
      </c>
      <c r="BD77" s="246">
        <f t="shared" ref="BD77" si="77">BD117</f>
        <v>0</v>
      </c>
      <c r="BE77" s="246">
        <f t="shared" ref="BE77:BF77" si="78">BE118</f>
        <v>0</v>
      </c>
      <c r="BF77" s="246">
        <f t="shared" si="78"/>
        <v>0</v>
      </c>
    </row>
    <row r="78" spans="43:58" x14ac:dyDescent="0.2">
      <c r="AQ78" s="175"/>
      <c r="AR78" s="427" t="s">
        <v>472</v>
      </c>
      <c r="AS78" s="427"/>
      <c r="AT78" s="427"/>
      <c r="AU78" s="427"/>
      <c r="AV78" s="427"/>
      <c r="AW78" s="427"/>
      <c r="AX78" s="427"/>
      <c r="AY78" s="427"/>
      <c r="AZ78" s="427"/>
      <c r="BA78" s="427"/>
      <c r="BB78" s="427"/>
      <c r="BC78" s="427"/>
      <c r="BD78" s="427"/>
      <c r="BE78" s="427"/>
      <c r="BF78" s="427"/>
    </row>
    <row r="82" spans="33:66" ht="112" x14ac:dyDescent="0.2">
      <c r="AG82" s="173"/>
      <c r="AH82" s="173"/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Ore_to_PI!AN42</f>
        <v>1011.7674660019052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 t="shared" ref="BG83:BG118" si="79">SUM(AR83:BF83)</f>
        <v>1011.7674660019052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Ore_to_PI!U126</f>
        <v>208.55560337725498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 t="shared" si="79"/>
        <v>208.55560337725498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Ore_to_PI!U206</f>
        <v>298.6148747230165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si="79"/>
        <v>298.6148747230165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Ore_to_PI!U72</f>
        <v>30.150427560669065</v>
      </c>
      <c r="AS86" s="195">
        <f>Ore_to_PI!U163</f>
        <v>9.0394269236644703E-2</v>
      </c>
      <c r="AT86" s="195">
        <f>Ore_to_PI!U236</f>
        <v>7.4647476716394348</v>
      </c>
      <c r="AU86" s="195"/>
      <c r="AV86" s="195"/>
      <c r="AW86" s="195"/>
      <c r="AX86" s="195"/>
      <c r="AY86" s="195"/>
      <c r="AZ86" s="195"/>
      <c r="BA86" s="195">
        <f>Ore_to_PI!CA140</f>
        <v>644.2421909044931</v>
      </c>
      <c r="BB86" s="195">
        <f>Ore_to_PI!CA232</f>
        <v>3494.7460959815226</v>
      </c>
      <c r="BC86" s="195"/>
      <c r="BD86" s="195"/>
      <c r="BE86" s="195"/>
      <c r="BF86" s="205">
        <f>Ore_to_PI!EL140</f>
        <v>2852.0490535886452</v>
      </c>
      <c r="BG86" s="214">
        <f t="shared" si="79"/>
        <v>7028.7429099762066</v>
      </c>
      <c r="BK86" s="173" t="s">
        <v>355</v>
      </c>
      <c r="BL86" s="206"/>
      <c r="BM86" s="206"/>
      <c r="BN86" s="214">
        <f t="shared" ref="BN86:BN90" si="80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Ore_to_PI!CA152</f>
        <v>37.630021206323519</v>
      </c>
      <c r="BB87" s="195">
        <f>Ore_to_PI!CA244</f>
        <v>204.127223518021</v>
      </c>
      <c r="BC87" s="195"/>
      <c r="BD87" s="195"/>
      <c r="BE87" s="195"/>
      <c r="BF87" s="195">
        <f>Ore_to_PI!EL114</f>
        <v>44.927545117863247</v>
      </c>
      <c r="BG87" s="214">
        <f t="shared" si="79"/>
        <v>286.68478984220775</v>
      </c>
      <c r="BK87" s="173" t="s">
        <v>377</v>
      </c>
      <c r="BL87" s="206"/>
      <c r="BM87" s="206"/>
      <c r="BN87" s="214">
        <f t="shared" si="80"/>
        <v>0</v>
      </c>
    </row>
    <row r="88" spans="33:66" x14ac:dyDescent="0.2">
      <c r="AG88" s="173"/>
      <c r="AH88" s="173"/>
      <c r="AQ88" s="173" t="s">
        <v>466</v>
      </c>
      <c r="AR88" s="195">
        <f>Ore_to_PI!U59</f>
        <v>2.0694989883749622</v>
      </c>
      <c r="AS88" s="195">
        <f>Ore_to_PI!U140</f>
        <v>5.671161105764883E-3</v>
      </c>
      <c r="AT88" s="195">
        <f>Ore_to_PI!U222</f>
        <v>0.51237375403207552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79"/>
        <v>2.5875439035128025</v>
      </c>
      <c r="BK88" s="173" t="s">
        <v>466</v>
      </c>
      <c r="BL88" s="206"/>
      <c r="BM88" s="206"/>
      <c r="BN88" s="214">
        <f t="shared" si="80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Ore_to_PI!U151</f>
        <v>5.1714158616864253E-4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79"/>
        <v>5.1714158616864253E-4</v>
      </c>
      <c r="BK89" s="173" t="s">
        <v>467</v>
      </c>
      <c r="BL89" s="206"/>
      <c r="BM89" s="206"/>
      <c r="BN89" s="214">
        <f t="shared" si="80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Ore_to_PI!EL101</f>
        <v>4.914718171980665</v>
      </c>
      <c r="BG90" s="214">
        <f t="shared" si="79"/>
        <v>4.914718171980665</v>
      </c>
      <c r="BK90" s="173" t="s">
        <v>411</v>
      </c>
      <c r="BL90" s="206"/>
      <c r="BM90" s="206"/>
      <c r="BN90" s="214">
        <f t="shared" si="80"/>
        <v>0</v>
      </c>
    </row>
    <row r="91" spans="33:66" x14ac:dyDescent="0.2">
      <c r="AG91" s="208"/>
      <c r="AH91" s="208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79"/>
        <v>0</v>
      </c>
      <c r="BK91" s="173" t="s">
        <v>459</v>
      </c>
      <c r="BL91" s="206"/>
      <c r="BM91" s="206"/>
      <c r="BN91" s="214">
        <f t="shared" ref="BN91:BN97" si="81">SUM(BL91:BM91)</f>
        <v>0</v>
      </c>
    </row>
    <row r="92" spans="33:66" ht="16" x14ac:dyDescent="0.2">
      <c r="AG92" s="174"/>
      <c r="AH92" s="174"/>
      <c r="AQ92" s="174" t="s">
        <v>442</v>
      </c>
      <c r="AR92" s="195"/>
      <c r="AS92" s="195"/>
      <c r="AT92" s="195"/>
      <c r="AU92" s="195">
        <f>Ore_to_PI!AN42</f>
        <v>1011.7674660019052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79"/>
        <v>1011.7674660019052</v>
      </c>
      <c r="BK92" s="174" t="s">
        <v>442</v>
      </c>
      <c r="BL92" s="206"/>
      <c r="BM92" s="206"/>
      <c r="BN92" s="214">
        <f t="shared" si="81"/>
        <v>0</v>
      </c>
    </row>
    <row r="93" spans="33:66" x14ac:dyDescent="0.2">
      <c r="AG93" s="175"/>
      <c r="AH93" s="175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79"/>
        <v>0</v>
      </c>
      <c r="BK93" s="173" t="s">
        <v>409</v>
      </c>
      <c r="BL93" s="206"/>
      <c r="BM93" s="206">
        <f>Ore_to_PI!AN63</f>
        <v>32.219926549044033</v>
      </c>
      <c r="BN93" s="214">
        <f t="shared" si="81"/>
        <v>32.219926549044033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Ore_to_PI!AO126</f>
        <v>208.55560337725498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79"/>
        <v>208.55560337725498</v>
      </c>
      <c r="BK94" s="174" t="s">
        <v>412</v>
      </c>
      <c r="BL94" s="206"/>
      <c r="BM94" s="210"/>
      <c r="BN94" s="214">
        <f t="shared" si="81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79"/>
        <v>0</v>
      </c>
      <c r="BK95" s="173" t="s">
        <v>437</v>
      </c>
      <c r="BL95" s="206"/>
      <c r="BM95" s="206">
        <f>Ore_to_PI!AO142</f>
        <v>9.658257192857822E-2</v>
      </c>
      <c r="BN95" s="214">
        <f t="shared" si="81"/>
        <v>9.658257192857822E-2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Ore_to_PI!AO206</f>
        <v>298.6148747230165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79"/>
        <v>298.6148747230165</v>
      </c>
      <c r="BK96" s="175" t="s">
        <v>430</v>
      </c>
      <c r="BL96" s="206"/>
      <c r="BM96" s="206"/>
      <c r="BN96" s="214">
        <f t="shared" si="81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79"/>
        <v>0</v>
      </c>
      <c r="BK97" s="173" t="s">
        <v>416</v>
      </c>
      <c r="BL97" s="206"/>
      <c r="BM97" s="206">
        <f>Ore_to_PI!AO227</f>
        <v>7.9771214256715108</v>
      </c>
      <c r="BN97" s="214">
        <f t="shared" si="81"/>
        <v>7.9771214256715108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Ore_to_PI!BG42</f>
        <v>1011.7674660019052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79"/>
        <v>1011.7674660019052</v>
      </c>
      <c r="BK98" s="174" t="s">
        <v>441</v>
      </c>
      <c r="BL98" s="206"/>
      <c r="BM98" s="206"/>
      <c r="BN98" s="214">
        <f t="shared" ref="BN98:BN118" si="82">SUM(BL98:BM98)</f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Ore_to_PI!BH126</f>
        <v>208.55560337725498</v>
      </c>
      <c r="AZ99" s="195"/>
      <c r="BA99" s="195"/>
      <c r="BB99" s="195"/>
      <c r="BC99" s="195"/>
      <c r="BD99" s="195"/>
      <c r="BE99" s="195"/>
      <c r="BF99" s="195"/>
      <c r="BG99" s="214">
        <f t="shared" si="79"/>
        <v>208.55560337725498</v>
      </c>
      <c r="BK99" s="174" t="s">
        <v>436</v>
      </c>
      <c r="BL99" s="206"/>
      <c r="BM99" s="206"/>
      <c r="BN99" s="214">
        <f t="shared" si="82"/>
        <v>0</v>
      </c>
    </row>
    <row r="100" spans="33:71" ht="16" x14ac:dyDescent="0.2">
      <c r="AG100" s="215"/>
      <c r="AH100" s="21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Ore_to_PI!BH206</f>
        <v>298.6148747230165</v>
      </c>
      <c r="BA100" s="195"/>
      <c r="BB100" s="195"/>
      <c r="BC100" s="195"/>
      <c r="BD100" s="195"/>
      <c r="BE100" s="195"/>
      <c r="BF100" s="195"/>
      <c r="BG100" s="214">
        <f t="shared" si="79"/>
        <v>298.6148747230165</v>
      </c>
      <c r="BK100" s="174" t="s">
        <v>433</v>
      </c>
      <c r="BL100" s="206"/>
      <c r="BM100" s="206"/>
      <c r="BN100" s="214">
        <f t="shared" si="82"/>
        <v>0</v>
      </c>
    </row>
    <row r="101" spans="33:71" ht="16" x14ac:dyDescent="0.2">
      <c r="AG101" s="175"/>
      <c r="AH101" s="17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Ore_to_PI!BZ42</f>
        <v>1000.0000000000001</v>
      </c>
      <c r="BF101" s="195"/>
      <c r="BG101" s="214">
        <f t="shared" si="79"/>
        <v>1000.0000000000001</v>
      </c>
      <c r="BH101" s="20"/>
      <c r="BI101" s="20"/>
      <c r="BK101" s="174" t="s">
        <v>439</v>
      </c>
      <c r="BL101" s="206"/>
      <c r="BM101" s="206"/>
      <c r="BN101" s="214">
        <f t="shared" si="8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79"/>
        <v>0</v>
      </c>
      <c r="BK102" s="175" t="s">
        <v>438</v>
      </c>
      <c r="BL102" s="206"/>
      <c r="BM102" s="206">
        <f>Beneficiation_Iron_waste</f>
        <v>11.767466001905108</v>
      </c>
      <c r="BN102" s="214">
        <f t="shared" si="82"/>
        <v>11.767466001905108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Ore_to_PI!CA126</f>
        <v>208.55560337725498</v>
      </c>
      <c r="BB103" s="195"/>
      <c r="BC103" s="195"/>
      <c r="BD103" s="195"/>
      <c r="BE103" s="195"/>
      <c r="BF103" s="195"/>
      <c r="BG103" s="214">
        <f t="shared" si="79"/>
        <v>208.55560337725498</v>
      </c>
      <c r="BK103" s="175" t="s">
        <v>424</v>
      </c>
      <c r="BL103" s="206"/>
      <c r="BM103" s="206"/>
      <c r="BN103" s="214">
        <f t="shared" si="8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Ore_to_PI!CA206</f>
        <v>298.6148747230165</v>
      </c>
      <c r="BC104" s="195"/>
      <c r="BD104" s="195"/>
      <c r="BE104" s="195"/>
      <c r="BF104" s="195"/>
      <c r="BG104" s="214">
        <f t="shared" si="79"/>
        <v>298.6148747230165</v>
      </c>
      <c r="BK104" s="175" t="s">
        <v>456</v>
      </c>
      <c r="BL104" s="206"/>
      <c r="BM104" s="206"/>
      <c r="BN104" s="214">
        <f t="shared" si="8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Ore_to_PI!CV126</f>
        <v>111.00813284002646</v>
      </c>
      <c r="BF105" s="195"/>
      <c r="BG105" s="214">
        <f t="shared" si="79"/>
        <v>111.00813284002646</v>
      </c>
      <c r="BK105" s="175" t="s">
        <v>425</v>
      </c>
      <c r="BL105" s="206"/>
      <c r="BM105" s="206"/>
      <c r="BN105" s="214">
        <f t="shared" si="8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79"/>
        <v>0</v>
      </c>
      <c r="BK106" s="175" t="s">
        <v>427</v>
      </c>
      <c r="BL106" s="206"/>
      <c r="BM106" s="206">
        <f>Kiln_SolidWaste</f>
        <v>4.9847525450981189</v>
      </c>
      <c r="BN106" s="214">
        <f t="shared" si="82"/>
        <v>4.9847525450981189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79"/>
        <v>0</v>
      </c>
      <c r="BK107" s="175" t="s">
        <v>426</v>
      </c>
      <c r="BL107" s="206"/>
      <c r="BM107" s="206">
        <f>Ore_to_PI!CV138</f>
        <v>774.43493010294708</v>
      </c>
      <c r="BN107" s="214">
        <f t="shared" si="82"/>
        <v>774.43493010294708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Ore_to_PI!CV206</f>
        <v>203.27980063725872</v>
      </c>
      <c r="BF108" s="195"/>
      <c r="BG108" s="214">
        <f t="shared" si="79"/>
        <v>203.27980063725872</v>
      </c>
      <c r="BK108" s="175" t="s">
        <v>484</v>
      </c>
      <c r="BL108" s="206"/>
      <c r="BM108" s="206"/>
      <c r="BN108" s="214">
        <f t="shared" si="8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Ore_to_PI!CV234</f>
        <v>46.0998047134687</v>
      </c>
      <c r="BD109" s="195"/>
      <c r="BE109" s="195"/>
      <c r="BF109" s="195"/>
      <c r="BG109" s="214">
        <f t="shared" si="79"/>
        <v>46.0998047134687</v>
      </c>
      <c r="BK109" s="215" t="s">
        <v>422</v>
      </c>
      <c r="BL109" s="206"/>
      <c r="BM109" s="206"/>
      <c r="BN109" s="214">
        <f t="shared" si="8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79"/>
        <v>0</v>
      </c>
      <c r="BK110" s="215" t="s">
        <v>552</v>
      </c>
      <c r="BL110" s="206"/>
      <c r="BM110" s="206">
        <f>Ore_to_PI!CV267</f>
        <v>23.982067525572877</v>
      </c>
      <c r="BN110" s="214">
        <f t="shared" si="82"/>
        <v>23.982067525572877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79"/>
        <v>0</v>
      </c>
      <c r="BK111" s="175" t="s">
        <v>421</v>
      </c>
      <c r="BL111" s="206"/>
      <c r="BM111" s="206">
        <f>Beneficiation_CoalWaste</f>
        <v>25.253201846716312</v>
      </c>
      <c r="BN111" s="214">
        <f t="shared" si="82"/>
        <v>25.253201846716312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79"/>
        <v>0</v>
      </c>
      <c r="BK112" s="173" t="s">
        <v>423</v>
      </c>
      <c r="BL112" s="206"/>
      <c r="BM112" s="206">
        <f>Ore_to_PI!CV251</f>
        <v>3698.8733194995434</v>
      </c>
      <c r="BN112" s="214">
        <f t="shared" si="82"/>
        <v>3698.8733194995434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Ore_to_PI!$DP$233</f>
        <v>46.099804713468714</v>
      </c>
      <c r="BE113" s="195"/>
      <c r="BF113" s="205"/>
      <c r="BG113" s="214">
        <f t="shared" si="79"/>
        <v>46.099804713468714</v>
      </c>
      <c r="BK113" s="175" t="s">
        <v>515</v>
      </c>
      <c r="BL113" s="206"/>
      <c r="BM113" s="206"/>
      <c r="BN113" s="214">
        <f t="shared" si="8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Ore_to_PI!$EL$152</f>
        <v>32.269863299428096</v>
      </c>
      <c r="BG114" s="214">
        <f t="shared" si="79"/>
        <v>32.269863299428096</v>
      </c>
      <c r="BK114" s="175" t="s">
        <v>517</v>
      </c>
      <c r="BL114" s="206">
        <f>Ore_to_PI!$FF$233</f>
        <v>13.829941414040613</v>
      </c>
      <c r="BM114" s="206"/>
      <c r="BN114" s="214">
        <f t="shared" si="82"/>
        <v>13.829941414040613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Ore_to_PI!EL126</f>
        <v>1314.2879334772852</v>
      </c>
      <c r="BG115" s="214">
        <f t="shared" si="79"/>
        <v>1314.2879334772852</v>
      </c>
      <c r="BK115" s="175" t="s">
        <v>445</v>
      </c>
      <c r="BL115" s="206"/>
      <c r="BM115" s="206"/>
      <c r="BN115" s="214">
        <f t="shared" si="8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79"/>
        <v>0</v>
      </c>
      <c r="BK116" s="175" t="s">
        <v>446</v>
      </c>
      <c r="BL116" s="206">
        <f>Ore_to_PI!FL126</f>
        <v>616.23583583508366</v>
      </c>
      <c r="BM116" s="206"/>
      <c r="BN116" s="214">
        <f t="shared" si="82"/>
        <v>616.23583583508366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79"/>
        <v>0</v>
      </c>
      <c r="BK117" s="175" t="s">
        <v>447</v>
      </c>
      <c r="BL117" s="206"/>
      <c r="BM117" s="206">
        <f>Ore_to_PI!FL141</f>
        <v>3402.2651449800928</v>
      </c>
      <c r="BN117" s="214">
        <f t="shared" si="82"/>
        <v>3402.2651449800928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79"/>
        <v>0</v>
      </c>
      <c r="BK118" s="175" t="s">
        <v>457</v>
      </c>
      <c r="BL118" s="206"/>
      <c r="BM118" s="206">
        <f>BF_SolidWaste</f>
        <v>229.94813284002646</v>
      </c>
      <c r="BN118" s="214">
        <f t="shared" si="82"/>
        <v>229.94813284002646</v>
      </c>
    </row>
    <row r="119" spans="2:66" x14ac:dyDescent="0.2">
      <c r="AG119" s="175"/>
      <c r="AH119" s="175"/>
      <c r="AQ119" s="175"/>
      <c r="AR119" s="427" t="s">
        <v>328</v>
      </c>
      <c r="AS119" s="427"/>
      <c r="AT119" s="427"/>
      <c r="AU119" s="427"/>
      <c r="AV119" s="427"/>
      <c r="AW119" s="427"/>
      <c r="AX119" s="427"/>
      <c r="AY119" s="427"/>
      <c r="AZ119" s="427"/>
      <c r="BA119" s="427"/>
      <c r="BB119" s="427"/>
      <c r="BC119" s="427"/>
      <c r="BD119" s="427"/>
      <c r="BE119" s="427"/>
      <c r="BF119" s="427"/>
      <c r="BG119" s="20" t="s">
        <v>369</v>
      </c>
      <c r="BL119" s="427" t="s">
        <v>330</v>
      </c>
      <c r="BM119" s="427"/>
      <c r="BN119" s="20" t="s">
        <v>381</v>
      </c>
    </row>
    <row r="120" spans="2:66" x14ac:dyDescent="0.2">
      <c r="AG120" s="175"/>
      <c r="AH120" s="175"/>
      <c r="AQ120" s="175"/>
      <c r="AR120" s="214">
        <f t="shared" ref="AR120:BF120" si="83">SUM(AR83:AR118)</f>
        <v>1043.9873925509492</v>
      </c>
      <c r="AS120" s="214">
        <f t="shared" si="83"/>
        <v>208.65218594918355</v>
      </c>
      <c r="AT120" s="214">
        <f t="shared" si="83"/>
        <v>306.591996148688</v>
      </c>
      <c r="AU120" s="214">
        <f t="shared" si="83"/>
        <v>1011.7674660019052</v>
      </c>
      <c r="AV120" s="214">
        <f t="shared" si="83"/>
        <v>208.55560337725498</v>
      </c>
      <c r="AW120" s="214">
        <f t="shared" si="83"/>
        <v>298.6148747230165</v>
      </c>
      <c r="AX120" s="214">
        <f t="shared" si="83"/>
        <v>1011.7674660019052</v>
      </c>
      <c r="AY120" s="214">
        <f t="shared" si="83"/>
        <v>208.55560337725498</v>
      </c>
      <c r="AZ120" s="214">
        <f t="shared" si="83"/>
        <v>298.6148747230165</v>
      </c>
      <c r="BA120" s="214">
        <f t="shared" si="83"/>
        <v>890.42781548807159</v>
      </c>
      <c r="BB120" s="214">
        <f t="shared" si="83"/>
        <v>3997.4881942225597</v>
      </c>
      <c r="BC120" s="214">
        <f t="shared" si="83"/>
        <v>46.0998047134687</v>
      </c>
      <c r="BD120" s="214">
        <f t="shared" si="83"/>
        <v>46.099804713468714</v>
      </c>
      <c r="BE120" s="214">
        <f t="shared" si="83"/>
        <v>1314.2879334772852</v>
      </c>
      <c r="BF120" s="214">
        <f t="shared" si="83"/>
        <v>4248.4491136552024</v>
      </c>
      <c r="BG120" s="20"/>
      <c r="BL120" s="20"/>
      <c r="BM120" s="20"/>
      <c r="BN120" s="20"/>
    </row>
    <row r="121" spans="2:66" x14ac:dyDescent="0.2">
      <c r="AG121" s="175"/>
      <c r="AH121" s="175"/>
      <c r="AQ121" s="175"/>
      <c r="AR121" s="427" t="s">
        <v>368</v>
      </c>
      <c r="AS121" s="427"/>
      <c r="AT121" s="427"/>
      <c r="AU121" s="427"/>
      <c r="AV121" s="427"/>
      <c r="AW121" s="427"/>
      <c r="AX121" s="427"/>
      <c r="AY121" s="427"/>
      <c r="AZ121" s="427"/>
      <c r="BA121" s="427"/>
      <c r="BB121" s="427"/>
      <c r="BC121" s="427"/>
      <c r="BD121" s="427"/>
      <c r="BE121" s="427"/>
      <c r="BF121" s="427"/>
      <c r="BG121" s="20"/>
      <c r="BL121" s="20"/>
      <c r="BM121" s="20"/>
      <c r="BN121" s="20"/>
    </row>
    <row r="122" spans="2:66" ht="13" customHeight="1" x14ac:dyDescent="0.2">
      <c r="C122" s="428"/>
      <c r="D122" s="428"/>
      <c r="E122" s="197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75"/>
      <c r="AH122" s="175"/>
      <c r="AI122" s="197"/>
      <c r="AJ122" s="197"/>
      <c r="AK122" s="197"/>
      <c r="AL122" s="197"/>
      <c r="AM122" s="197"/>
      <c r="AN122" s="197"/>
      <c r="AO122" s="197"/>
      <c r="AQ122" s="175"/>
      <c r="BL122" s="20"/>
      <c r="BM122" s="20"/>
      <c r="BN122" s="20"/>
    </row>
    <row r="123" spans="2:66" ht="236" x14ac:dyDescent="0.2">
      <c r="B123" s="202"/>
      <c r="C123" s="176" t="s">
        <v>333</v>
      </c>
      <c r="D123" s="176" t="s">
        <v>335</v>
      </c>
      <c r="E123" s="176" t="s">
        <v>336</v>
      </c>
      <c r="F123" s="176" t="s">
        <v>355</v>
      </c>
      <c r="G123" s="176" t="s">
        <v>377</v>
      </c>
      <c r="H123" s="176" t="s">
        <v>407</v>
      </c>
      <c r="I123" s="176" t="s">
        <v>466</v>
      </c>
      <c r="J123" s="176" t="s">
        <v>467</v>
      </c>
      <c r="K123" s="176" t="s">
        <v>459</v>
      </c>
      <c r="L123" s="177" t="s">
        <v>442</v>
      </c>
      <c r="M123" s="176" t="s">
        <v>409</v>
      </c>
      <c r="N123" s="177" t="s">
        <v>412</v>
      </c>
      <c r="O123" s="176" t="s">
        <v>437</v>
      </c>
      <c r="P123" s="178" t="s">
        <v>430</v>
      </c>
      <c r="Q123" s="176" t="s">
        <v>416</v>
      </c>
      <c r="R123" s="177" t="s">
        <v>441</v>
      </c>
      <c r="S123" s="177" t="s">
        <v>436</v>
      </c>
      <c r="T123" s="177" t="s">
        <v>433</v>
      </c>
      <c r="U123" s="177" t="s">
        <v>439</v>
      </c>
      <c r="V123" s="178" t="s">
        <v>438</v>
      </c>
      <c r="W123" s="178" t="s">
        <v>424</v>
      </c>
      <c r="X123" s="178" t="s">
        <v>456</v>
      </c>
      <c r="Y123" s="178" t="s">
        <v>425</v>
      </c>
      <c r="Z123" s="178" t="s">
        <v>427</v>
      </c>
      <c r="AA123" s="178" t="s">
        <v>426</v>
      </c>
      <c r="AB123" s="178" t="s">
        <v>484</v>
      </c>
      <c r="AC123" s="196" t="s">
        <v>422</v>
      </c>
      <c r="AD123" s="196" t="s">
        <v>552</v>
      </c>
      <c r="AE123" s="178" t="s">
        <v>421</v>
      </c>
      <c r="AF123" s="176" t="s">
        <v>423</v>
      </c>
      <c r="AG123" s="178" t="s">
        <v>515</v>
      </c>
      <c r="AH123" s="178" t="s">
        <v>517</v>
      </c>
      <c r="AI123" s="178" t="s">
        <v>445</v>
      </c>
      <c r="AJ123" s="178" t="s">
        <v>446</v>
      </c>
      <c r="AK123" s="178" t="s">
        <v>447</v>
      </c>
      <c r="AL123" s="178" t="s">
        <v>457</v>
      </c>
      <c r="AQ123" s="175"/>
      <c r="BL123" s="20"/>
      <c r="BM123" s="20"/>
    </row>
    <row r="124" spans="2:66" x14ac:dyDescent="0.2">
      <c r="B124" s="173" t="s">
        <v>325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>
        <f>Ore_to_PI!U42</f>
        <v>1011.7674660019052</v>
      </c>
      <c r="M124" s="195">
        <f>Ore_to_PI!$AN$63</f>
        <v>32.219926549044033</v>
      </c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14">
        <f>SUM(C124:AL124)</f>
        <v>1043.9873925509492</v>
      </c>
      <c r="BL124" s="20"/>
      <c r="BM124" s="20"/>
    </row>
    <row r="125" spans="2:66" x14ac:dyDescent="0.2">
      <c r="B125" s="173" t="s">
        <v>326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>
        <f>Ore_to_PI!AO126</f>
        <v>208.55560337725498</v>
      </c>
      <c r="O125" s="195">
        <f>Ore_to_PI!$AO$142</f>
        <v>9.658257192857822E-2</v>
      </c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14">
        <f>SUM(C125:AL125)</f>
        <v>208.65218594918355</v>
      </c>
    </row>
    <row r="126" spans="2:66" x14ac:dyDescent="0.2">
      <c r="B126" s="173" t="s">
        <v>327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>
        <f>Ore_to_PI!$AO$206</f>
        <v>298.6148747230165</v>
      </c>
      <c r="Q126" s="195">
        <f>Ore_to_PI!$AO$227</f>
        <v>7.9771214256715108</v>
      </c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14">
        <f t="shared" ref="AM126:AM138" si="84">SUM(C126:AL126)</f>
        <v>306.591996148688</v>
      </c>
    </row>
    <row r="127" spans="2:66" x14ac:dyDescent="0.2">
      <c r="B127" s="173" t="s">
        <v>455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>
        <f>Ore_to_PI!$BG$42</f>
        <v>1011.7674660019052</v>
      </c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14">
        <f t="shared" si="84"/>
        <v>1011.7674660019052</v>
      </c>
    </row>
    <row r="128" spans="2:66" x14ac:dyDescent="0.2">
      <c r="B128" s="173" t="s">
        <v>435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>
        <f>Ore_to_PI!$BH$126</f>
        <v>208.55560337725498</v>
      </c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14">
        <f t="shared" si="84"/>
        <v>208.55560337725498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434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>
        <f>Ore_to_PI!$BH$206</f>
        <v>298.6148747230165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14">
        <f t="shared" si="84"/>
        <v>298.6148747230165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351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Ore_to_PI!$BZ$42</f>
        <v>1000.0000000000001</v>
      </c>
      <c r="V130" s="195">
        <f>Beneficiation_Iron_waste</f>
        <v>11.767466001905108</v>
      </c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14">
        <f t="shared" si="84"/>
        <v>1011.7674660019052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348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>
        <f>Ore_to_PI!$CA$126</f>
        <v>208.55560337725498</v>
      </c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14">
        <f t="shared" si="84"/>
        <v>208.55560337725498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362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>
        <f>Ore_to_PI!$CA$206</f>
        <v>298.6148747230165</v>
      </c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14">
        <f t="shared" si="84"/>
        <v>298.6148747230165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349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>
        <f>Ore_to_PI!$CV$126</f>
        <v>111.00813284002646</v>
      </c>
      <c r="Z133" s="195">
        <f>Kiln_SolidWaste</f>
        <v>4.9847525450981189</v>
      </c>
      <c r="AA133" s="195">
        <f>Ore_to_PI!$CV$138</f>
        <v>774.43493010294708</v>
      </c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214">
        <f t="shared" si="84"/>
        <v>890.4278154880717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344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>
        <f>Ore_to_PI!$CV$206</f>
        <v>203.27980063725872</v>
      </c>
      <c r="AC134" s="195">
        <f>Ore_to_PI!$CV$234</f>
        <v>46.0998047134687</v>
      </c>
      <c r="AD134" s="195">
        <f>Ore_to_PI!CV267</f>
        <v>23.982067525572877</v>
      </c>
      <c r="AE134" s="195">
        <f>Beneficiation_CoalWaste</f>
        <v>25.253201846716312</v>
      </c>
      <c r="AF134" s="195">
        <f>Ore_to_PI!$CV$251</f>
        <v>3698.8733194995434</v>
      </c>
      <c r="AG134" s="195"/>
      <c r="AH134" s="195"/>
      <c r="AI134" s="195"/>
      <c r="AJ134" s="195"/>
      <c r="AK134" s="195"/>
      <c r="AL134" s="195"/>
      <c r="AM134" s="214">
        <f t="shared" si="84"/>
        <v>3997.4881942225602</v>
      </c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L134" s="20"/>
      <c r="BM134" s="20"/>
    </row>
    <row r="135" spans="2:65" x14ac:dyDescent="0.2">
      <c r="B135" s="173" t="s">
        <v>514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>
        <f>Ore_to_PI!$DP$233</f>
        <v>46.099804713468714</v>
      </c>
      <c r="AH135" s="195"/>
      <c r="AI135" s="195"/>
      <c r="AJ135" s="195"/>
      <c r="AK135" s="195"/>
      <c r="AL135" s="195"/>
      <c r="AM135" s="214">
        <f t="shared" si="84"/>
        <v>46.099804713468714</v>
      </c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L135" s="20"/>
      <c r="BM135" s="20"/>
    </row>
    <row r="136" spans="2:65" x14ac:dyDescent="0.2">
      <c r="B136" s="173" t="s">
        <v>516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>
        <f>Ore_to_PI!$EK$233</f>
        <v>46.099804713468714</v>
      </c>
      <c r="AI136" s="195"/>
      <c r="AJ136" s="195"/>
      <c r="AK136" s="195"/>
      <c r="AL136" s="195"/>
      <c r="AM136" s="214">
        <f t="shared" si="84"/>
        <v>46.099804713468714</v>
      </c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L136" s="20"/>
      <c r="BM136" s="20"/>
    </row>
    <row r="137" spans="2:65" x14ac:dyDescent="0.2">
      <c r="B137" s="173" t="s">
        <v>76</v>
      </c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205"/>
      <c r="AG137" s="195"/>
      <c r="AH137" s="195"/>
      <c r="AI137" s="205">
        <f>Ore_to_PI!$EL$126</f>
        <v>1314.2879334772852</v>
      </c>
      <c r="AJ137" s="195"/>
      <c r="AK137" s="195"/>
      <c r="AL137" s="195"/>
      <c r="AM137" s="214">
        <f t="shared" si="84"/>
        <v>1314.2879334772852</v>
      </c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L137" s="20"/>
      <c r="BM137" s="20"/>
    </row>
    <row r="138" spans="2:65" x14ac:dyDescent="0.2">
      <c r="B138" s="173" t="s">
        <v>337</v>
      </c>
      <c r="C138" s="195"/>
      <c r="D138" s="195"/>
      <c r="E138" s="195"/>
      <c r="F138" s="20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209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Ore_to_PI!$FL$126</f>
        <v>616.23583583508366</v>
      </c>
      <c r="AK138" s="195">
        <f>Ore_to_PI!$FL$141</f>
        <v>3402.2651449800928</v>
      </c>
      <c r="AL138" s="195">
        <f>BF_SolidWaste</f>
        <v>229.94813284002646</v>
      </c>
      <c r="AM138" s="214">
        <f t="shared" si="84"/>
        <v>4248.4491136552024</v>
      </c>
    </row>
    <row r="139" spans="2:65" x14ac:dyDescent="0.2">
      <c r="B139" s="173"/>
      <c r="C139" s="427" t="s">
        <v>329</v>
      </c>
      <c r="D139" s="427"/>
      <c r="E139" s="427"/>
      <c r="F139" s="427"/>
      <c r="G139" s="427"/>
      <c r="H139" s="427"/>
      <c r="I139" s="427"/>
      <c r="J139" s="427"/>
      <c r="K139" s="427"/>
      <c r="L139" s="427"/>
      <c r="M139" s="427"/>
      <c r="N139" s="427"/>
      <c r="O139" s="427"/>
      <c r="P139" s="427"/>
      <c r="Q139" s="427"/>
      <c r="R139" s="427"/>
      <c r="S139" s="427"/>
      <c r="T139" s="427"/>
      <c r="U139" s="427"/>
      <c r="V139" s="427"/>
      <c r="W139" s="427"/>
      <c r="X139" s="427"/>
      <c r="Y139" s="427"/>
      <c r="Z139" s="427"/>
      <c r="AA139" s="427"/>
      <c r="AB139" s="427"/>
      <c r="AC139" s="427"/>
      <c r="AD139" s="427"/>
      <c r="AE139" s="427"/>
      <c r="AF139" s="427"/>
      <c r="AG139" s="427"/>
      <c r="AH139" s="427"/>
      <c r="AI139" s="427"/>
      <c r="AJ139" s="427"/>
      <c r="AK139" s="427"/>
      <c r="AL139" s="427"/>
      <c r="AM139" s="20" t="s">
        <v>365</v>
      </c>
      <c r="AN139" s="20"/>
    </row>
    <row r="140" spans="2:65" x14ac:dyDescent="0.2">
      <c r="B140" s="173"/>
      <c r="C140" s="214">
        <f t="shared" ref="C140:AL140" si="85">SUM(C124:C138)</f>
        <v>0</v>
      </c>
      <c r="D140" s="214">
        <f t="shared" si="85"/>
        <v>0</v>
      </c>
      <c r="E140" s="214">
        <f t="shared" si="85"/>
        <v>0</v>
      </c>
      <c r="F140" s="214">
        <f t="shared" si="85"/>
        <v>0</v>
      </c>
      <c r="G140" s="214">
        <f t="shared" si="85"/>
        <v>0</v>
      </c>
      <c r="H140" s="214">
        <f t="shared" si="85"/>
        <v>0</v>
      </c>
      <c r="I140" s="214">
        <f t="shared" si="85"/>
        <v>0</v>
      </c>
      <c r="J140" s="214">
        <f t="shared" si="85"/>
        <v>0</v>
      </c>
      <c r="K140" s="214">
        <f t="shared" si="85"/>
        <v>0</v>
      </c>
      <c r="L140" s="214">
        <f t="shared" si="85"/>
        <v>1011.7674660019052</v>
      </c>
      <c r="M140" s="214">
        <f t="shared" si="85"/>
        <v>32.219926549044033</v>
      </c>
      <c r="N140" s="214">
        <f t="shared" si="85"/>
        <v>208.55560337725498</v>
      </c>
      <c r="O140" s="214">
        <f t="shared" si="85"/>
        <v>9.658257192857822E-2</v>
      </c>
      <c r="P140" s="214">
        <f t="shared" si="85"/>
        <v>298.6148747230165</v>
      </c>
      <c r="Q140" s="214">
        <f t="shared" si="85"/>
        <v>7.9771214256715108</v>
      </c>
      <c r="R140" s="214">
        <f t="shared" si="85"/>
        <v>1011.7674660019052</v>
      </c>
      <c r="S140" s="214">
        <f t="shared" si="85"/>
        <v>208.55560337725498</v>
      </c>
      <c r="T140" s="214">
        <f t="shared" si="85"/>
        <v>298.6148747230165</v>
      </c>
      <c r="U140" s="214">
        <f t="shared" si="85"/>
        <v>1000.0000000000001</v>
      </c>
      <c r="V140" s="214">
        <f t="shared" si="85"/>
        <v>11.767466001905108</v>
      </c>
      <c r="W140" s="214">
        <f t="shared" si="85"/>
        <v>208.55560337725498</v>
      </c>
      <c r="X140" s="214">
        <f t="shared" si="85"/>
        <v>298.6148747230165</v>
      </c>
      <c r="Y140" s="214">
        <f t="shared" si="85"/>
        <v>111.00813284002646</v>
      </c>
      <c r="Z140" s="214">
        <f t="shared" si="85"/>
        <v>4.9847525450981189</v>
      </c>
      <c r="AA140" s="214">
        <f t="shared" si="85"/>
        <v>774.43493010294708</v>
      </c>
      <c r="AB140" s="214">
        <f t="shared" si="85"/>
        <v>203.27980063725872</v>
      </c>
      <c r="AC140" s="214">
        <f t="shared" si="85"/>
        <v>46.0998047134687</v>
      </c>
      <c r="AD140" s="214">
        <f t="shared" si="85"/>
        <v>23.982067525572877</v>
      </c>
      <c r="AE140" s="214">
        <f t="shared" si="85"/>
        <v>25.253201846716312</v>
      </c>
      <c r="AF140" s="214">
        <f t="shared" si="85"/>
        <v>3698.8733194995434</v>
      </c>
      <c r="AG140" s="214">
        <f t="shared" si="85"/>
        <v>46.099804713468714</v>
      </c>
      <c r="AH140" s="214">
        <f t="shared" si="85"/>
        <v>46.099804713468714</v>
      </c>
      <c r="AI140" s="214">
        <f t="shared" si="85"/>
        <v>1314.2879334772852</v>
      </c>
      <c r="AJ140" s="214">
        <f t="shared" si="85"/>
        <v>616.23583583508366</v>
      </c>
      <c r="AK140" s="214">
        <f t="shared" si="85"/>
        <v>3402.2651449800928</v>
      </c>
      <c r="AL140" s="214">
        <f t="shared" si="85"/>
        <v>229.94813284002646</v>
      </c>
    </row>
    <row r="141" spans="2:65" x14ac:dyDescent="0.2">
      <c r="B141" s="173"/>
      <c r="C141" s="427" t="s">
        <v>366</v>
      </c>
      <c r="D141" s="427"/>
      <c r="E141" s="427"/>
      <c r="F141" s="427"/>
      <c r="G141" s="427"/>
      <c r="H141" s="427"/>
      <c r="I141" s="427"/>
      <c r="J141" s="427"/>
      <c r="K141" s="427"/>
      <c r="L141" s="427"/>
      <c r="M141" s="427"/>
      <c r="N141" s="427"/>
      <c r="O141" s="427"/>
      <c r="P141" s="427"/>
      <c r="Q141" s="427"/>
      <c r="R141" s="427"/>
      <c r="S141" s="427"/>
      <c r="T141" s="427"/>
      <c r="U141" s="427"/>
      <c r="V141" s="427"/>
      <c r="W141" s="427"/>
      <c r="X141" s="427"/>
      <c r="Y141" s="427"/>
      <c r="Z141" s="427"/>
      <c r="AA141" s="427"/>
      <c r="AB141" s="427"/>
      <c r="AC141" s="427"/>
      <c r="AD141" s="427"/>
      <c r="AE141" s="427"/>
      <c r="AF141" s="427"/>
      <c r="AG141" s="427"/>
      <c r="AH141" s="427"/>
      <c r="AI141" s="427"/>
      <c r="AJ141" s="427"/>
      <c r="AK141" s="427"/>
      <c r="AL141" s="427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x14ac:dyDescent="0.2">
      <c r="B151" s="173"/>
    </row>
    <row r="152" spans="2:44" ht="236" x14ac:dyDescent="0.2">
      <c r="B152" s="173"/>
      <c r="C152" s="176" t="s">
        <v>333</v>
      </c>
      <c r="D152" s="176" t="s">
        <v>335</v>
      </c>
      <c r="E152" s="176" t="s">
        <v>336</v>
      </c>
      <c r="F152" s="176" t="s">
        <v>355</v>
      </c>
      <c r="G152" s="176" t="s">
        <v>377</v>
      </c>
      <c r="H152" s="176" t="s">
        <v>407</v>
      </c>
      <c r="I152" s="176" t="s">
        <v>466</v>
      </c>
      <c r="J152" s="176" t="s">
        <v>467</v>
      </c>
      <c r="K152" s="176" t="s">
        <v>459</v>
      </c>
      <c r="L152" s="177" t="s">
        <v>442</v>
      </c>
      <c r="M152" s="176" t="s">
        <v>409</v>
      </c>
      <c r="N152" s="177" t="s">
        <v>412</v>
      </c>
      <c r="O152" s="176" t="s">
        <v>437</v>
      </c>
      <c r="P152" s="178" t="s">
        <v>430</v>
      </c>
      <c r="Q152" s="176" t="s">
        <v>416</v>
      </c>
      <c r="R152" s="177" t="s">
        <v>441</v>
      </c>
      <c r="S152" s="177" t="s">
        <v>436</v>
      </c>
      <c r="T152" s="177" t="s">
        <v>433</v>
      </c>
      <c r="U152" s="177" t="s">
        <v>439</v>
      </c>
      <c r="V152" s="178" t="s">
        <v>438</v>
      </c>
      <c r="W152" s="178" t="s">
        <v>424</v>
      </c>
      <c r="X152" s="178" t="s">
        <v>456</v>
      </c>
      <c r="Y152" s="178" t="s">
        <v>425</v>
      </c>
      <c r="Z152" s="178" t="s">
        <v>427</v>
      </c>
      <c r="AA152" s="178" t="s">
        <v>426</v>
      </c>
      <c r="AB152" s="178" t="s">
        <v>484</v>
      </c>
      <c r="AC152" s="196" t="s">
        <v>422</v>
      </c>
      <c r="AD152" s="196" t="s">
        <v>552</v>
      </c>
      <c r="AE152" s="178" t="s">
        <v>421</v>
      </c>
      <c r="AF152" s="176" t="s">
        <v>423</v>
      </c>
      <c r="AG152" s="178" t="s">
        <v>515</v>
      </c>
      <c r="AH152" s="178" t="s">
        <v>517</v>
      </c>
      <c r="AI152" s="178" t="s">
        <v>445</v>
      </c>
      <c r="AJ152" s="178" t="s">
        <v>446</v>
      </c>
      <c r="AK152" s="178" t="s">
        <v>447</v>
      </c>
      <c r="AL152" s="178" t="s">
        <v>457</v>
      </c>
      <c r="AM152" s="178"/>
      <c r="AN152" s="178"/>
    </row>
    <row r="153" spans="2:44" x14ac:dyDescent="0.2">
      <c r="B153" s="173" t="s">
        <v>332</v>
      </c>
      <c r="C153" s="206">
        <f>Ore_to_PI!U42</f>
        <v>1011.7674660019052</v>
      </c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ht="16" x14ac:dyDescent="0.2">
      <c r="B154" s="174" t="s">
        <v>334</v>
      </c>
      <c r="C154" s="206"/>
      <c r="D154" s="206">
        <f>Ore_to_PI!U126</f>
        <v>208.55560337725498</v>
      </c>
      <c r="E154" s="206"/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5" t="s">
        <v>356</v>
      </c>
      <c r="C155" s="206"/>
      <c r="D155" s="206"/>
      <c r="E155" s="206">
        <f>Ore_to_PI!U206</f>
        <v>298.6148747230165</v>
      </c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380</v>
      </c>
      <c r="C156" s="206"/>
      <c r="D156" s="206"/>
      <c r="E156" s="206"/>
      <c r="F156" s="212">
        <f>Ore_to_PI!EL140+Ore_to_PI!CA140+Ore_to_PI!U163+Ore_to_PI!U72+Ore_to_PI!CA232+Ore_to_PI!U236</f>
        <v>7028.7429099762057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376</v>
      </c>
      <c r="C157" s="206"/>
      <c r="D157" s="206"/>
      <c r="E157" s="206"/>
      <c r="F157" s="206"/>
      <c r="G157" s="206">
        <f>Ore_to_PI!EL114+Ore_to_PI!CA152+Ore_to_PI!CA244</f>
        <v>286.68478984220775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</row>
    <row r="158" spans="2:44" x14ac:dyDescent="0.2">
      <c r="B158" s="173" t="s">
        <v>469</v>
      </c>
      <c r="C158" s="206"/>
      <c r="D158" s="206"/>
      <c r="E158" s="206"/>
      <c r="F158" s="206"/>
      <c r="G158" s="206"/>
      <c r="H158" s="206">
        <f>Ore_to_PI!U222+Ore_to_PI!U140+Ore_to_PI!U59</f>
        <v>2.5875439035128025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468</v>
      </c>
      <c r="C159" s="206"/>
      <c r="D159" s="206"/>
      <c r="E159" s="206"/>
      <c r="F159" s="206"/>
      <c r="G159" s="206"/>
      <c r="H159" s="206"/>
      <c r="I159" s="206">
        <f>Ore_to_PI!U151</f>
        <v>5.1714158616864253E-4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410</v>
      </c>
      <c r="C160" s="206"/>
      <c r="D160" s="206"/>
      <c r="E160" s="206"/>
      <c r="F160" s="206"/>
      <c r="G160" s="206"/>
      <c r="H160" s="206"/>
      <c r="I160" s="206"/>
      <c r="J160" s="206">
        <f>Ore_to_PI!$EL$101</f>
        <v>4.914718171980665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R160" s="196"/>
    </row>
    <row r="161" spans="2:40" x14ac:dyDescent="0.2">
      <c r="B161" s="173" t="s">
        <v>458</v>
      </c>
      <c r="C161" s="206"/>
      <c r="D161" s="206"/>
      <c r="E161" s="206"/>
      <c r="F161" s="206"/>
      <c r="G161" s="206"/>
      <c r="H161" s="206"/>
      <c r="I161" s="206"/>
      <c r="J161" s="206"/>
      <c r="K161" s="206">
        <v>0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</row>
    <row r="162" spans="2:40" x14ac:dyDescent="0.2">
      <c r="C162" s="427" t="s">
        <v>56</v>
      </c>
      <c r="D162" s="427"/>
      <c r="E162" s="427"/>
      <c r="F162" s="427"/>
      <c r="G162" s="427"/>
      <c r="H162" s="427"/>
      <c r="I162" s="427"/>
      <c r="J162" s="427"/>
      <c r="K162" s="427"/>
      <c r="L162" s="427"/>
      <c r="M162" s="427"/>
      <c r="N162" s="427"/>
      <c r="O162" s="427"/>
      <c r="P162" s="427"/>
      <c r="Q162" s="427"/>
      <c r="R162" s="427"/>
      <c r="S162" s="427"/>
      <c r="T162" s="427"/>
      <c r="U162" s="427"/>
      <c r="V162" s="427"/>
      <c r="W162" s="427"/>
      <c r="X162" s="427"/>
      <c r="Y162" s="427"/>
      <c r="Z162" s="427"/>
      <c r="AA162" s="427"/>
      <c r="AB162" s="427"/>
      <c r="AC162" s="427"/>
      <c r="AD162" s="427"/>
      <c r="AE162" s="427"/>
      <c r="AF162" s="427"/>
      <c r="AG162" s="427"/>
      <c r="AH162" s="427"/>
      <c r="AI162" s="427"/>
      <c r="AJ162" s="427"/>
      <c r="AK162" s="427"/>
      <c r="AL162" s="427"/>
      <c r="AM162" s="20"/>
      <c r="AN162" s="20"/>
    </row>
    <row r="163" spans="2:40" x14ac:dyDescent="0.2">
      <c r="C163" s="214">
        <f>SUM(C153:C161)</f>
        <v>1011.7674660019052</v>
      </c>
      <c r="D163" s="214">
        <f t="shared" ref="D163:AL163" si="86">SUM(D153:D161)</f>
        <v>208.55560337725498</v>
      </c>
      <c r="E163" s="214">
        <f t="shared" si="86"/>
        <v>298.6148747230165</v>
      </c>
      <c r="F163" s="214">
        <f t="shared" si="86"/>
        <v>7028.7429099762057</v>
      </c>
      <c r="G163" s="214">
        <f t="shared" si="86"/>
        <v>286.68478984220775</v>
      </c>
      <c r="H163" s="214">
        <f t="shared" si="86"/>
        <v>2.5875439035128025</v>
      </c>
      <c r="I163" s="214">
        <f t="shared" si="86"/>
        <v>5.1714158616864253E-4</v>
      </c>
      <c r="J163" s="214">
        <f t="shared" si="86"/>
        <v>4.914718171980665</v>
      </c>
      <c r="K163" s="214">
        <f t="shared" si="86"/>
        <v>0</v>
      </c>
      <c r="L163" s="214">
        <f t="shared" si="86"/>
        <v>0</v>
      </c>
      <c r="M163" s="214">
        <f t="shared" si="86"/>
        <v>0</v>
      </c>
      <c r="N163" s="214">
        <f t="shared" si="86"/>
        <v>0</v>
      </c>
      <c r="O163" s="214">
        <f t="shared" si="86"/>
        <v>0</v>
      </c>
      <c r="P163" s="214">
        <f t="shared" si="86"/>
        <v>0</v>
      </c>
      <c r="Q163" s="214">
        <f t="shared" si="86"/>
        <v>0</v>
      </c>
      <c r="R163" s="214">
        <f t="shared" si="86"/>
        <v>0</v>
      </c>
      <c r="S163" s="214">
        <f t="shared" si="86"/>
        <v>0</v>
      </c>
      <c r="T163" s="214">
        <f t="shared" si="86"/>
        <v>0</v>
      </c>
      <c r="U163" s="214">
        <f t="shared" si="86"/>
        <v>0</v>
      </c>
      <c r="V163" s="214">
        <f t="shared" si="86"/>
        <v>0</v>
      </c>
      <c r="W163" s="214">
        <f t="shared" si="86"/>
        <v>0</v>
      </c>
      <c r="X163" s="214">
        <f t="shared" si="86"/>
        <v>0</v>
      </c>
      <c r="Y163" s="214">
        <f t="shared" si="86"/>
        <v>0</v>
      </c>
      <c r="Z163" s="214">
        <f t="shared" si="86"/>
        <v>0</v>
      </c>
      <c r="AA163" s="214">
        <f t="shared" si="86"/>
        <v>0</v>
      </c>
      <c r="AB163" s="214">
        <f t="shared" si="86"/>
        <v>0</v>
      </c>
      <c r="AC163" s="214">
        <f t="shared" si="86"/>
        <v>0</v>
      </c>
      <c r="AD163" s="214">
        <f t="shared" si="86"/>
        <v>0</v>
      </c>
      <c r="AE163" s="214">
        <f t="shared" si="86"/>
        <v>0</v>
      </c>
      <c r="AF163" s="214">
        <f t="shared" si="86"/>
        <v>0</v>
      </c>
      <c r="AG163" s="214">
        <f t="shared" si="86"/>
        <v>0</v>
      </c>
      <c r="AH163" s="214">
        <f t="shared" si="86"/>
        <v>0</v>
      </c>
      <c r="AI163" s="214">
        <f t="shared" si="86"/>
        <v>0</v>
      </c>
      <c r="AJ163" s="214">
        <f t="shared" si="86"/>
        <v>0</v>
      </c>
      <c r="AK163" s="214">
        <f t="shared" si="86"/>
        <v>0</v>
      </c>
      <c r="AL163" s="214">
        <f t="shared" si="86"/>
        <v>0</v>
      </c>
    </row>
    <row r="164" spans="2:40" x14ac:dyDescent="0.2">
      <c r="C164" s="427" t="s">
        <v>367</v>
      </c>
      <c r="D164" s="427"/>
      <c r="E164" s="427"/>
      <c r="F164" s="427"/>
      <c r="G164" s="427"/>
      <c r="H164" s="427"/>
      <c r="I164" s="427"/>
      <c r="J164" s="427"/>
      <c r="K164" s="427"/>
      <c r="L164" s="427"/>
      <c r="M164" s="427"/>
      <c r="N164" s="427"/>
      <c r="O164" s="427"/>
      <c r="P164" s="427"/>
      <c r="Q164" s="427"/>
      <c r="R164" s="427"/>
      <c r="S164" s="427"/>
      <c r="T164" s="427"/>
      <c r="U164" s="427"/>
      <c r="V164" s="427"/>
      <c r="W164" s="427"/>
      <c r="X164" s="427"/>
      <c r="Y164" s="427"/>
      <c r="Z164" s="427"/>
      <c r="AA164" s="427"/>
      <c r="AB164" s="427"/>
      <c r="AC164" s="427"/>
      <c r="AD164" s="427"/>
      <c r="AE164" s="427"/>
      <c r="AF164" s="427"/>
      <c r="AG164" s="427"/>
      <c r="AH164" s="427"/>
      <c r="AI164" s="427"/>
      <c r="AJ164" s="427"/>
      <c r="AK164" s="427"/>
      <c r="AL164" s="427"/>
      <c r="AM164" s="20"/>
      <c r="AN164" s="20"/>
    </row>
    <row r="168" spans="2:40" x14ac:dyDescent="0.2">
      <c r="C168" s="427" t="s">
        <v>364</v>
      </c>
      <c r="D168" s="427"/>
      <c r="E168" s="427"/>
      <c r="F168" s="427"/>
      <c r="G168" s="427"/>
      <c r="H168" s="427"/>
      <c r="I168" s="427"/>
      <c r="J168" s="427"/>
      <c r="K168" s="42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"/>
      <c r="V168" s="20"/>
    </row>
    <row r="171" spans="2:40" x14ac:dyDescent="0.2">
      <c r="B171" s="173" t="s">
        <v>333</v>
      </c>
      <c r="C171" s="214" cm="1">
        <f t="array" ref="C171:C206">TRANSPOSE(C163:AL163)</f>
        <v>1011.7674660019052</v>
      </c>
      <c r="E171" s="214" cm="1">
        <f t="array" ref="E171:E206">TRANSPOSE(C140:AL140)</f>
        <v>0</v>
      </c>
      <c r="G171" s="214">
        <f t="shared" ref="G171:G197" si="87">BG83</f>
        <v>1011.7674660019052</v>
      </c>
      <c r="I171" s="214" cm="1">
        <f t="array" ref="I171:I206">BN83:BN118</f>
        <v>0</v>
      </c>
      <c r="K171" s="257">
        <f>C171+E171-G171-I171</f>
        <v>0</v>
      </c>
    </row>
    <row r="172" spans="2:40" x14ac:dyDescent="0.2">
      <c r="B172" s="173" t="s">
        <v>335</v>
      </c>
      <c r="C172" s="214">
        <v>208.55560337725498</v>
      </c>
      <c r="E172" s="214">
        <v>0</v>
      </c>
      <c r="G172" s="214">
        <f t="shared" si="87"/>
        <v>208.55560337725498</v>
      </c>
      <c r="I172" s="214">
        <v>0</v>
      </c>
      <c r="K172" s="257">
        <f>C172+E172-G172-I172</f>
        <v>0</v>
      </c>
    </row>
    <row r="173" spans="2:40" x14ac:dyDescent="0.2">
      <c r="B173" s="173" t="s">
        <v>336</v>
      </c>
      <c r="C173" s="214">
        <v>298.6148747230165</v>
      </c>
      <c r="E173" s="214">
        <v>0</v>
      </c>
      <c r="G173" s="214">
        <f t="shared" si="87"/>
        <v>298.6148747230165</v>
      </c>
      <c r="I173" s="214">
        <v>0</v>
      </c>
      <c r="K173" s="257">
        <f>C173+E173-G173-I173</f>
        <v>0</v>
      </c>
    </row>
    <row r="174" spans="2:40" x14ac:dyDescent="0.2">
      <c r="B174" s="173" t="s">
        <v>355</v>
      </c>
      <c r="C174" s="214">
        <v>7028.7429099762057</v>
      </c>
      <c r="E174" s="214">
        <v>0</v>
      </c>
      <c r="G174" s="214">
        <f t="shared" si="87"/>
        <v>7028.7429099762066</v>
      </c>
      <c r="I174" s="214">
        <v>0</v>
      </c>
      <c r="K174" s="257">
        <f>ROUND(C174+E174-G174-I174, 10)</f>
        <v>0</v>
      </c>
    </row>
    <row r="175" spans="2:40" x14ac:dyDescent="0.2">
      <c r="B175" s="173" t="s">
        <v>377</v>
      </c>
      <c r="C175" s="214">
        <v>286.68478984220775</v>
      </c>
      <c r="E175" s="214">
        <v>0</v>
      </c>
      <c r="G175" s="214">
        <f t="shared" si="87"/>
        <v>286.68478984220775</v>
      </c>
      <c r="I175" s="214">
        <v>0</v>
      </c>
      <c r="K175" s="257">
        <f t="shared" ref="K175:K190" si="88">C175+E175-G175-I175</f>
        <v>0</v>
      </c>
    </row>
    <row r="176" spans="2:40" x14ac:dyDescent="0.2">
      <c r="B176" s="173" t="s">
        <v>407</v>
      </c>
      <c r="C176" s="214">
        <v>2.5875439035128025</v>
      </c>
      <c r="E176" s="214">
        <v>0</v>
      </c>
      <c r="G176" s="214">
        <f t="shared" si="87"/>
        <v>2.5875439035128025</v>
      </c>
      <c r="I176" s="214">
        <v>0</v>
      </c>
      <c r="K176" s="257">
        <f t="shared" si="88"/>
        <v>0</v>
      </c>
    </row>
    <row r="177" spans="2:18" x14ac:dyDescent="0.2">
      <c r="B177" s="173" t="s">
        <v>408</v>
      </c>
      <c r="C177" s="214">
        <v>5.1714158616864253E-4</v>
      </c>
      <c r="E177" s="214">
        <v>0</v>
      </c>
      <c r="G177" s="214">
        <f t="shared" si="87"/>
        <v>5.1714158616864253E-4</v>
      </c>
      <c r="I177" s="214">
        <v>0</v>
      </c>
      <c r="K177" s="257">
        <f t="shared" si="88"/>
        <v>0</v>
      </c>
    </row>
    <row r="178" spans="2:18" x14ac:dyDescent="0.2">
      <c r="B178" s="173" t="s">
        <v>411</v>
      </c>
      <c r="C178" s="214">
        <v>4.914718171980665</v>
      </c>
      <c r="E178" s="214">
        <v>0</v>
      </c>
      <c r="G178" s="214">
        <f t="shared" si="87"/>
        <v>4.914718171980665</v>
      </c>
      <c r="I178" s="214">
        <v>0</v>
      </c>
      <c r="K178" s="257">
        <f t="shared" si="88"/>
        <v>0</v>
      </c>
    </row>
    <row r="179" spans="2:18" x14ac:dyDescent="0.2">
      <c r="B179" s="173" t="s">
        <v>459</v>
      </c>
      <c r="C179" s="214">
        <v>0</v>
      </c>
      <c r="E179" s="214">
        <v>0</v>
      </c>
      <c r="G179" s="214">
        <f t="shared" si="87"/>
        <v>0</v>
      </c>
      <c r="I179" s="214">
        <v>0</v>
      </c>
      <c r="K179" s="257">
        <f t="shared" si="88"/>
        <v>0</v>
      </c>
    </row>
    <row r="180" spans="2:18" ht="16" x14ac:dyDescent="0.2">
      <c r="B180" s="174" t="s">
        <v>442</v>
      </c>
      <c r="C180" s="214">
        <v>0</v>
      </c>
      <c r="E180" s="214">
        <v>1011.7674660019052</v>
      </c>
      <c r="G180" s="214">
        <f t="shared" si="87"/>
        <v>1011.7674660019052</v>
      </c>
      <c r="I180" s="214">
        <v>0</v>
      </c>
      <c r="K180" s="257">
        <f t="shared" si="88"/>
        <v>0</v>
      </c>
    </row>
    <row r="181" spans="2:18" x14ac:dyDescent="0.2">
      <c r="B181" s="173" t="s">
        <v>409</v>
      </c>
      <c r="C181" s="214">
        <v>0</v>
      </c>
      <c r="E181" s="214">
        <v>32.219926549044033</v>
      </c>
      <c r="G181" s="214">
        <f t="shared" si="87"/>
        <v>0</v>
      </c>
      <c r="I181" s="214">
        <v>32.219926549044033</v>
      </c>
      <c r="K181" s="257">
        <f t="shared" si="88"/>
        <v>0</v>
      </c>
    </row>
    <row r="182" spans="2:18" ht="16" x14ac:dyDescent="0.2">
      <c r="B182" s="174" t="s">
        <v>412</v>
      </c>
      <c r="C182" s="214">
        <v>0</v>
      </c>
      <c r="E182" s="214">
        <v>208.55560337725498</v>
      </c>
      <c r="G182" s="214">
        <f t="shared" si="87"/>
        <v>208.55560337725498</v>
      </c>
      <c r="I182" s="214">
        <v>0</v>
      </c>
      <c r="K182" s="257">
        <f t="shared" si="88"/>
        <v>0</v>
      </c>
    </row>
    <row r="183" spans="2:18" x14ac:dyDescent="0.2">
      <c r="B183" s="173" t="s">
        <v>437</v>
      </c>
      <c r="C183" s="214">
        <v>0</v>
      </c>
      <c r="E183" s="214">
        <v>9.658257192857822E-2</v>
      </c>
      <c r="G183" s="214">
        <f t="shared" si="87"/>
        <v>0</v>
      </c>
      <c r="I183" s="214">
        <v>9.658257192857822E-2</v>
      </c>
      <c r="K183" s="257">
        <f t="shared" si="88"/>
        <v>0</v>
      </c>
    </row>
    <row r="184" spans="2:18" x14ac:dyDescent="0.2">
      <c r="B184" s="175" t="s">
        <v>430</v>
      </c>
      <c r="C184" s="214">
        <v>0</v>
      </c>
      <c r="D184" s="221" t="s">
        <v>371</v>
      </c>
      <c r="E184" s="214">
        <v>298.6148747230165</v>
      </c>
      <c r="F184" s="142" t="s">
        <v>373</v>
      </c>
      <c r="G184" s="214">
        <f t="shared" si="87"/>
        <v>298.6148747230165</v>
      </c>
      <c r="H184" s="142" t="s">
        <v>373</v>
      </c>
      <c r="I184" s="214">
        <v>0</v>
      </c>
      <c r="J184" s="221" t="s">
        <v>374</v>
      </c>
      <c r="K184" s="257">
        <f t="shared" si="88"/>
        <v>0</v>
      </c>
    </row>
    <row r="185" spans="2:18" x14ac:dyDescent="0.2">
      <c r="B185" s="173" t="s">
        <v>416</v>
      </c>
      <c r="C185" s="214">
        <v>0</v>
      </c>
      <c r="E185" s="214">
        <v>7.9771214256715108</v>
      </c>
      <c r="G185" s="214">
        <f t="shared" si="87"/>
        <v>0</v>
      </c>
      <c r="I185" s="214">
        <v>7.9771214256715108</v>
      </c>
      <c r="K185" s="257">
        <f t="shared" si="88"/>
        <v>0</v>
      </c>
    </row>
    <row r="186" spans="2:18" ht="16" x14ac:dyDescent="0.2">
      <c r="B186" s="174" t="s">
        <v>441</v>
      </c>
      <c r="C186" s="214">
        <v>0</v>
      </c>
      <c r="E186" s="214">
        <v>1011.7674660019052</v>
      </c>
      <c r="G186" s="214">
        <f t="shared" si="87"/>
        <v>1011.7674660019052</v>
      </c>
      <c r="I186" s="214">
        <v>0</v>
      </c>
      <c r="K186" s="257">
        <f t="shared" si="88"/>
        <v>0</v>
      </c>
    </row>
    <row r="187" spans="2:18" ht="16" x14ac:dyDescent="0.2">
      <c r="B187" s="174" t="s">
        <v>436</v>
      </c>
      <c r="C187" s="214">
        <v>0</v>
      </c>
      <c r="E187" s="214">
        <v>208.55560337725498</v>
      </c>
      <c r="G187" s="214">
        <f t="shared" si="87"/>
        <v>208.55560337725498</v>
      </c>
      <c r="I187" s="214">
        <v>0</v>
      </c>
      <c r="K187" s="257">
        <f t="shared" si="88"/>
        <v>0</v>
      </c>
    </row>
    <row r="188" spans="2:18" ht="16" x14ac:dyDescent="0.2">
      <c r="B188" s="174" t="s">
        <v>433</v>
      </c>
      <c r="C188" s="214">
        <v>0</v>
      </c>
      <c r="E188" s="214">
        <v>298.6148747230165</v>
      </c>
      <c r="G188" s="214">
        <f t="shared" si="87"/>
        <v>298.6148747230165</v>
      </c>
      <c r="I188" s="214">
        <v>0</v>
      </c>
      <c r="K188" s="257">
        <f t="shared" si="88"/>
        <v>0</v>
      </c>
    </row>
    <row r="189" spans="2:18" ht="16" x14ac:dyDescent="0.2">
      <c r="B189" s="174" t="s">
        <v>439</v>
      </c>
      <c r="C189" s="214">
        <v>0</v>
      </c>
      <c r="E189" s="214">
        <v>1000.0000000000001</v>
      </c>
      <c r="G189" s="214">
        <f t="shared" si="87"/>
        <v>1000.0000000000001</v>
      </c>
      <c r="I189" s="214">
        <v>0</v>
      </c>
      <c r="K189" s="257">
        <f t="shared" si="88"/>
        <v>0</v>
      </c>
    </row>
    <row r="190" spans="2:18" x14ac:dyDescent="0.2">
      <c r="B190" s="175" t="s">
        <v>438</v>
      </c>
      <c r="C190" s="214">
        <v>0</v>
      </c>
      <c r="E190" s="214">
        <v>11.767466001905108</v>
      </c>
      <c r="G190" s="214">
        <f t="shared" si="87"/>
        <v>0</v>
      </c>
      <c r="I190" s="214">
        <v>11.767466001905108</v>
      </c>
      <c r="K190" s="257">
        <f t="shared" si="88"/>
        <v>0</v>
      </c>
    </row>
    <row r="191" spans="2:18" x14ac:dyDescent="0.2">
      <c r="B191" s="175" t="s">
        <v>424</v>
      </c>
      <c r="C191" s="214">
        <v>0</v>
      </c>
      <c r="E191" s="214">
        <v>208.55560337725498</v>
      </c>
      <c r="G191" s="214">
        <f t="shared" si="87"/>
        <v>208.55560337725498</v>
      </c>
      <c r="I191" s="214">
        <v>0</v>
      </c>
      <c r="K191" s="257">
        <f t="shared" ref="K191:K206" si="89">C191+E191-G191-I191</f>
        <v>0</v>
      </c>
      <c r="N191" s="20"/>
      <c r="P191" s="20"/>
      <c r="Q191" s="20"/>
      <c r="R191" s="20"/>
    </row>
    <row r="192" spans="2:18" x14ac:dyDescent="0.2">
      <c r="B192" s="175" t="s">
        <v>456</v>
      </c>
      <c r="C192" s="214">
        <v>0</v>
      </c>
      <c r="E192" s="214">
        <v>298.6148747230165</v>
      </c>
      <c r="G192" s="214">
        <f t="shared" si="87"/>
        <v>298.6148747230165</v>
      </c>
      <c r="I192" s="214">
        <v>0</v>
      </c>
      <c r="K192" s="257">
        <f t="shared" si="89"/>
        <v>0</v>
      </c>
      <c r="N192" s="20"/>
      <c r="P192" s="20"/>
      <c r="Q192" s="20"/>
      <c r="R192" s="20"/>
    </row>
    <row r="193" spans="2:19" x14ac:dyDescent="0.2">
      <c r="B193" s="175" t="s">
        <v>425</v>
      </c>
      <c r="C193" s="214">
        <v>0</v>
      </c>
      <c r="E193" s="214">
        <v>111.00813284002646</v>
      </c>
      <c r="G193" s="214">
        <f t="shared" si="87"/>
        <v>111.00813284002646</v>
      </c>
      <c r="I193" s="214">
        <v>0</v>
      </c>
      <c r="K193" s="257">
        <f t="shared" si="89"/>
        <v>0</v>
      </c>
      <c r="N193" s="20"/>
      <c r="P193" s="20"/>
      <c r="Q193" s="20"/>
      <c r="R193" s="20"/>
    </row>
    <row r="194" spans="2:19" x14ac:dyDescent="0.2">
      <c r="B194" s="175" t="s">
        <v>427</v>
      </c>
      <c r="C194" s="214">
        <v>0</v>
      </c>
      <c r="E194" s="214">
        <v>4.9847525450981189</v>
      </c>
      <c r="G194" s="214">
        <f t="shared" si="87"/>
        <v>0</v>
      </c>
      <c r="I194" s="214">
        <v>4.9847525450981189</v>
      </c>
      <c r="K194" s="257">
        <f t="shared" si="89"/>
        <v>0</v>
      </c>
      <c r="N194" s="20"/>
      <c r="P194" s="20"/>
      <c r="Q194" s="20"/>
      <c r="R194" s="20"/>
    </row>
    <row r="195" spans="2:19" x14ac:dyDescent="0.2">
      <c r="B195" s="175" t="s">
        <v>426</v>
      </c>
      <c r="C195" s="214">
        <v>0</v>
      </c>
      <c r="E195" s="214">
        <v>774.43493010294708</v>
      </c>
      <c r="G195" s="214">
        <f t="shared" si="87"/>
        <v>0</v>
      </c>
      <c r="I195" s="214">
        <v>774.43493010294708</v>
      </c>
      <c r="K195" s="257">
        <f t="shared" si="89"/>
        <v>0</v>
      </c>
      <c r="N195" s="20"/>
      <c r="P195" s="20"/>
      <c r="Q195" s="20"/>
      <c r="R195" s="20"/>
    </row>
    <row r="196" spans="2:19" x14ac:dyDescent="0.2">
      <c r="B196" s="175" t="s">
        <v>484</v>
      </c>
      <c r="C196" s="214">
        <v>0</v>
      </c>
      <c r="E196" s="214">
        <v>203.27980063725872</v>
      </c>
      <c r="G196" s="214">
        <f t="shared" si="87"/>
        <v>203.27980063725872</v>
      </c>
      <c r="I196" s="214">
        <v>0</v>
      </c>
      <c r="K196" s="257">
        <f t="shared" si="89"/>
        <v>0</v>
      </c>
    </row>
    <row r="197" spans="2:19" ht="16" x14ac:dyDescent="0.2">
      <c r="B197" s="215" t="s">
        <v>422</v>
      </c>
      <c r="C197" s="214">
        <v>0</v>
      </c>
      <c r="E197" s="214">
        <v>46.0998047134687</v>
      </c>
      <c r="G197" s="214">
        <f t="shared" si="87"/>
        <v>46.0998047134687</v>
      </c>
      <c r="I197" s="214">
        <v>0</v>
      </c>
      <c r="K197" s="257">
        <f t="shared" si="89"/>
        <v>0</v>
      </c>
    </row>
    <row r="198" spans="2:19" ht="16" x14ac:dyDescent="0.2">
      <c r="B198" s="215" t="s">
        <v>552</v>
      </c>
      <c r="C198" s="214">
        <v>0</v>
      </c>
      <c r="E198" s="214">
        <v>23.982067525572877</v>
      </c>
      <c r="G198" s="214">
        <f t="shared" ref="G198:G199" si="90">BG110</f>
        <v>0</v>
      </c>
      <c r="I198" s="214">
        <v>23.982067525572877</v>
      </c>
      <c r="K198" s="257">
        <f t="shared" si="89"/>
        <v>0</v>
      </c>
    </row>
    <row r="199" spans="2:19" x14ac:dyDescent="0.2">
      <c r="B199" s="175" t="s">
        <v>421</v>
      </c>
      <c r="C199" s="214">
        <v>0</v>
      </c>
      <c r="E199" s="214">
        <v>25.253201846716312</v>
      </c>
      <c r="G199" s="214">
        <f t="shared" si="90"/>
        <v>0</v>
      </c>
      <c r="I199" s="214">
        <v>25.253201846716312</v>
      </c>
      <c r="K199" s="257">
        <f t="shared" si="89"/>
        <v>0</v>
      </c>
      <c r="L199" s="20"/>
    </row>
    <row r="200" spans="2:19" x14ac:dyDescent="0.2">
      <c r="B200" s="173" t="s">
        <v>423</v>
      </c>
      <c r="C200" s="214">
        <v>0</v>
      </c>
      <c r="E200" s="214">
        <v>3698.8733194995434</v>
      </c>
      <c r="G200" s="214">
        <f t="shared" ref="G200:G206" si="91">BG112</f>
        <v>0</v>
      </c>
      <c r="I200" s="214">
        <v>3698.8733194995434</v>
      </c>
      <c r="K200" s="257">
        <f t="shared" si="89"/>
        <v>0</v>
      </c>
    </row>
    <row r="201" spans="2:19" x14ac:dyDescent="0.2">
      <c r="B201" s="175" t="s">
        <v>515</v>
      </c>
      <c r="C201" s="214">
        <v>0</v>
      </c>
      <c r="E201" s="214">
        <v>46.099804713468714</v>
      </c>
      <c r="G201" s="214">
        <f t="shared" si="91"/>
        <v>46.099804713468714</v>
      </c>
      <c r="I201" s="214">
        <v>0</v>
      </c>
      <c r="K201" s="257">
        <f t="shared" si="89"/>
        <v>0</v>
      </c>
    </row>
    <row r="202" spans="2:19" x14ac:dyDescent="0.2">
      <c r="B202" s="175" t="s">
        <v>517</v>
      </c>
      <c r="C202" s="214">
        <v>0</v>
      </c>
      <c r="E202" s="214">
        <v>46.099804713468714</v>
      </c>
      <c r="G202" s="214">
        <f t="shared" si="91"/>
        <v>32.269863299428096</v>
      </c>
      <c r="I202" s="214">
        <v>13.829941414040613</v>
      </c>
      <c r="K202" s="257">
        <f t="shared" si="89"/>
        <v>0</v>
      </c>
    </row>
    <row r="203" spans="2:19" x14ac:dyDescent="0.2">
      <c r="B203" s="175" t="s">
        <v>445</v>
      </c>
      <c r="C203" s="214">
        <v>0</v>
      </c>
      <c r="E203" s="214">
        <v>1314.2879334772852</v>
      </c>
      <c r="G203" s="214">
        <f t="shared" si="91"/>
        <v>1314.2879334772852</v>
      </c>
      <c r="I203" s="214">
        <v>0</v>
      </c>
      <c r="K203" s="257">
        <f t="shared" si="89"/>
        <v>0</v>
      </c>
      <c r="P203" s="207"/>
      <c r="Q203" s="207"/>
      <c r="R203" s="207"/>
      <c r="S203" s="207"/>
    </row>
    <row r="204" spans="2:19" x14ac:dyDescent="0.2">
      <c r="B204" s="175" t="s">
        <v>446</v>
      </c>
      <c r="C204" s="214">
        <v>0</v>
      </c>
      <c r="E204" s="214">
        <v>616.23583583508366</v>
      </c>
      <c r="G204" s="214">
        <f t="shared" si="91"/>
        <v>0</v>
      </c>
      <c r="I204" s="214">
        <v>616.23583583508366</v>
      </c>
      <c r="K204" s="257">
        <f t="shared" si="89"/>
        <v>0</v>
      </c>
    </row>
    <row r="205" spans="2:19" x14ac:dyDescent="0.2">
      <c r="B205" s="175" t="s">
        <v>447</v>
      </c>
      <c r="C205" s="214">
        <v>0</v>
      </c>
      <c r="E205" s="214">
        <v>3402.2651449800928</v>
      </c>
      <c r="G205" s="214">
        <f t="shared" si="91"/>
        <v>0</v>
      </c>
      <c r="I205" s="214">
        <v>3402.2651449800928</v>
      </c>
      <c r="K205" s="257">
        <f t="shared" si="89"/>
        <v>0</v>
      </c>
    </row>
    <row r="206" spans="2:19" x14ac:dyDescent="0.2">
      <c r="B206" s="175" t="s">
        <v>457</v>
      </c>
      <c r="C206" s="214">
        <v>0</v>
      </c>
      <c r="E206" s="214">
        <v>229.94813284002646</v>
      </c>
      <c r="G206" s="214">
        <f t="shared" si="91"/>
        <v>0</v>
      </c>
      <c r="I206" s="214">
        <v>229.94813284002646</v>
      </c>
      <c r="K206" s="257">
        <f t="shared" si="89"/>
        <v>0</v>
      </c>
    </row>
    <row r="207" spans="2:19" ht="17" x14ac:dyDescent="0.2">
      <c r="B207" s="175"/>
      <c r="C207" s="3" t="s">
        <v>370</v>
      </c>
      <c r="E207" s="3" t="s">
        <v>372</v>
      </c>
      <c r="G207" s="20" t="s">
        <v>369</v>
      </c>
      <c r="I207" s="20" t="s">
        <v>38</v>
      </c>
      <c r="K207" s="20">
        <f>SUM(K171:K206)</f>
        <v>0</v>
      </c>
    </row>
    <row r="208" spans="2:19" x14ac:dyDescent="0.2">
      <c r="B208" s="175"/>
      <c r="G208" s="20"/>
      <c r="I208" s="20"/>
    </row>
    <row r="209" spans="2:15" x14ac:dyDescent="0.2">
      <c r="B209" s="175"/>
    </row>
    <row r="210" spans="2:15" x14ac:dyDescent="0.2">
      <c r="C210" s="427" t="s">
        <v>375</v>
      </c>
      <c r="D210" s="427"/>
      <c r="E210" s="427"/>
      <c r="F210" s="427"/>
      <c r="G210" s="427"/>
      <c r="L210" s="207"/>
      <c r="M210" s="207"/>
    </row>
    <row r="213" spans="2:15" x14ac:dyDescent="0.2">
      <c r="B213" s="173" t="s">
        <v>325</v>
      </c>
      <c r="C213" s="214" cm="1">
        <f t="array" ref="C213:C227">TRANSPOSE((AR120:BF120))</f>
        <v>1043.9873925509492</v>
      </c>
      <c r="E213" s="214">
        <f t="shared" ref="E213:E227" si="92">AM124</f>
        <v>1043.9873925509492</v>
      </c>
      <c r="G213" s="257">
        <f>C213-E213</f>
        <v>0</v>
      </c>
    </row>
    <row r="214" spans="2:15" x14ac:dyDescent="0.2">
      <c r="B214" s="173" t="s">
        <v>326</v>
      </c>
      <c r="C214" s="214">
        <v>208.65218594918355</v>
      </c>
      <c r="E214" s="214">
        <f t="shared" si="92"/>
        <v>208.65218594918355</v>
      </c>
      <c r="G214" s="257">
        <f t="shared" ref="G214:G227" si="93">C214-E214</f>
        <v>0</v>
      </c>
      <c r="N214" s="207"/>
      <c r="O214" s="207"/>
    </row>
    <row r="215" spans="2:15" x14ac:dyDescent="0.2">
      <c r="B215" s="173" t="s">
        <v>327</v>
      </c>
      <c r="C215" s="214">
        <v>306.591996148688</v>
      </c>
      <c r="E215" s="214">
        <f t="shared" si="92"/>
        <v>306.591996148688</v>
      </c>
      <c r="G215" s="257">
        <f t="shared" si="93"/>
        <v>0</v>
      </c>
    </row>
    <row r="216" spans="2:15" x14ac:dyDescent="0.2">
      <c r="B216" s="173" t="s">
        <v>455</v>
      </c>
      <c r="C216" s="214">
        <v>1011.7674660019052</v>
      </c>
      <c r="D216" s="216"/>
      <c r="E216" s="214">
        <f t="shared" si="92"/>
        <v>1011.7674660019052</v>
      </c>
      <c r="F216" s="216"/>
      <c r="G216" s="257">
        <f t="shared" si="93"/>
        <v>0</v>
      </c>
    </row>
    <row r="217" spans="2:15" x14ac:dyDescent="0.2">
      <c r="B217" s="173" t="s">
        <v>435</v>
      </c>
      <c r="C217" s="214">
        <v>208.55560337725498</v>
      </c>
      <c r="E217" s="214">
        <f t="shared" si="92"/>
        <v>208.55560337725498</v>
      </c>
      <c r="G217" s="257">
        <f t="shared" si="93"/>
        <v>0</v>
      </c>
      <c r="H217" s="207"/>
      <c r="I217" s="207"/>
      <c r="J217" s="207"/>
      <c r="K217" s="207"/>
    </row>
    <row r="218" spans="2:15" x14ac:dyDescent="0.2">
      <c r="B218" s="173" t="s">
        <v>434</v>
      </c>
      <c r="C218" s="214">
        <v>298.6148747230165</v>
      </c>
      <c r="E218" s="214">
        <f t="shared" si="92"/>
        <v>298.6148747230165</v>
      </c>
      <c r="G218" s="257">
        <f t="shared" si="93"/>
        <v>0</v>
      </c>
    </row>
    <row r="219" spans="2:15" x14ac:dyDescent="0.2">
      <c r="B219" s="173" t="s">
        <v>351</v>
      </c>
      <c r="C219" s="214">
        <v>1011.7674660019052</v>
      </c>
      <c r="E219" s="214">
        <f t="shared" si="92"/>
        <v>1011.7674660019052</v>
      </c>
      <c r="G219" s="257">
        <f t="shared" si="93"/>
        <v>0</v>
      </c>
    </row>
    <row r="220" spans="2:15" x14ac:dyDescent="0.2">
      <c r="B220" s="173" t="s">
        <v>348</v>
      </c>
      <c r="C220" s="214">
        <v>208.55560337725498</v>
      </c>
      <c r="D220" s="142" t="s">
        <v>378</v>
      </c>
      <c r="E220" s="214">
        <f t="shared" si="92"/>
        <v>208.55560337725498</v>
      </c>
      <c r="F220" s="142" t="s">
        <v>374</v>
      </c>
      <c r="G220" s="257">
        <f t="shared" si="93"/>
        <v>0</v>
      </c>
    </row>
    <row r="221" spans="2:15" x14ac:dyDescent="0.2">
      <c r="B221" s="173" t="s">
        <v>362</v>
      </c>
      <c r="C221" s="214">
        <v>298.6148747230165</v>
      </c>
      <c r="E221" s="214">
        <f t="shared" si="92"/>
        <v>298.6148747230165</v>
      </c>
      <c r="G221" s="257">
        <f t="shared" si="93"/>
        <v>0</v>
      </c>
    </row>
    <row r="222" spans="2:15" x14ac:dyDescent="0.2">
      <c r="B222" s="173" t="s">
        <v>349</v>
      </c>
      <c r="C222" s="214">
        <v>890.42781548807159</v>
      </c>
      <c r="E222" s="214">
        <f t="shared" si="92"/>
        <v>890.4278154880717</v>
      </c>
      <c r="G222" s="257">
        <f t="shared" si="93"/>
        <v>0</v>
      </c>
    </row>
    <row r="223" spans="2:15" x14ac:dyDescent="0.2">
      <c r="B223" s="173" t="s">
        <v>344</v>
      </c>
      <c r="C223" s="214">
        <v>3997.4881942225597</v>
      </c>
      <c r="E223" s="214">
        <f t="shared" si="92"/>
        <v>3997.4881942225602</v>
      </c>
      <c r="G223" s="257">
        <f t="shared" si="93"/>
        <v>0</v>
      </c>
    </row>
    <row r="224" spans="2:15" x14ac:dyDescent="0.2">
      <c r="B224" s="173" t="s">
        <v>514</v>
      </c>
      <c r="C224" s="214">
        <v>46.0998047134687</v>
      </c>
      <c r="E224" s="214">
        <f t="shared" si="92"/>
        <v>46.099804713468714</v>
      </c>
      <c r="G224" s="257">
        <f t="shared" si="93"/>
        <v>0</v>
      </c>
    </row>
    <row r="225" spans="2:11" x14ac:dyDescent="0.2">
      <c r="B225" s="173" t="s">
        <v>516</v>
      </c>
      <c r="C225" s="214">
        <v>46.099804713468714</v>
      </c>
      <c r="E225" s="214">
        <f t="shared" si="92"/>
        <v>46.099804713468714</v>
      </c>
      <c r="G225" s="257">
        <f t="shared" si="93"/>
        <v>0</v>
      </c>
    </row>
    <row r="226" spans="2:11" x14ac:dyDescent="0.2">
      <c r="B226" s="173" t="s">
        <v>76</v>
      </c>
      <c r="C226" s="214">
        <v>1314.2879334772852</v>
      </c>
      <c r="E226" s="214">
        <f t="shared" si="92"/>
        <v>1314.2879334772852</v>
      </c>
      <c r="G226" s="257">
        <f t="shared" si="93"/>
        <v>0</v>
      </c>
    </row>
    <row r="227" spans="2:11" x14ac:dyDescent="0.2">
      <c r="B227" s="173" t="s">
        <v>337</v>
      </c>
      <c r="C227" s="214">
        <v>4248.4491136552024</v>
      </c>
      <c r="D227" s="142"/>
      <c r="E227" s="214">
        <f t="shared" si="92"/>
        <v>4248.4491136552024</v>
      </c>
      <c r="G227" s="257">
        <f t="shared" si="93"/>
        <v>0</v>
      </c>
    </row>
    <row r="228" spans="2:11" x14ac:dyDescent="0.2">
      <c r="B228" s="175"/>
      <c r="C228" s="142" t="s">
        <v>368</v>
      </c>
      <c r="D228" s="142"/>
      <c r="E228" s="142" t="s">
        <v>365</v>
      </c>
      <c r="F228" s="142"/>
      <c r="G228" s="142">
        <v>0</v>
      </c>
    </row>
    <row r="229" spans="2:11" x14ac:dyDescent="0.2">
      <c r="B229" s="175"/>
    </row>
    <row r="230" spans="2:11" x14ac:dyDescent="0.2">
      <c r="B230" s="175"/>
    </row>
    <row r="235" spans="2:11" x14ac:dyDescent="0.2">
      <c r="H235" s="142"/>
      <c r="I235" s="142"/>
      <c r="J235" s="142"/>
      <c r="K235" s="14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5" zoomScale="114" workbookViewId="0">
      <selection activeCell="BA101" sqref="BA10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176" t="s">
        <v>566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514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514</v>
      </c>
      <c r="BX1" s="176" t="s">
        <v>516</v>
      </c>
      <c r="BY1" s="176" t="s">
        <v>76</v>
      </c>
      <c r="BZ1" s="176" t="s">
        <v>337</v>
      </c>
    </row>
    <row r="2" spans="2:78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</row>
    <row r="3" spans="2:78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</row>
    <row r="4" spans="2:78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</row>
    <row r="5" spans="2:78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</row>
    <row r="6" spans="2:78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</row>
    <row r="7" spans="2:78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</row>
    <row r="8" spans="2:78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</row>
    <row r="9" spans="2:78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</row>
    <row r="10" spans="2:78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</row>
    <row r="11" spans="2:78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</row>
    <row r="12" spans="2:78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</row>
    <row r="13" spans="2:78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</row>
    <row r="14" spans="2:78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</row>
    <row r="15" spans="2:78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</row>
    <row r="16" spans="2:78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</row>
    <row r="17" spans="2:78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</row>
    <row r="18" spans="2:78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</row>
    <row r="19" spans="2:78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</row>
    <row r="20" spans="2:78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</row>
    <row r="21" spans="2:78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</row>
    <row r="22" spans="2:78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</row>
    <row r="23" spans="2:78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</row>
    <row r="24" spans="2:78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</row>
    <row r="25" spans="2:78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</row>
    <row r="26" spans="2:78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</row>
    <row r="27" spans="2:78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</row>
    <row r="28" spans="2:78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</row>
    <row r="29" spans="2:78" ht="16" x14ac:dyDescent="0.2">
      <c r="B29" s="215" t="s">
        <v>552</v>
      </c>
      <c r="C29" s="246">
        <v>1</v>
      </c>
      <c r="AQ29" s="215" t="s">
        <v>552</v>
      </c>
      <c r="AR29" s="246">
        <v>0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K29" s="215" t="s">
        <v>552</v>
      </c>
      <c r="BL29" s="246">
        <v>0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</row>
    <row r="30" spans="2:78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</row>
    <row r="31" spans="2:78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</row>
    <row r="32" spans="2:78" x14ac:dyDescent="0.2">
      <c r="B32" s="175" t="s">
        <v>515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</row>
    <row r="33" spans="2:78" x14ac:dyDescent="0.2">
      <c r="B33" s="175" t="s">
        <v>517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</row>
    <row r="34" spans="2:78" x14ac:dyDescent="0.2">
      <c r="B34" s="175" t="s">
        <v>445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</row>
    <row r="35" spans="2:78" x14ac:dyDescent="0.2">
      <c r="B35" s="175" t="s">
        <v>446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</row>
    <row r="36" spans="2:78" x14ac:dyDescent="0.2">
      <c r="B36" s="175" t="s">
        <v>447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</row>
    <row r="37" spans="2:78" x14ac:dyDescent="0.2">
      <c r="B37" s="175" t="s">
        <v>457</v>
      </c>
      <c r="C37" s="246">
        <v>1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</row>
    <row r="38" spans="2:78" x14ac:dyDescent="0.2">
      <c r="C38" s="142" t="s">
        <v>473</v>
      </c>
      <c r="AQ38" s="175"/>
      <c r="AR38" s="427" t="s">
        <v>470</v>
      </c>
      <c r="AS38" s="427"/>
      <c r="AT38" s="427"/>
      <c r="AU38" s="427"/>
      <c r="AV38" s="427"/>
      <c r="AW38" s="427"/>
      <c r="AX38" s="427"/>
      <c r="AY38" s="427"/>
      <c r="AZ38" s="427"/>
      <c r="BA38" s="427"/>
      <c r="BB38" s="427"/>
      <c r="BC38" s="427"/>
      <c r="BD38" s="427"/>
      <c r="BE38" s="427"/>
      <c r="BF38" s="427"/>
      <c r="BK38" s="175"/>
      <c r="BL38" s="427" t="s">
        <v>471</v>
      </c>
      <c r="BM38" s="427"/>
      <c r="BN38" s="427"/>
      <c r="BO38" s="427"/>
      <c r="BP38" s="427"/>
      <c r="BQ38" s="427"/>
      <c r="BR38" s="427"/>
      <c r="BS38" s="427"/>
      <c r="BT38" s="427"/>
      <c r="BU38" s="427"/>
      <c r="BV38" s="427"/>
      <c r="BW38" s="427"/>
      <c r="BX38" s="427"/>
      <c r="BY38" s="427"/>
      <c r="BZ38" s="427"/>
    </row>
    <row r="39" spans="2:78" x14ac:dyDescent="0.2">
      <c r="AQ39" s="175"/>
      <c r="BK39" s="175"/>
    </row>
    <row r="40" spans="2:78" x14ac:dyDescent="0.2">
      <c r="AQ40" s="175"/>
    </row>
    <row r="41" spans="2:78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8" x14ac:dyDescent="0.2">
      <c r="AQ42" s="173" t="s">
        <v>333</v>
      </c>
      <c r="AR42" s="246">
        <f>AR83</f>
        <v>-841.69623437072971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8" x14ac:dyDescent="0.2">
      <c r="AQ43" s="173" t="s">
        <v>335</v>
      </c>
      <c r="AR43" s="246">
        <f t="shared" ref="AR43:BF68" si="1">AR84</f>
        <v>0</v>
      </c>
      <c r="AS43" s="246">
        <f t="shared" si="1"/>
        <v>-1202.01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1"/>
        <v>0</v>
      </c>
      <c r="BA43" s="246">
        <f t="shared" si="1"/>
        <v>0</v>
      </c>
      <c r="BB43" s="246">
        <f t="shared" si="1"/>
        <v>0</v>
      </c>
      <c r="BC43" s="246">
        <f t="shared" si="1"/>
        <v>0</v>
      </c>
      <c r="BD43" s="246">
        <f t="shared" si="1"/>
        <v>0</v>
      </c>
      <c r="BE43" s="246">
        <f t="shared" si="1"/>
        <v>0</v>
      </c>
      <c r="BF43" s="246">
        <f t="shared" si="1"/>
        <v>0</v>
      </c>
    </row>
    <row r="44" spans="2:78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23054812.906863328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1"/>
        <v>0</v>
      </c>
      <c r="BB44" s="246">
        <f t="shared" si="1"/>
        <v>0</v>
      </c>
      <c r="BC44" s="246">
        <f t="shared" si="1"/>
        <v>0</v>
      </c>
      <c r="BD44" s="246">
        <f t="shared" si="1"/>
        <v>0</v>
      </c>
      <c r="BE44" s="246">
        <f t="shared" si="1"/>
        <v>0</v>
      </c>
      <c r="BF44" s="246">
        <f t="shared" si="1"/>
        <v>0</v>
      </c>
    </row>
    <row r="45" spans="2:78" x14ac:dyDescent="0.2">
      <c r="AQ45" s="173" t="s">
        <v>355</v>
      </c>
      <c r="AR45" s="246">
        <f t="shared" si="1"/>
        <v>0</v>
      </c>
      <c r="AS45" s="246">
        <f t="shared" si="1"/>
        <v>0</v>
      </c>
      <c r="AT45" s="246">
        <f t="shared" si="1"/>
        <v>0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1"/>
        <v>0</v>
      </c>
      <c r="BB45" s="246">
        <f t="shared" si="1"/>
        <v>0</v>
      </c>
      <c r="BC45" s="246">
        <f t="shared" si="1"/>
        <v>0</v>
      </c>
      <c r="BD45" s="246">
        <f t="shared" si="1"/>
        <v>0</v>
      </c>
      <c r="BE45" s="246">
        <f t="shared" si="1"/>
        <v>0</v>
      </c>
      <c r="BF45" s="246">
        <f t="shared" si="1"/>
        <v>0</v>
      </c>
    </row>
    <row r="46" spans="2:78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1"/>
        <v>-74.599999999999994</v>
      </c>
      <c r="BB46" s="246">
        <f t="shared" si="1"/>
        <v>-74.599999999999994</v>
      </c>
      <c r="BC46" s="246">
        <f t="shared" si="1"/>
        <v>0</v>
      </c>
      <c r="BD46" s="246">
        <f t="shared" si="1"/>
        <v>0</v>
      </c>
      <c r="BE46" s="246">
        <f t="shared" si="1"/>
        <v>0</v>
      </c>
      <c r="BF46" s="246">
        <f t="shared" si="1"/>
        <v>-74.599999999999994</v>
      </c>
    </row>
    <row r="47" spans="2:78" x14ac:dyDescent="0.2">
      <c r="AQ47" s="173" t="s">
        <v>466</v>
      </c>
      <c r="AR47" s="246">
        <f t="shared" si="1"/>
        <v>7127.6028120000001</v>
      </c>
      <c r="AS47" s="246">
        <f t="shared" si="1"/>
        <v>7127.6028120000001</v>
      </c>
      <c r="AT47" s="246">
        <f t="shared" si="1"/>
        <v>7127.6028120000001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1"/>
        <v>0</v>
      </c>
      <c r="BB47" s="246">
        <f t="shared" si="1"/>
        <v>0</v>
      </c>
      <c r="BC47" s="246">
        <f t="shared" si="1"/>
        <v>0</v>
      </c>
      <c r="BD47" s="246">
        <f t="shared" si="1"/>
        <v>0</v>
      </c>
      <c r="BE47" s="246">
        <f t="shared" si="1"/>
        <v>0</v>
      </c>
      <c r="BF47" s="246">
        <f t="shared" si="1"/>
        <v>0</v>
      </c>
    </row>
    <row r="48" spans="2:78" x14ac:dyDescent="0.2">
      <c r="AQ48" s="173" t="s">
        <v>467</v>
      </c>
      <c r="AR48" s="246">
        <f t="shared" si="1"/>
        <v>0</v>
      </c>
      <c r="AS48" s="246">
        <f t="shared" si="1"/>
        <v>-250.1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1"/>
        <v>0</v>
      </c>
      <c r="BB48" s="246">
        <f t="shared" si="1"/>
        <v>0</v>
      </c>
      <c r="BC48" s="246">
        <f t="shared" si="1"/>
        <v>0</v>
      </c>
      <c r="BD48" s="246">
        <f t="shared" si="1"/>
        <v>0</v>
      </c>
      <c r="BE48" s="246">
        <f t="shared" si="1"/>
        <v>0</v>
      </c>
      <c r="BF48" s="246">
        <f t="shared" si="1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1"/>
        <v>0</v>
      </c>
      <c r="BB49" s="246">
        <f t="shared" si="1"/>
        <v>0</v>
      </c>
      <c r="BC49" s="246">
        <f t="shared" si="1"/>
        <v>0</v>
      </c>
      <c r="BD49" s="246">
        <f t="shared" si="1"/>
        <v>0</v>
      </c>
      <c r="BE49" s="246">
        <f t="shared" si="1"/>
        <v>0</v>
      </c>
      <c r="BF49" s="246">
        <f t="shared" si="1"/>
        <v>5540.6175999999996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1"/>
        <v>0</v>
      </c>
      <c r="BB50" s="246">
        <f t="shared" si="1"/>
        <v>0</v>
      </c>
      <c r="BC50" s="246">
        <f t="shared" si="1"/>
        <v>0</v>
      </c>
      <c r="BD50" s="246">
        <f t="shared" si="1"/>
        <v>0</v>
      </c>
      <c r="BE50" s="246">
        <f t="shared" si="1"/>
        <v>0</v>
      </c>
      <c r="BF50" s="246">
        <f t="shared" si="1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-841.69623437072971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1"/>
        <v>0</v>
      </c>
      <c r="BB51" s="246">
        <f t="shared" si="1"/>
        <v>0</v>
      </c>
      <c r="BC51" s="246">
        <f t="shared" si="1"/>
        <v>0</v>
      </c>
      <c r="BD51" s="246">
        <f t="shared" si="1"/>
        <v>0</v>
      </c>
      <c r="BE51" s="246">
        <f t="shared" si="1"/>
        <v>0</v>
      </c>
      <c r="BF51" s="246">
        <f t="shared" si="1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1"/>
        <v>0</v>
      </c>
      <c r="BB52" s="246">
        <f t="shared" si="1"/>
        <v>0</v>
      </c>
      <c r="BC52" s="246">
        <f t="shared" si="1"/>
        <v>0</v>
      </c>
      <c r="BD52" s="246">
        <f t="shared" si="1"/>
        <v>0</v>
      </c>
      <c r="BE52" s="246">
        <f t="shared" si="1"/>
        <v>0</v>
      </c>
      <c r="BF52" s="246">
        <f t="shared" si="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-1202.01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1"/>
        <v>0</v>
      </c>
      <c r="BB53" s="246">
        <f t="shared" si="1"/>
        <v>0</v>
      </c>
      <c r="BC53" s="246">
        <f t="shared" si="1"/>
        <v>0</v>
      </c>
      <c r="BD53" s="246">
        <f t="shared" si="1"/>
        <v>0</v>
      </c>
      <c r="BE53" s="246">
        <f t="shared" si="1"/>
        <v>0</v>
      </c>
      <c r="BF53" s="246">
        <f t="shared" si="1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1"/>
        <v>0</v>
      </c>
      <c r="BB54" s="246">
        <f t="shared" si="1"/>
        <v>0</v>
      </c>
      <c r="BC54" s="246">
        <f t="shared" si="1"/>
        <v>0</v>
      </c>
      <c r="BD54" s="246">
        <f t="shared" si="1"/>
        <v>0</v>
      </c>
      <c r="BE54" s="246">
        <f t="shared" si="1"/>
        <v>0</v>
      </c>
      <c r="BF54" s="246">
        <f t="shared" si="1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23054812.906863328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1"/>
        <v>0</v>
      </c>
      <c r="BB55" s="246">
        <f t="shared" si="1"/>
        <v>0</v>
      </c>
      <c r="BC55" s="246">
        <f t="shared" si="1"/>
        <v>0</v>
      </c>
      <c r="BD55" s="246">
        <f t="shared" si="1"/>
        <v>0</v>
      </c>
      <c r="BE55" s="246">
        <f t="shared" si="1"/>
        <v>0</v>
      </c>
      <c r="BF55" s="246">
        <f t="shared" si="1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1"/>
        <v>0</v>
      </c>
      <c r="BA56" s="246">
        <f t="shared" si="1"/>
        <v>0</v>
      </c>
      <c r="BB56" s="246">
        <f t="shared" si="1"/>
        <v>0</v>
      </c>
      <c r="BC56" s="246">
        <f t="shared" si="1"/>
        <v>0</v>
      </c>
      <c r="BD56" s="246">
        <f t="shared" si="1"/>
        <v>0</v>
      </c>
      <c r="BE56" s="246">
        <f t="shared" si="1"/>
        <v>0</v>
      </c>
      <c r="BF56" s="246">
        <f t="shared" si="1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-841.69623437072971</v>
      </c>
      <c r="AY57" s="246">
        <f t="shared" si="1"/>
        <v>0</v>
      </c>
      <c r="AZ57" s="246">
        <f t="shared" si="1"/>
        <v>0</v>
      </c>
      <c r="BA57" s="246">
        <f t="shared" si="1"/>
        <v>0</v>
      </c>
      <c r="BB57" s="246">
        <f t="shared" si="1"/>
        <v>0</v>
      </c>
      <c r="BC57" s="246">
        <f t="shared" si="1"/>
        <v>0</v>
      </c>
      <c r="BD57" s="246">
        <f t="shared" si="1"/>
        <v>0</v>
      </c>
      <c r="BE57" s="246">
        <f t="shared" si="1"/>
        <v>0</v>
      </c>
      <c r="BF57" s="246">
        <f t="shared" si="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-1202.01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ref="AS58:BF67" si="2">BD99</f>
        <v>0</v>
      </c>
      <c r="BE58" s="246">
        <f t="shared" si="2"/>
        <v>0</v>
      </c>
      <c r="BF58" s="246">
        <f t="shared" si="2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23054812.906863328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-834.48831000000007</v>
      </c>
      <c r="BF60" s="246">
        <f t="shared" si="2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-1202.01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23054812.906863328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-634.9</v>
      </c>
      <c r="BF64" s="246">
        <f t="shared" si="2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6546468.5968566798</v>
      </c>
      <c r="BF67" s="246">
        <f t="shared" si="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ref="AS68:BF68" si="3">AS109</f>
        <v>0</v>
      </c>
      <c r="AT68" s="246">
        <f t="shared" si="3"/>
        <v>0</v>
      </c>
      <c r="AU68" s="246">
        <f t="shared" si="3"/>
        <v>0</v>
      </c>
      <c r="AV68" s="246">
        <f t="shared" si="3"/>
        <v>0</v>
      </c>
      <c r="AW68" s="246">
        <f t="shared" si="3"/>
        <v>0</v>
      </c>
      <c r="AX68" s="246">
        <f t="shared" si="3"/>
        <v>0</v>
      </c>
      <c r="AY68" s="246">
        <f t="shared" si="3"/>
        <v>0</v>
      </c>
      <c r="AZ68" s="246">
        <f t="shared" si="3"/>
        <v>0</v>
      </c>
      <c r="BA68" s="246">
        <f t="shared" si="3"/>
        <v>0</v>
      </c>
      <c r="BB68" s="246">
        <f t="shared" si="3"/>
        <v>0</v>
      </c>
      <c r="BC68" s="246">
        <f t="shared" si="3"/>
        <v>-37.006500000000003</v>
      </c>
      <c r="BD68" s="246">
        <f t="shared" si="3"/>
        <v>0</v>
      </c>
      <c r="BE68" s="246">
        <f t="shared" si="3"/>
        <v>0</v>
      </c>
      <c r="BF68" s="246">
        <f t="shared" si="3"/>
        <v>0</v>
      </c>
    </row>
    <row r="69" spans="43:58" ht="16" x14ac:dyDescent="0.2">
      <c r="AQ69" s="215" t="s">
        <v>552</v>
      </c>
      <c r="AR69" s="246">
        <f t="shared" ref="AR69:BF69" si="4">AR110</f>
        <v>0</v>
      </c>
      <c r="AS69" s="246">
        <f t="shared" si="4"/>
        <v>0</v>
      </c>
      <c r="AT69" s="246">
        <f t="shared" si="4"/>
        <v>0</v>
      </c>
      <c r="AU69" s="246">
        <f t="shared" si="4"/>
        <v>0</v>
      </c>
      <c r="AV69" s="246">
        <f t="shared" si="4"/>
        <v>0</v>
      </c>
      <c r="AW69" s="246">
        <f t="shared" si="4"/>
        <v>0</v>
      </c>
      <c r="AX69" s="246">
        <f t="shared" si="4"/>
        <v>0</v>
      </c>
      <c r="AY69" s="246">
        <f t="shared" si="4"/>
        <v>0</v>
      </c>
      <c r="AZ69" s="246">
        <f t="shared" si="4"/>
        <v>0</v>
      </c>
      <c r="BA69" s="246">
        <f t="shared" si="4"/>
        <v>0</v>
      </c>
      <c r="BB69" s="246">
        <f t="shared" si="4"/>
        <v>0</v>
      </c>
      <c r="BC69" s="246">
        <f t="shared" si="4"/>
        <v>0</v>
      </c>
      <c r="BD69" s="246">
        <f t="shared" si="4"/>
        <v>0</v>
      </c>
      <c r="BE69" s="246">
        <f t="shared" si="4"/>
        <v>0</v>
      </c>
      <c r="BF69" s="246">
        <f t="shared" si="4"/>
        <v>0</v>
      </c>
    </row>
    <row r="70" spans="43:58" x14ac:dyDescent="0.2">
      <c r="AQ70" s="175" t="s">
        <v>421</v>
      </c>
      <c r="AR70" s="246">
        <f t="shared" ref="AR70:BF70" si="5">AR111</f>
        <v>0</v>
      </c>
      <c r="AS70" s="246">
        <f t="shared" si="5"/>
        <v>0</v>
      </c>
      <c r="AT70" s="246">
        <f t="shared" si="5"/>
        <v>0</v>
      </c>
      <c r="AU70" s="246">
        <f t="shared" si="5"/>
        <v>0</v>
      </c>
      <c r="AV70" s="246">
        <f t="shared" si="5"/>
        <v>0</v>
      </c>
      <c r="AW70" s="246">
        <f t="shared" si="5"/>
        <v>0</v>
      </c>
      <c r="AX70" s="246">
        <f t="shared" si="5"/>
        <v>0</v>
      </c>
      <c r="AY70" s="246">
        <f t="shared" si="5"/>
        <v>0</v>
      </c>
      <c r="AZ70" s="246">
        <f t="shared" si="5"/>
        <v>0</v>
      </c>
      <c r="BA70" s="246">
        <f t="shared" si="5"/>
        <v>0</v>
      </c>
      <c r="BB70" s="246">
        <f t="shared" si="5"/>
        <v>0</v>
      </c>
      <c r="BC70" s="246">
        <f t="shared" si="5"/>
        <v>0</v>
      </c>
      <c r="BD70" s="246">
        <f t="shared" si="5"/>
        <v>0</v>
      </c>
      <c r="BE70" s="246">
        <f t="shared" si="5"/>
        <v>0</v>
      </c>
      <c r="BF70" s="246">
        <f t="shared" si="5"/>
        <v>0</v>
      </c>
    </row>
    <row r="71" spans="43:58" x14ac:dyDescent="0.2">
      <c r="AQ71" s="173" t="s">
        <v>423</v>
      </c>
      <c r="AR71" s="246">
        <f t="shared" ref="AR71:BF71" si="6">AR112</f>
        <v>0</v>
      </c>
      <c r="AS71" s="246">
        <f t="shared" si="6"/>
        <v>0</v>
      </c>
      <c r="AT71" s="246">
        <f t="shared" si="6"/>
        <v>0</v>
      </c>
      <c r="AU71" s="246">
        <f t="shared" si="6"/>
        <v>0</v>
      </c>
      <c r="AV71" s="246">
        <f t="shared" si="6"/>
        <v>0</v>
      </c>
      <c r="AW71" s="246">
        <f t="shared" si="6"/>
        <v>0</v>
      </c>
      <c r="AX71" s="246">
        <f t="shared" si="6"/>
        <v>0</v>
      </c>
      <c r="AY71" s="246">
        <f t="shared" si="6"/>
        <v>0</v>
      </c>
      <c r="AZ71" s="246">
        <f t="shared" si="6"/>
        <v>0</v>
      </c>
      <c r="BA71" s="246">
        <f t="shared" si="6"/>
        <v>0</v>
      </c>
      <c r="BB71" s="246">
        <f t="shared" si="6"/>
        <v>0</v>
      </c>
      <c r="BC71" s="246">
        <f t="shared" si="6"/>
        <v>0</v>
      </c>
      <c r="BD71" s="246">
        <f t="shared" si="6"/>
        <v>0</v>
      </c>
      <c r="BE71" s="246">
        <f t="shared" si="6"/>
        <v>0</v>
      </c>
      <c r="BF71" s="246">
        <f t="shared" si="6"/>
        <v>0</v>
      </c>
    </row>
    <row r="72" spans="43:58" x14ac:dyDescent="0.2">
      <c r="AQ72" s="175" t="s">
        <v>515</v>
      </c>
      <c r="AR72" s="246">
        <f t="shared" ref="AR72:BF72" si="7">AR113</f>
        <v>0</v>
      </c>
      <c r="AS72" s="246">
        <f t="shared" si="7"/>
        <v>0</v>
      </c>
      <c r="AT72" s="246">
        <f t="shared" si="7"/>
        <v>0</v>
      </c>
      <c r="AU72" s="246">
        <f t="shared" si="7"/>
        <v>0</v>
      </c>
      <c r="AV72" s="246">
        <f t="shared" si="7"/>
        <v>0</v>
      </c>
      <c r="AW72" s="246">
        <f t="shared" si="7"/>
        <v>0</v>
      </c>
      <c r="AX72" s="246">
        <f t="shared" si="7"/>
        <v>0</v>
      </c>
      <c r="AY72" s="246">
        <f t="shared" si="7"/>
        <v>0</v>
      </c>
      <c r="AZ72" s="246">
        <f t="shared" si="7"/>
        <v>0</v>
      </c>
      <c r="BA72" s="246">
        <f t="shared" si="7"/>
        <v>0</v>
      </c>
      <c r="BB72" s="246">
        <f t="shared" si="7"/>
        <v>0</v>
      </c>
      <c r="BC72" s="246">
        <f t="shared" si="7"/>
        <v>0</v>
      </c>
      <c r="BD72" s="246">
        <f t="shared" si="7"/>
        <v>-23.917987170512152</v>
      </c>
      <c r="BE72" s="246">
        <f t="shared" si="7"/>
        <v>0</v>
      </c>
      <c r="BF72" s="246">
        <f t="shared" si="7"/>
        <v>0</v>
      </c>
    </row>
    <row r="73" spans="43:58" x14ac:dyDescent="0.2">
      <c r="AQ73" s="175" t="s">
        <v>517</v>
      </c>
      <c r="AR73" s="246">
        <f t="shared" ref="AR73:BF73" si="8">AR114</f>
        <v>0</v>
      </c>
      <c r="AS73" s="246">
        <f t="shared" si="8"/>
        <v>0</v>
      </c>
      <c r="AT73" s="246">
        <f t="shared" si="8"/>
        <v>0</v>
      </c>
      <c r="AU73" s="246">
        <f t="shared" si="8"/>
        <v>0</v>
      </c>
      <c r="AV73" s="246">
        <f t="shared" si="8"/>
        <v>0</v>
      </c>
      <c r="AW73" s="246">
        <f t="shared" si="8"/>
        <v>0</v>
      </c>
      <c r="AX73" s="246">
        <f t="shared" si="8"/>
        <v>0</v>
      </c>
      <c r="AY73" s="246">
        <f t="shared" si="8"/>
        <v>0</v>
      </c>
      <c r="AZ73" s="246">
        <f t="shared" si="8"/>
        <v>0</v>
      </c>
      <c r="BA73" s="246">
        <f t="shared" si="8"/>
        <v>0</v>
      </c>
      <c r="BB73" s="246">
        <f t="shared" si="8"/>
        <v>0</v>
      </c>
      <c r="BC73" s="246">
        <f t="shared" si="8"/>
        <v>0</v>
      </c>
      <c r="BD73" s="246">
        <f t="shared" si="8"/>
        <v>0</v>
      </c>
      <c r="BE73" s="246">
        <f t="shared" si="8"/>
        <v>0</v>
      </c>
      <c r="BF73" s="246">
        <f t="shared" si="8"/>
        <v>-23.917987170512156</v>
      </c>
    </row>
    <row r="74" spans="43:58" x14ac:dyDescent="0.2">
      <c r="AQ74" s="175" t="s">
        <v>445</v>
      </c>
      <c r="AR74" s="246">
        <f t="shared" ref="AR74:BF74" si="9">AR115</f>
        <v>0</v>
      </c>
      <c r="AS74" s="246">
        <f t="shared" si="9"/>
        <v>0</v>
      </c>
      <c r="AT74" s="246">
        <f t="shared" si="9"/>
        <v>0</v>
      </c>
      <c r="AU74" s="246">
        <f t="shared" si="9"/>
        <v>0</v>
      </c>
      <c r="AV74" s="246">
        <f t="shared" si="9"/>
        <v>0</v>
      </c>
      <c r="AW74" s="246">
        <f t="shared" si="9"/>
        <v>0</v>
      </c>
      <c r="AX74" s="246">
        <f t="shared" si="9"/>
        <v>0</v>
      </c>
      <c r="AY74" s="246">
        <f t="shared" si="9"/>
        <v>0</v>
      </c>
      <c r="AZ74" s="246">
        <f t="shared" si="9"/>
        <v>0</v>
      </c>
      <c r="BA74" s="246">
        <f t="shared" si="9"/>
        <v>0</v>
      </c>
      <c r="BB74" s="246">
        <f t="shared" si="9"/>
        <v>0</v>
      </c>
      <c r="BC74" s="246">
        <f t="shared" si="9"/>
        <v>0</v>
      </c>
      <c r="BD74" s="246">
        <f t="shared" si="9"/>
        <v>0</v>
      </c>
      <c r="BE74" s="246">
        <f t="shared" si="9"/>
        <v>0</v>
      </c>
      <c r="BF74" s="246">
        <f t="shared" si="9"/>
        <v>3963.8871338071585</v>
      </c>
    </row>
    <row r="75" spans="43:58" x14ac:dyDescent="0.2">
      <c r="AQ75" s="175" t="s">
        <v>446</v>
      </c>
      <c r="AR75" s="246">
        <f>AR116</f>
        <v>0</v>
      </c>
      <c r="AS75" s="246">
        <f t="shared" ref="AS75:BF77" si="10">AS116</f>
        <v>0</v>
      </c>
      <c r="AT75" s="246">
        <f t="shared" si="10"/>
        <v>0</v>
      </c>
      <c r="AU75" s="246">
        <f t="shared" si="10"/>
        <v>0</v>
      </c>
      <c r="AV75" s="246">
        <f t="shared" si="10"/>
        <v>0</v>
      </c>
      <c r="AW75" s="246">
        <f t="shared" si="10"/>
        <v>0</v>
      </c>
      <c r="AX75" s="246">
        <f t="shared" si="10"/>
        <v>0</v>
      </c>
      <c r="AY75" s="246">
        <f t="shared" si="10"/>
        <v>0</v>
      </c>
      <c r="AZ75" s="246">
        <f t="shared" si="10"/>
        <v>0</v>
      </c>
      <c r="BA75" s="246">
        <f t="shared" si="10"/>
        <v>0</v>
      </c>
      <c r="BB75" s="246">
        <f t="shared" si="10"/>
        <v>0</v>
      </c>
      <c r="BC75" s="246">
        <f t="shared" si="10"/>
        <v>0</v>
      </c>
      <c r="BD75" s="246">
        <f t="shared" si="10"/>
        <v>0</v>
      </c>
      <c r="BE75" s="246">
        <f t="shared" si="10"/>
        <v>0</v>
      </c>
      <c r="BF75" s="246">
        <f t="shared" si="10"/>
        <v>0</v>
      </c>
    </row>
    <row r="76" spans="43:58" x14ac:dyDescent="0.2">
      <c r="AQ76" s="175" t="s">
        <v>447</v>
      </c>
      <c r="AR76" s="246">
        <f>AR117</f>
        <v>0</v>
      </c>
      <c r="AS76" s="246">
        <f t="shared" si="10"/>
        <v>0</v>
      </c>
      <c r="AT76" s="246">
        <f t="shared" si="10"/>
        <v>0</v>
      </c>
      <c r="AU76" s="246">
        <f t="shared" si="10"/>
        <v>0</v>
      </c>
      <c r="AV76" s="246">
        <f t="shared" si="10"/>
        <v>0</v>
      </c>
      <c r="AW76" s="246">
        <f t="shared" si="10"/>
        <v>0</v>
      </c>
      <c r="AX76" s="246">
        <f t="shared" si="10"/>
        <v>0</v>
      </c>
      <c r="AY76" s="246">
        <f t="shared" si="10"/>
        <v>0</v>
      </c>
      <c r="AZ76" s="246">
        <f t="shared" si="10"/>
        <v>0</v>
      </c>
      <c r="BA76" s="246">
        <f t="shared" si="10"/>
        <v>0</v>
      </c>
      <c r="BB76" s="246">
        <f t="shared" si="10"/>
        <v>0</v>
      </c>
      <c r="BC76" s="246">
        <f t="shared" si="10"/>
        <v>0</v>
      </c>
      <c r="BD76" s="246">
        <f t="shared" si="10"/>
        <v>0</v>
      </c>
      <c r="BE76" s="246">
        <f t="shared" si="10"/>
        <v>0</v>
      </c>
      <c r="BF76" s="246">
        <f t="shared" si="10"/>
        <v>0</v>
      </c>
    </row>
    <row r="77" spans="43:58" x14ac:dyDescent="0.2">
      <c r="AQ77" s="175" t="s">
        <v>457</v>
      </c>
      <c r="AR77" s="246">
        <f>AR118</f>
        <v>0</v>
      </c>
      <c r="AS77" s="246">
        <f t="shared" si="10"/>
        <v>0</v>
      </c>
      <c r="AT77" s="246">
        <f t="shared" si="10"/>
        <v>0</v>
      </c>
      <c r="AU77" s="246">
        <f t="shared" si="10"/>
        <v>0</v>
      </c>
      <c r="AV77" s="246">
        <f t="shared" si="10"/>
        <v>0</v>
      </c>
      <c r="AW77" s="246">
        <f t="shared" si="10"/>
        <v>0</v>
      </c>
      <c r="AX77" s="246">
        <f t="shared" si="10"/>
        <v>0</v>
      </c>
      <c r="AY77" s="246">
        <f t="shared" si="10"/>
        <v>0</v>
      </c>
      <c r="AZ77" s="246">
        <f t="shared" si="10"/>
        <v>0</v>
      </c>
      <c r="BA77" s="246">
        <f t="shared" si="10"/>
        <v>0</v>
      </c>
      <c r="BB77" s="246">
        <f t="shared" si="10"/>
        <v>0</v>
      </c>
      <c r="BC77" s="246">
        <f t="shared" si="10"/>
        <v>0</v>
      </c>
      <c r="BD77" s="246">
        <f t="shared" si="10"/>
        <v>0</v>
      </c>
      <c r="BE77" s="246">
        <f t="shared" si="10"/>
        <v>0</v>
      </c>
      <c r="BF77" s="246">
        <f t="shared" si="10"/>
        <v>0</v>
      </c>
    </row>
    <row r="78" spans="43:58" x14ac:dyDescent="0.2">
      <c r="AQ78" s="175"/>
      <c r="AR78" s="427" t="s">
        <v>472</v>
      </c>
      <c r="AS78" s="427"/>
      <c r="AT78" s="427"/>
      <c r="AU78" s="427"/>
      <c r="AV78" s="427"/>
      <c r="AW78" s="427"/>
      <c r="AX78" s="427"/>
      <c r="AY78" s="427"/>
      <c r="AZ78" s="427"/>
      <c r="BA78" s="427"/>
      <c r="BB78" s="427"/>
      <c r="BC78" s="427"/>
      <c r="BD78" s="427"/>
      <c r="BE78" s="427"/>
      <c r="BF78" s="427"/>
    </row>
    <row r="82" spans="33:66" ht="112" x14ac:dyDescent="0.2"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Ore_to_PI!O52</f>
        <v>-841.69623437072971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>SUM(AR83:BF83)</f>
        <v>-841.69623437072971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Ore_to_PI!O132</f>
        <v>-1202.01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>SUM(AR84:BF84)</f>
        <v>-1202.01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Ore_to_PI!O218</f>
        <v>23054812.906863328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ref="BG85:BG118" si="11">SUM(AR85:BF85)</f>
        <v>23054812.906863328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Ore_to_PI!O78</f>
        <v>0</v>
      </c>
      <c r="AS86" s="195">
        <f>Ore_to_PI!O169</f>
        <v>0</v>
      </c>
      <c r="AT86" s="195">
        <f>Ore_to_PI!O242</f>
        <v>0</v>
      </c>
      <c r="AU86" s="195"/>
      <c r="AV86" s="195"/>
      <c r="AW86" s="195"/>
      <c r="AX86" s="195"/>
      <c r="AY86" s="195"/>
      <c r="AZ86" s="195"/>
      <c r="BA86" s="195">
        <f>Ore_to_PI!BU146</f>
        <v>0</v>
      </c>
      <c r="BB86" s="195">
        <f>Ore_to_PI!BU238</f>
        <v>0</v>
      </c>
      <c r="BC86" s="195"/>
      <c r="BD86" s="195"/>
      <c r="BE86" s="195"/>
      <c r="BF86" s="205">
        <f>Ore_to_PI!EF146</f>
        <v>0</v>
      </c>
      <c r="BG86" s="214">
        <f t="shared" si="11"/>
        <v>0</v>
      </c>
      <c r="BK86" s="173" t="s">
        <v>355</v>
      </c>
      <c r="BL86" s="206"/>
      <c r="BM86" s="206"/>
      <c r="BN86" s="214">
        <f t="shared" ref="BN86:BN118" si="12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Ore_to_PI!BU157</f>
        <v>-74.599999999999994</v>
      </c>
      <c r="BB87" s="195">
        <f>Ore_to_PI!BU249</f>
        <v>-74.599999999999994</v>
      </c>
      <c r="BC87" s="195"/>
      <c r="BD87" s="195"/>
      <c r="BE87" s="195"/>
      <c r="BF87" s="195">
        <f>Ore_to_PI!EF119</f>
        <v>-74.599999999999994</v>
      </c>
      <c r="BG87" s="214">
        <f t="shared" si="11"/>
        <v>-223.79999999999998</v>
      </c>
      <c r="BK87" s="173" t="s">
        <v>377</v>
      </c>
      <c r="BL87" s="206"/>
      <c r="BM87" s="206"/>
      <c r="BN87" s="214">
        <f t="shared" si="12"/>
        <v>0</v>
      </c>
    </row>
    <row r="88" spans="33:66" x14ac:dyDescent="0.2">
      <c r="AG88" s="173"/>
      <c r="AH88" s="173"/>
      <c r="AQ88" s="173" t="s">
        <v>466</v>
      </c>
      <c r="AR88" s="195">
        <f>Ore_to_PI!O64</f>
        <v>7127.6028120000001</v>
      </c>
      <c r="AS88" s="195">
        <f>Ore_to_PI!O145</f>
        <v>7127.6028120000001</v>
      </c>
      <c r="AT88" s="195">
        <f>Ore_to_PI!O227</f>
        <v>7127.6028120000001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11"/>
        <v>21382.808435999999</v>
      </c>
      <c r="BK88" s="173" t="s">
        <v>466</v>
      </c>
      <c r="BL88" s="206"/>
      <c r="BM88" s="206"/>
      <c r="BN88" s="214">
        <f t="shared" si="12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Ore_to_PI!O156</f>
        <v>-250.1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11"/>
        <v>-250.1</v>
      </c>
      <c r="BK89" s="173" t="s">
        <v>467</v>
      </c>
      <c r="BL89" s="206"/>
      <c r="BM89" s="206"/>
      <c r="BN89" s="214">
        <f t="shared" si="12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Ore_to_PI!EF106</f>
        <v>5540.6175999999996</v>
      </c>
      <c r="BG90" s="214">
        <f t="shared" si="11"/>
        <v>5540.6175999999996</v>
      </c>
      <c r="BK90" s="173" t="s">
        <v>411</v>
      </c>
      <c r="BL90" s="206"/>
      <c r="BM90" s="206"/>
      <c r="BN90" s="214">
        <f t="shared" si="12"/>
        <v>0</v>
      </c>
    </row>
    <row r="91" spans="33:66" x14ac:dyDescent="0.2">
      <c r="AG91" s="173"/>
      <c r="AH91" s="173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11"/>
        <v>0</v>
      </c>
      <c r="BK91" s="173" t="s">
        <v>459</v>
      </c>
      <c r="BL91" s="206"/>
      <c r="BM91" s="206"/>
      <c r="BN91" s="214">
        <f t="shared" si="12"/>
        <v>0</v>
      </c>
    </row>
    <row r="92" spans="33:66" ht="16" x14ac:dyDescent="0.2">
      <c r="AG92" s="208"/>
      <c r="AH92" s="208"/>
      <c r="AQ92" s="174" t="s">
        <v>442</v>
      </c>
      <c r="AR92" s="195"/>
      <c r="AS92" s="195"/>
      <c r="AT92" s="195"/>
      <c r="AU92" s="195">
        <f>Ore_to_PI!AH52</f>
        <v>-841.69623437072971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11"/>
        <v>-841.69623437072971</v>
      </c>
      <c r="BK92" s="174" t="s">
        <v>442</v>
      </c>
      <c r="BL92" s="206"/>
      <c r="BM92" s="206"/>
      <c r="BN92" s="214">
        <f t="shared" si="12"/>
        <v>0</v>
      </c>
    </row>
    <row r="93" spans="33:66" ht="16" x14ac:dyDescent="0.2">
      <c r="AG93" s="174"/>
      <c r="AH93" s="174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11"/>
        <v>0</v>
      </c>
      <c r="BK93" s="173" t="s">
        <v>409</v>
      </c>
      <c r="BL93" s="206"/>
      <c r="BM93" s="206">
        <f>Ore_to_PI!AH70</f>
        <v>-99.008821849873215</v>
      </c>
      <c r="BN93" s="214">
        <f t="shared" si="12"/>
        <v>-99.008821849873215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Ore_to_PI!AI132</f>
        <v>-1202.01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11"/>
        <v>-1202.01</v>
      </c>
      <c r="BK94" s="174" t="s">
        <v>412</v>
      </c>
      <c r="BL94" s="206"/>
      <c r="BM94" s="210"/>
      <c r="BN94" s="214">
        <f t="shared" si="12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11"/>
        <v>0</v>
      </c>
      <c r="BK95" s="173" t="s">
        <v>437</v>
      </c>
      <c r="BL95" s="206"/>
      <c r="BM95" s="206">
        <f>Ore_to_PI!AI149</f>
        <v>-98.84370786785361</v>
      </c>
      <c r="BN95" s="214">
        <f t="shared" si="12"/>
        <v>-98.84370786785361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Ore_to_PI!AI218</f>
        <v>23054812.906863328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11"/>
        <v>23054812.906863328</v>
      </c>
      <c r="BK96" s="175" t="s">
        <v>430</v>
      </c>
      <c r="BL96" s="206"/>
      <c r="BM96" s="206"/>
      <c r="BN96" s="214">
        <f t="shared" si="12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11"/>
        <v>0</v>
      </c>
      <c r="BK97" s="173" t="s">
        <v>416</v>
      </c>
      <c r="BL97" s="206"/>
      <c r="BM97" s="206">
        <f>Ore_to_PI!AI234</f>
        <v>-99.008821849873215</v>
      </c>
      <c r="BN97" s="214">
        <f t="shared" si="12"/>
        <v>-99.008821849873215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Ore_to_PI!BA52</f>
        <v>-841.69623437072971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11"/>
        <v>-841.69623437072971</v>
      </c>
      <c r="BK98" s="174" t="s">
        <v>441</v>
      </c>
      <c r="BL98" s="206"/>
      <c r="BM98" s="206"/>
      <c r="BN98" s="214">
        <f t="shared" si="12"/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Ore_to_PI!BB132</f>
        <v>-1202.01</v>
      </c>
      <c r="AZ99" s="195"/>
      <c r="BA99" s="195"/>
      <c r="BB99" s="195"/>
      <c r="BC99" s="195"/>
      <c r="BD99" s="195"/>
      <c r="BE99" s="195"/>
      <c r="BF99" s="195"/>
      <c r="BG99" s="214">
        <f t="shared" si="11"/>
        <v>-1202.01</v>
      </c>
      <c r="BK99" s="174" t="s">
        <v>436</v>
      </c>
      <c r="BL99" s="206"/>
      <c r="BM99" s="206"/>
      <c r="BN99" s="214">
        <f t="shared" si="12"/>
        <v>0</v>
      </c>
    </row>
    <row r="100" spans="33:71" ht="16" x14ac:dyDescent="0.2">
      <c r="AG100" s="175"/>
      <c r="AH100" s="17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Ore_to_PI!BB218</f>
        <v>23054812.906863328</v>
      </c>
      <c r="BA100" s="195"/>
      <c r="BB100" s="195"/>
      <c r="BC100" s="195"/>
      <c r="BD100" s="195"/>
      <c r="BE100" s="195"/>
      <c r="BF100" s="195"/>
      <c r="BG100" s="214">
        <f t="shared" si="11"/>
        <v>23054812.906863328</v>
      </c>
      <c r="BK100" s="174" t="s">
        <v>433</v>
      </c>
      <c r="BL100" s="206"/>
      <c r="BM100" s="206"/>
      <c r="BN100" s="214">
        <f t="shared" si="12"/>
        <v>0</v>
      </c>
    </row>
    <row r="101" spans="33:71" ht="16" x14ac:dyDescent="0.2">
      <c r="AG101" s="215"/>
      <c r="AH101" s="21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Ore_to_PI!BT48</f>
        <v>-834.48831000000007</v>
      </c>
      <c r="BF101" s="195"/>
      <c r="BG101" s="214">
        <f t="shared" si="11"/>
        <v>-834.48831000000007</v>
      </c>
      <c r="BK101" s="174" t="s">
        <v>439</v>
      </c>
      <c r="BL101" s="206"/>
      <c r="BM101" s="206"/>
      <c r="BN101" s="214">
        <f t="shared" si="1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11"/>
        <v>0</v>
      </c>
      <c r="BH102" s="20"/>
      <c r="BI102" s="20"/>
      <c r="BK102" s="175" t="s">
        <v>438</v>
      </c>
      <c r="BL102" s="206"/>
      <c r="BM102" s="206">
        <f>Ore_to_PI!BT63</f>
        <v>-1454.2261001517452</v>
      </c>
      <c r="BN102" s="214">
        <f t="shared" si="12"/>
        <v>-1454.2261001517452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Ore_to_PI!BU132</f>
        <v>-1202.01</v>
      </c>
      <c r="BB103" s="195"/>
      <c r="BC103" s="195"/>
      <c r="BD103" s="195"/>
      <c r="BE103" s="195"/>
      <c r="BF103" s="195"/>
      <c r="BG103" s="214">
        <f t="shared" si="11"/>
        <v>-1202.01</v>
      </c>
      <c r="BK103" s="175" t="s">
        <v>424</v>
      </c>
      <c r="BL103" s="206"/>
      <c r="BM103" s="206"/>
      <c r="BN103" s="214">
        <f t="shared" si="1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Ore_to_PI!BU218</f>
        <v>23054812.906863328</v>
      </c>
      <c r="BC104" s="195"/>
      <c r="BD104" s="195"/>
      <c r="BE104" s="195"/>
      <c r="BF104" s="195"/>
      <c r="BG104" s="214">
        <f t="shared" si="11"/>
        <v>23054812.906863328</v>
      </c>
      <c r="BK104" s="175" t="s">
        <v>456</v>
      </c>
      <c r="BL104" s="206"/>
      <c r="BM104" s="206"/>
      <c r="BN104" s="214">
        <f t="shared" si="1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Ore_to_PI!CP131</f>
        <v>-634.9</v>
      </c>
      <c r="BF105" s="195"/>
      <c r="BG105" s="214">
        <f t="shared" si="11"/>
        <v>-634.9</v>
      </c>
      <c r="BK105" s="175" t="s">
        <v>425</v>
      </c>
      <c r="BL105" s="206"/>
      <c r="BM105" s="206"/>
      <c r="BN105" s="214">
        <f t="shared" si="1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11"/>
        <v>0</v>
      </c>
      <c r="BK106" s="175" t="s">
        <v>427</v>
      </c>
      <c r="BL106" s="206"/>
      <c r="BM106" s="206">
        <f>Ore_to_PI!CP119</f>
        <v>-601.6</v>
      </c>
      <c r="BN106" s="214">
        <f t="shared" si="12"/>
        <v>-601.6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11"/>
        <v>0</v>
      </c>
      <c r="BK107" s="175" t="s">
        <v>426</v>
      </c>
      <c r="BL107" s="206"/>
      <c r="BM107" s="206">
        <f>Ore_to_PI!CP145</f>
        <v>-125.87204049624027</v>
      </c>
      <c r="BN107" s="214">
        <f t="shared" si="12"/>
        <v>-125.87204049624027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Ore_to_PI!CP211</f>
        <v>6546468.5968566798</v>
      </c>
      <c r="BF108" s="195"/>
      <c r="BG108" s="214">
        <f t="shared" si="11"/>
        <v>6546468.5968566798</v>
      </c>
      <c r="BK108" s="175" t="s">
        <v>484</v>
      </c>
      <c r="BL108" s="206"/>
      <c r="BM108" s="206"/>
      <c r="BN108" s="214">
        <f t="shared" si="1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Ore_to_PI!CP243</f>
        <v>-37.006500000000003</v>
      </c>
      <c r="BD109" s="195"/>
      <c r="BE109" s="195"/>
      <c r="BF109" s="195"/>
      <c r="BG109" s="214">
        <f t="shared" si="11"/>
        <v>-37.006500000000003</v>
      </c>
      <c r="BK109" s="215" t="s">
        <v>422</v>
      </c>
      <c r="BL109" s="206"/>
      <c r="BM109" s="206"/>
      <c r="BN109" s="214">
        <f t="shared" si="1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11"/>
        <v>0</v>
      </c>
      <c r="BK110" s="215" t="s">
        <v>552</v>
      </c>
      <c r="BL110" s="206"/>
      <c r="BM110" s="206">
        <f>Ore_to_PI!CP282</f>
        <v>-221.69899000000004</v>
      </c>
      <c r="BN110" s="214">
        <f t="shared" si="12"/>
        <v>-221.69899000000004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11"/>
        <v>0</v>
      </c>
      <c r="BK111" s="175" t="s">
        <v>421</v>
      </c>
      <c r="BL111" s="206"/>
      <c r="BM111" s="206">
        <f>Ore_to_PI!CP229</f>
        <v>-1089.7720000000002</v>
      </c>
      <c r="BN111" s="214">
        <f t="shared" si="12"/>
        <v>-1089.7720000000002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11"/>
        <v>0</v>
      </c>
      <c r="BK112" s="173" t="s">
        <v>423</v>
      </c>
      <c r="BL112" s="206"/>
      <c r="BM112" s="206">
        <f>Ore_to_PI!CP258</f>
        <v>-89.542108138870873</v>
      </c>
      <c r="BN112" s="214">
        <f t="shared" si="12"/>
        <v>-89.542108138870873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Ore_to_PI!DJ241</f>
        <v>-23.917987170512152</v>
      </c>
      <c r="BE113" s="195"/>
      <c r="BF113" s="205"/>
      <c r="BG113" s="214">
        <f t="shared" si="11"/>
        <v>-23.917987170512152</v>
      </c>
      <c r="BK113" s="175" t="s">
        <v>515</v>
      </c>
      <c r="BL113" s="206"/>
      <c r="BM113" s="206"/>
      <c r="BN113" s="214">
        <f t="shared" si="1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Ore_to_PI!EF160</f>
        <v>-23.917987170512156</v>
      </c>
      <c r="BG114" s="214">
        <f t="shared" si="11"/>
        <v>-23.917987170512156</v>
      </c>
      <c r="BK114" s="175" t="s">
        <v>517</v>
      </c>
      <c r="BL114" s="206">
        <f>Ore_to_PI!EZ241</f>
        <v>-23.917987170512156</v>
      </c>
      <c r="BM114" s="206"/>
      <c r="BN114" s="214">
        <f t="shared" si="12"/>
        <v>-23.917987170512156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Ore_to_PI!EF134</f>
        <v>3963.8871338071585</v>
      </c>
      <c r="BG115" s="214">
        <f t="shared" si="11"/>
        <v>3963.8871338071585</v>
      </c>
      <c r="BK115" s="175" t="s">
        <v>445</v>
      </c>
      <c r="BL115" s="206"/>
      <c r="BM115" s="206"/>
      <c r="BN115" s="214">
        <f t="shared" si="1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11"/>
        <v>0</v>
      </c>
      <c r="BK116" s="175" t="s">
        <v>446</v>
      </c>
      <c r="BL116" s="206">
        <f>Ore_to_PI!FF131</f>
        <v>0</v>
      </c>
      <c r="BM116" s="206"/>
      <c r="BN116" s="214">
        <f t="shared" si="12"/>
        <v>0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11"/>
        <v>0</v>
      </c>
      <c r="BK117" s="175" t="s">
        <v>447</v>
      </c>
      <c r="BL117" s="206"/>
      <c r="BM117" s="206">
        <f>Ore_to_PI!FF149</f>
        <v>-126.30390709179704</v>
      </c>
      <c r="BN117" s="214">
        <f t="shared" si="12"/>
        <v>-126.30390709179704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11"/>
        <v>0</v>
      </c>
      <c r="BK118" s="175" t="s">
        <v>457</v>
      </c>
      <c r="BL118" s="206"/>
      <c r="BM118" s="206">
        <f>Ore_to_PI!FF109</f>
        <v>-89.61</v>
      </c>
      <c r="BN118" s="214">
        <f t="shared" si="12"/>
        <v>-89.61</v>
      </c>
    </row>
    <row r="119" spans="2:66" x14ac:dyDescent="0.2">
      <c r="AG119" s="175"/>
      <c r="AH119" s="175"/>
      <c r="AQ119" s="175"/>
      <c r="AR119" s="427" t="s">
        <v>328</v>
      </c>
      <c r="AS119" s="427"/>
      <c r="AT119" s="427"/>
      <c r="AU119" s="427"/>
      <c r="AV119" s="427"/>
      <c r="AW119" s="427"/>
      <c r="AX119" s="427"/>
      <c r="AY119" s="427"/>
      <c r="AZ119" s="427"/>
      <c r="BA119" s="427"/>
      <c r="BB119" s="427"/>
      <c r="BC119" s="427"/>
      <c r="BD119" s="427"/>
      <c r="BE119" s="427"/>
      <c r="BF119" s="427"/>
      <c r="BG119" s="20" t="s">
        <v>369</v>
      </c>
      <c r="BL119" s="427" t="s">
        <v>330</v>
      </c>
      <c r="BM119" s="427"/>
      <c r="BN119" s="20" t="s">
        <v>381</v>
      </c>
    </row>
    <row r="120" spans="2:66" x14ac:dyDescent="0.2">
      <c r="AG120" s="175"/>
      <c r="AH120" s="175"/>
      <c r="AQ120" s="175"/>
      <c r="AR120" s="214">
        <f>SUM(AR83:AR118)</f>
        <v>6285.90657762927</v>
      </c>
      <c r="AS120" s="214">
        <f>SUM(AS83:AS118)</f>
        <v>5675.4928119999995</v>
      </c>
      <c r="AT120" s="214">
        <f>SUM(AT83:AT118)</f>
        <v>23061940.509675328</v>
      </c>
      <c r="AU120" s="214">
        <f t="shared" ref="AU120:BF120" si="13">SUM(AU83:AU118)</f>
        <v>-841.69623437072971</v>
      </c>
      <c r="AV120" s="214">
        <f t="shared" si="13"/>
        <v>-1202.01</v>
      </c>
      <c r="AW120" s="214">
        <f t="shared" si="13"/>
        <v>23054812.906863328</v>
      </c>
      <c r="AX120" s="214">
        <f t="shared" si="13"/>
        <v>-841.69623437072971</v>
      </c>
      <c r="AY120" s="214">
        <f t="shared" si="13"/>
        <v>-1202.01</v>
      </c>
      <c r="AZ120" s="214">
        <f t="shared" si="13"/>
        <v>23054812.906863328</v>
      </c>
      <c r="BA120" s="214">
        <f t="shared" si="13"/>
        <v>-1276.6099999999999</v>
      </c>
      <c r="BB120" s="214">
        <f t="shared" si="13"/>
        <v>23054738.306863327</v>
      </c>
      <c r="BC120" s="214">
        <f t="shared" si="13"/>
        <v>-37.006500000000003</v>
      </c>
      <c r="BD120" s="214">
        <f t="shared" si="13"/>
        <v>-23.917987170512152</v>
      </c>
      <c r="BE120" s="214">
        <f t="shared" si="13"/>
        <v>6544999.2085466795</v>
      </c>
      <c r="BF120" s="214">
        <f t="shared" si="13"/>
        <v>9405.986746636645</v>
      </c>
      <c r="BL120" s="20"/>
      <c r="BM120" s="20"/>
    </row>
    <row r="121" spans="2:66" ht="13" customHeight="1" x14ac:dyDescent="0.2">
      <c r="C121" s="428"/>
      <c r="D121" s="428"/>
      <c r="E121" s="197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75"/>
      <c r="AH121" s="175"/>
      <c r="AI121" s="197"/>
      <c r="AJ121" s="197"/>
      <c r="AK121" s="197"/>
      <c r="AL121" s="197"/>
      <c r="AM121" s="197"/>
      <c r="AN121" s="197"/>
      <c r="AO121" s="197"/>
      <c r="AR121" s="427" t="s">
        <v>368</v>
      </c>
      <c r="AS121" s="427"/>
      <c r="AT121" s="427"/>
      <c r="AU121" s="427"/>
      <c r="AV121" s="427"/>
      <c r="AW121" s="427"/>
      <c r="AX121" s="427"/>
      <c r="AY121" s="427"/>
      <c r="AZ121" s="427"/>
      <c r="BA121" s="427"/>
      <c r="BB121" s="427"/>
      <c r="BC121" s="427"/>
      <c r="BD121" s="427"/>
      <c r="BE121" s="427"/>
      <c r="BF121" s="427"/>
      <c r="BL121" s="20"/>
      <c r="BM121" s="20"/>
    </row>
    <row r="122" spans="2:66" ht="236" x14ac:dyDescent="0.2">
      <c r="B122" s="202"/>
      <c r="C122" s="176" t="s">
        <v>333</v>
      </c>
      <c r="D122" s="176" t="s">
        <v>335</v>
      </c>
      <c r="E122" s="176" t="s">
        <v>336</v>
      </c>
      <c r="F122" s="176" t="s">
        <v>355</v>
      </c>
      <c r="G122" s="176" t="s">
        <v>377</v>
      </c>
      <c r="H122" s="176" t="s">
        <v>466</v>
      </c>
      <c r="I122" s="176" t="s">
        <v>467</v>
      </c>
      <c r="J122" s="176" t="s">
        <v>411</v>
      </c>
      <c r="K122" s="176" t="s">
        <v>459</v>
      </c>
      <c r="L122" s="177" t="s">
        <v>442</v>
      </c>
      <c r="M122" s="176" t="s">
        <v>409</v>
      </c>
      <c r="N122" s="177" t="s">
        <v>412</v>
      </c>
      <c r="O122" s="176" t="s">
        <v>437</v>
      </c>
      <c r="P122" s="178" t="s">
        <v>430</v>
      </c>
      <c r="Q122" s="176" t="s">
        <v>416</v>
      </c>
      <c r="R122" s="177" t="s">
        <v>441</v>
      </c>
      <c r="S122" s="177" t="s">
        <v>436</v>
      </c>
      <c r="T122" s="177" t="s">
        <v>433</v>
      </c>
      <c r="U122" s="177" t="s">
        <v>439</v>
      </c>
      <c r="V122" s="178" t="s">
        <v>438</v>
      </c>
      <c r="W122" s="178" t="s">
        <v>424</v>
      </c>
      <c r="X122" s="178" t="s">
        <v>456</v>
      </c>
      <c r="Y122" s="178" t="s">
        <v>425</v>
      </c>
      <c r="Z122" s="178" t="s">
        <v>427</v>
      </c>
      <c r="AA122" s="178" t="s">
        <v>426</v>
      </c>
      <c r="AB122" s="178" t="s">
        <v>484</v>
      </c>
      <c r="AC122" s="196" t="s">
        <v>422</v>
      </c>
      <c r="AD122" s="196" t="s">
        <v>552</v>
      </c>
      <c r="AE122" s="178" t="s">
        <v>421</v>
      </c>
      <c r="AF122" s="176" t="s">
        <v>423</v>
      </c>
      <c r="AG122" s="178" t="s">
        <v>515</v>
      </c>
      <c r="AH122" s="178" t="s">
        <v>517</v>
      </c>
      <c r="AI122" s="178" t="s">
        <v>445</v>
      </c>
      <c r="AJ122" s="178" t="s">
        <v>446</v>
      </c>
      <c r="AK122" s="178" t="s">
        <v>447</v>
      </c>
      <c r="AL122" s="178" t="s">
        <v>457</v>
      </c>
      <c r="AM122" s="178"/>
    </row>
    <row r="123" spans="2:66" x14ac:dyDescent="0.2">
      <c r="B123" s="173" t="s">
        <v>325</v>
      </c>
      <c r="C123" s="195"/>
      <c r="D123" s="195"/>
      <c r="E123" s="195"/>
      <c r="F123" s="195"/>
      <c r="G123" s="195"/>
      <c r="H123" s="195"/>
      <c r="I123" s="195"/>
      <c r="J123" s="195"/>
      <c r="K123" s="195"/>
      <c r="L123" s="195">
        <f>Ore_to_PI!AH52</f>
        <v>-841.69623437072971</v>
      </c>
      <c r="M123" s="195">
        <f>Ore_to_PI!AH70</f>
        <v>-99.008821849873215</v>
      </c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265">
        <f>SUM(C123:AL123)</f>
        <v>-940.70505622060296</v>
      </c>
    </row>
    <row r="124" spans="2:66" x14ac:dyDescent="0.2">
      <c r="B124" s="173" t="s">
        <v>326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>
        <f>Ore_to_PI!AI132</f>
        <v>-1202.01</v>
      </c>
      <c r="O124" s="195">
        <f>Ore_to_PI!AI149</f>
        <v>-98.84370786785361</v>
      </c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65">
        <f t="shared" ref="AM124:AM137" si="14">SUM(C124:AL124)</f>
        <v>-1300.8537078678537</v>
      </c>
    </row>
    <row r="125" spans="2:66" x14ac:dyDescent="0.2">
      <c r="B125" s="173" t="s">
        <v>327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>
        <f>Ore_to_PI!AI218</f>
        <v>23054812.906863328</v>
      </c>
      <c r="Q125" s="195">
        <f>Ore_to_PI!AI234</f>
        <v>-99.008821849873215</v>
      </c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65">
        <f t="shared" si="14"/>
        <v>23054713.898041479</v>
      </c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L125" s="20"/>
      <c r="BM125" s="20"/>
    </row>
    <row r="126" spans="2:66" x14ac:dyDescent="0.2">
      <c r="B126" s="173" t="s">
        <v>455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>
        <f>Ore_to_PI!BA52</f>
        <v>-841.69623437072971</v>
      </c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65">
        <f t="shared" si="14"/>
        <v>-841.69623437072971</v>
      </c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L126" s="20"/>
      <c r="BM126" s="20"/>
    </row>
    <row r="127" spans="2:66" x14ac:dyDescent="0.2">
      <c r="B127" s="173" t="s">
        <v>435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>
        <f>Ore_to_PI!BB132</f>
        <v>-1202.01</v>
      </c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65">
        <f t="shared" si="14"/>
        <v>-1202.01</v>
      </c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L127" s="20"/>
      <c r="BM127" s="20"/>
    </row>
    <row r="128" spans="2:66" x14ac:dyDescent="0.2">
      <c r="B128" s="173" t="s">
        <v>434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>
        <f>Ore_to_PI!BB218</f>
        <v>23054812.906863328</v>
      </c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65">
        <f t="shared" si="14"/>
        <v>23054812.906863328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351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>
        <f>Ore_to_PI!BT48</f>
        <v>-834.48831000000007</v>
      </c>
      <c r="V129" s="195">
        <f>Ore_to_PI!BT63</f>
        <v>-1454.2261001517452</v>
      </c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65">
        <f t="shared" si="14"/>
        <v>-2288.7144101517451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348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>
        <f>Ore_to_PI!BU132</f>
        <v>-1202.01</v>
      </c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65">
        <f t="shared" si="14"/>
        <v>-1202.01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362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>
        <f>Ore_to_PI!BU218</f>
        <v>23054812.906863328</v>
      </c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65">
        <f t="shared" si="14"/>
        <v>23054812.906863328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349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>
        <f>Ore_to_PI!CP131</f>
        <v>-634.9</v>
      </c>
      <c r="Z132" s="195">
        <f>Ore_to_PI!CP119</f>
        <v>-601.6</v>
      </c>
      <c r="AA132" s="195">
        <f>Ore_to_PI!CP145</f>
        <v>-125.87204049624027</v>
      </c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65">
        <f t="shared" si="14"/>
        <v>-1362.3720404962403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344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>
        <f>Ore_to_PI!CP211</f>
        <v>6546468.5968566798</v>
      </c>
      <c r="AC133" s="195">
        <f>Ore_to_PI!CP243</f>
        <v>-37.006500000000003</v>
      </c>
      <c r="AD133" s="195">
        <f>Ore_to_PI!CP282</f>
        <v>-221.69899000000004</v>
      </c>
      <c r="AE133" s="195">
        <f>Ore_to_PI!CP229</f>
        <v>-1089.7720000000002</v>
      </c>
      <c r="AF133" s="195">
        <f>Ore_to_PI!CP258</f>
        <v>-89.542108138870873</v>
      </c>
      <c r="AG133" s="195"/>
      <c r="AH133" s="195"/>
      <c r="AI133" s="195"/>
      <c r="AJ133" s="195"/>
      <c r="AK133" s="195"/>
      <c r="AL133" s="195"/>
      <c r="AM133" s="265">
        <f t="shared" si="14"/>
        <v>6545030.5772585403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514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>
        <f>Ore_to_PI!DJ241</f>
        <v>-23.917987170512152</v>
      </c>
      <c r="AH134" s="195"/>
      <c r="AI134" s="195"/>
      <c r="AJ134" s="195"/>
      <c r="AK134" s="195"/>
      <c r="AL134" s="195"/>
      <c r="AM134" s="265">
        <f t="shared" si="14"/>
        <v>-23.917987170512152</v>
      </c>
    </row>
    <row r="135" spans="2:65" x14ac:dyDescent="0.2">
      <c r="B135" s="173" t="s">
        <v>516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>
        <f>Ore_to_PI!EE241</f>
        <v>-23.917987170512152</v>
      </c>
      <c r="AI135" s="195"/>
      <c r="AJ135" s="195"/>
      <c r="AK135" s="195"/>
      <c r="AL135" s="195"/>
      <c r="AM135" s="265">
        <f t="shared" si="14"/>
        <v>-23.917987170512152</v>
      </c>
    </row>
    <row r="136" spans="2:65" x14ac:dyDescent="0.2">
      <c r="B136" s="173" t="s">
        <v>76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>
        <f>Ore_to_PI!EF134</f>
        <v>3963.8871338071585</v>
      </c>
      <c r="AJ136" s="195"/>
      <c r="AK136" s="195"/>
      <c r="AL136" s="195"/>
      <c r="AM136" s="265">
        <f t="shared" si="14"/>
        <v>3963.8871338071585</v>
      </c>
    </row>
    <row r="137" spans="2:65" x14ac:dyDescent="0.2">
      <c r="B137" s="173" t="s">
        <v>337</v>
      </c>
      <c r="C137" s="195"/>
      <c r="D137" s="195"/>
      <c r="E137" s="195"/>
      <c r="F137" s="20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209"/>
      <c r="AB137" s="195"/>
      <c r="AC137" s="195"/>
      <c r="AD137" s="195"/>
      <c r="AE137" s="195"/>
      <c r="AF137" s="195"/>
      <c r="AG137" s="195"/>
      <c r="AH137" s="195"/>
      <c r="AI137" s="195"/>
      <c r="AJ137" s="195">
        <f>Ore_to_PI!FF131</f>
        <v>0</v>
      </c>
      <c r="AK137" s="195">
        <f>Ore_to_PI!FF149</f>
        <v>-126.30390709179704</v>
      </c>
      <c r="AL137" s="195">
        <f>Ore_to_PI!FF109</f>
        <v>-89.61</v>
      </c>
      <c r="AM137" s="265">
        <f t="shared" si="14"/>
        <v>-215.91390709179706</v>
      </c>
    </row>
    <row r="138" spans="2:65" x14ac:dyDescent="0.2">
      <c r="B138" s="173"/>
      <c r="C138" s="427" t="s">
        <v>329</v>
      </c>
      <c r="D138" s="427"/>
      <c r="E138" s="427"/>
      <c r="F138" s="427"/>
      <c r="G138" s="427"/>
      <c r="H138" s="427"/>
      <c r="I138" s="427"/>
      <c r="J138" s="427"/>
      <c r="K138" s="427"/>
      <c r="L138" s="427"/>
      <c r="M138" s="427"/>
      <c r="N138" s="427"/>
      <c r="O138" s="427"/>
      <c r="P138" s="427"/>
      <c r="Q138" s="427"/>
      <c r="R138" s="427"/>
      <c r="S138" s="427"/>
      <c r="T138" s="427"/>
      <c r="U138" s="427"/>
      <c r="V138" s="427"/>
      <c r="W138" s="427"/>
      <c r="X138" s="427"/>
      <c r="Y138" s="427"/>
      <c r="Z138" s="427"/>
      <c r="AA138" s="427"/>
      <c r="AB138" s="427"/>
      <c r="AC138" s="427"/>
      <c r="AD138" s="427"/>
      <c r="AE138" s="427"/>
      <c r="AF138" s="427"/>
      <c r="AG138" s="427"/>
      <c r="AH138" s="427"/>
      <c r="AI138" s="427"/>
      <c r="AJ138" s="427"/>
      <c r="AK138" s="427"/>
      <c r="AL138" s="427"/>
      <c r="AM138" s="142" t="s">
        <v>365</v>
      </c>
      <c r="AN138" s="20"/>
    </row>
    <row r="139" spans="2:65" x14ac:dyDescent="0.2">
      <c r="B139" s="173"/>
      <c r="C139" s="214">
        <f t="shared" ref="C139:G139" si="15">SUM(C123:C137)</f>
        <v>0</v>
      </c>
      <c r="D139" s="214">
        <f t="shared" si="15"/>
        <v>0</v>
      </c>
      <c r="E139" s="214">
        <f t="shared" si="15"/>
        <v>0</v>
      </c>
      <c r="F139" s="214">
        <f t="shared" si="15"/>
        <v>0</v>
      </c>
      <c r="G139" s="214">
        <f t="shared" si="15"/>
        <v>0</v>
      </c>
      <c r="H139" s="214">
        <f t="shared" ref="H139:AL139" si="16">SUM(H123:H137)</f>
        <v>0</v>
      </c>
      <c r="I139" s="214">
        <f t="shared" si="16"/>
        <v>0</v>
      </c>
      <c r="J139" s="214">
        <f t="shared" si="16"/>
        <v>0</v>
      </c>
      <c r="K139" s="214">
        <f t="shared" si="16"/>
        <v>0</v>
      </c>
      <c r="L139" s="214">
        <f t="shared" si="16"/>
        <v>-841.69623437072971</v>
      </c>
      <c r="M139" s="214">
        <f t="shared" si="16"/>
        <v>-99.008821849873215</v>
      </c>
      <c r="N139" s="214">
        <f t="shared" si="16"/>
        <v>-1202.01</v>
      </c>
      <c r="O139" s="214">
        <f t="shared" si="16"/>
        <v>-98.84370786785361</v>
      </c>
      <c r="P139" s="214">
        <f t="shared" si="16"/>
        <v>23054812.906863328</v>
      </c>
      <c r="Q139" s="214">
        <f t="shared" si="16"/>
        <v>-99.008821849873215</v>
      </c>
      <c r="R139" s="214">
        <f t="shared" si="16"/>
        <v>-841.69623437072971</v>
      </c>
      <c r="S139" s="214">
        <f t="shared" si="16"/>
        <v>-1202.01</v>
      </c>
      <c r="T139" s="214">
        <f t="shared" si="16"/>
        <v>23054812.906863328</v>
      </c>
      <c r="U139" s="214">
        <f t="shared" si="16"/>
        <v>-834.48831000000007</v>
      </c>
      <c r="V139" s="214">
        <f t="shared" si="16"/>
        <v>-1454.2261001517452</v>
      </c>
      <c r="W139" s="214">
        <f t="shared" si="16"/>
        <v>-1202.01</v>
      </c>
      <c r="X139" s="214">
        <f t="shared" si="16"/>
        <v>23054812.906863328</v>
      </c>
      <c r="Y139" s="214">
        <f t="shared" si="16"/>
        <v>-634.9</v>
      </c>
      <c r="Z139" s="214">
        <f t="shared" si="16"/>
        <v>-601.6</v>
      </c>
      <c r="AA139" s="214">
        <f t="shared" si="16"/>
        <v>-125.87204049624027</v>
      </c>
      <c r="AB139" s="214">
        <f t="shared" si="16"/>
        <v>6546468.5968566798</v>
      </c>
      <c r="AC139" s="214">
        <f t="shared" si="16"/>
        <v>-37.006500000000003</v>
      </c>
      <c r="AD139" s="214">
        <f t="shared" si="16"/>
        <v>-221.69899000000004</v>
      </c>
      <c r="AE139" s="214">
        <f t="shared" si="16"/>
        <v>-1089.7720000000002</v>
      </c>
      <c r="AF139" s="214">
        <f t="shared" si="16"/>
        <v>-89.542108138870873</v>
      </c>
      <c r="AG139" s="214">
        <f t="shared" si="16"/>
        <v>-23.917987170512152</v>
      </c>
      <c r="AH139" s="214">
        <f t="shared" si="16"/>
        <v>-23.917987170512152</v>
      </c>
      <c r="AI139" s="214">
        <f t="shared" si="16"/>
        <v>3963.8871338071585</v>
      </c>
      <c r="AJ139" s="214">
        <f t="shared" si="16"/>
        <v>0</v>
      </c>
      <c r="AK139" s="214">
        <f t="shared" si="16"/>
        <v>-126.30390709179704</v>
      </c>
      <c r="AL139" s="214">
        <f t="shared" si="16"/>
        <v>-89.61</v>
      </c>
      <c r="AM139" s="142"/>
    </row>
    <row r="140" spans="2:65" x14ac:dyDescent="0.2">
      <c r="B140" s="173"/>
      <c r="C140" s="427" t="s">
        <v>366</v>
      </c>
      <c r="D140" s="427"/>
      <c r="E140" s="427"/>
      <c r="F140" s="427"/>
      <c r="G140" s="427"/>
      <c r="H140" s="427"/>
      <c r="I140" s="427"/>
      <c r="J140" s="427"/>
      <c r="K140" s="427"/>
      <c r="L140" s="427"/>
      <c r="M140" s="427"/>
      <c r="N140" s="427"/>
      <c r="O140" s="427"/>
      <c r="P140" s="427"/>
      <c r="Q140" s="427"/>
      <c r="R140" s="427"/>
      <c r="S140" s="427"/>
      <c r="T140" s="427"/>
      <c r="U140" s="427"/>
      <c r="V140" s="427"/>
      <c r="W140" s="427"/>
      <c r="X140" s="427"/>
      <c r="Y140" s="427"/>
      <c r="Z140" s="427"/>
      <c r="AA140" s="427"/>
      <c r="AB140" s="427"/>
      <c r="AC140" s="427"/>
      <c r="AD140" s="427"/>
      <c r="AE140" s="427"/>
      <c r="AF140" s="427"/>
      <c r="AG140" s="427"/>
      <c r="AH140" s="427"/>
      <c r="AI140" s="427"/>
      <c r="AJ140" s="427"/>
      <c r="AK140" s="427"/>
      <c r="AL140" s="427"/>
    </row>
    <row r="141" spans="2:65" x14ac:dyDescent="0.2">
      <c r="B141" s="173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ht="236" x14ac:dyDescent="0.2">
      <c r="B151" s="173"/>
      <c r="C151" s="176" t="s">
        <v>333</v>
      </c>
      <c r="D151" s="176" t="s">
        <v>335</v>
      </c>
      <c r="E151" s="176" t="s">
        <v>336</v>
      </c>
      <c r="F151" s="176" t="s">
        <v>355</v>
      </c>
      <c r="G151" s="176" t="s">
        <v>377</v>
      </c>
      <c r="H151" s="176" t="s">
        <v>466</v>
      </c>
      <c r="I151" s="176" t="s">
        <v>467</v>
      </c>
      <c r="J151" s="176" t="s">
        <v>411</v>
      </c>
      <c r="K151" s="176" t="s">
        <v>459</v>
      </c>
      <c r="L151" s="177" t="s">
        <v>442</v>
      </c>
      <c r="M151" s="176" t="s">
        <v>409</v>
      </c>
      <c r="N151" s="177" t="s">
        <v>412</v>
      </c>
      <c r="O151" s="176" t="s">
        <v>437</v>
      </c>
      <c r="P151" s="178" t="s">
        <v>430</v>
      </c>
      <c r="Q151" s="176" t="s">
        <v>416</v>
      </c>
      <c r="R151" s="177" t="s">
        <v>441</v>
      </c>
      <c r="S151" s="177" t="s">
        <v>436</v>
      </c>
      <c r="T151" s="177" t="s">
        <v>433</v>
      </c>
      <c r="U151" s="177" t="s">
        <v>439</v>
      </c>
      <c r="V151" s="178" t="s">
        <v>438</v>
      </c>
      <c r="W151" s="178" t="s">
        <v>424</v>
      </c>
      <c r="X151" s="178" t="s">
        <v>456</v>
      </c>
      <c r="Y151" s="178" t="s">
        <v>425</v>
      </c>
      <c r="Z151" s="178" t="s">
        <v>427</v>
      </c>
      <c r="AA151" s="178" t="s">
        <v>426</v>
      </c>
      <c r="AB151" s="178" t="s">
        <v>484</v>
      </c>
      <c r="AC151" s="196" t="s">
        <v>422</v>
      </c>
      <c r="AD151" s="196" t="s">
        <v>552</v>
      </c>
      <c r="AE151" s="178" t="s">
        <v>421</v>
      </c>
      <c r="AF151" s="176" t="s">
        <v>423</v>
      </c>
      <c r="AG151" s="178" t="s">
        <v>515</v>
      </c>
      <c r="AH151" s="178" t="s">
        <v>517</v>
      </c>
      <c r="AI151" s="178" t="s">
        <v>445</v>
      </c>
      <c r="AJ151" s="178" t="s">
        <v>446</v>
      </c>
      <c r="AK151" s="178" t="s">
        <v>447</v>
      </c>
      <c r="AL151" s="178" t="s">
        <v>457</v>
      </c>
      <c r="AM151" s="178"/>
      <c r="AN151" s="178"/>
    </row>
    <row r="152" spans="2:44" x14ac:dyDescent="0.2">
      <c r="B152" s="173" t="s">
        <v>332</v>
      </c>
      <c r="C152" s="206">
        <f>Ore_to_PI!O52</f>
        <v>-841.69623437072971</v>
      </c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</row>
    <row r="153" spans="2:44" ht="16" x14ac:dyDescent="0.2">
      <c r="B153" s="174" t="s">
        <v>334</v>
      </c>
      <c r="C153" s="206"/>
      <c r="D153" s="206">
        <f>Ore_to_PI!O132</f>
        <v>-1202.01</v>
      </c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x14ac:dyDescent="0.2">
      <c r="B154" s="175" t="s">
        <v>356</v>
      </c>
      <c r="C154" s="206"/>
      <c r="D154" s="206"/>
      <c r="E154" s="206">
        <f>Ore_to_PI!O218</f>
        <v>23054812.906863328</v>
      </c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3" t="s">
        <v>380</v>
      </c>
      <c r="C155" s="206"/>
      <c r="D155" s="206"/>
      <c r="E155" s="206"/>
      <c r="F155" s="212">
        <f>Ore_to_PI!O242</f>
        <v>0</v>
      </c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376</v>
      </c>
      <c r="C156" s="206"/>
      <c r="D156" s="206"/>
      <c r="E156" s="206"/>
      <c r="F156" s="206"/>
      <c r="G156" s="206">
        <f>h_CH4</f>
        <v>-74.599999999999994</v>
      </c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469</v>
      </c>
      <c r="C157" s="206"/>
      <c r="D157" s="206"/>
      <c r="E157" s="206"/>
      <c r="F157" s="206"/>
      <c r="G157" s="206"/>
      <c r="H157" s="206">
        <f>LHV_Diesel*MW_C12H23</f>
        <v>7127.6028120000001</v>
      </c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R157" s="196"/>
    </row>
    <row r="158" spans="2:44" x14ac:dyDescent="0.2">
      <c r="B158" s="173" t="s">
        <v>468</v>
      </c>
      <c r="C158" s="206"/>
      <c r="D158" s="206"/>
      <c r="E158" s="206"/>
      <c r="F158" s="206"/>
      <c r="G158" s="206"/>
      <c r="H158" s="206"/>
      <c r="I158" s="206">
        <f>Ore_to_PI!O156</f>
        <v>-250.1</v>
      </c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410</v>
      </c>
      <c r="C159" s="206"/>
      <c r="D159" s="206"/>
      <c r="E159" s="206"/>
      <c r="F159" s="206"/>
      <c r="G159" s="206"/>
      <c r="H159" s="206"/>
      <c r="I159" s="206"/>
      <c r="J159" s="206">
        <f>Ore_to_PI!EF106</f>
        <v>5540.6175999999996</v>
      </c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458</v>
      </c>
      <c r="C160" s="206"/>
      <c r="D160" s="206"/>
      <c r="E160" s="206"/>
      <c r="F160" s="206"/>
      <c r="G160" s="206"/>
      <c r="H160" s="206"/>
      <c r="I160" s="206"/>
      <c r="J160" s="206"/>
      <c r="K160" s="206">
        <v>0</v>
      </c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</row>
    <row r="161" spans="2:40" x14ac:dyDescent="0.2">
      <c r="C161" s="427" t="s">
        <v>56</v>
      </c>
      <c r="D161" s="427"/>
      <c r="E161" s="427"/>
      <c r="F161" s="427"/>
      <c r="G161" s="427"/>
      <c r="H161" s="427"/>
      <c r="I161" s="427"/>
      <c r="J161" s="427"/>
      <c r="K161" s="427"/>
      <c r="L161" s="427"/>
      <c r="M161" s="427"/>
      <c r="N161" s="427"/>
      <c r="O161" s="427"/>
      <c r="P161" s="427"/>
      <c r="Q161" s="427"/>
      <c r="R161" s="427"/>
      <c r="S161" s="427"/>
      <c r="T161" s="427"/>
      <c r="U161" s="427"/>
      <c r="V161" s="427"/>
      <c r="W161" s="427"/>
      <c r="X161" s="427"/>
      <c r="Y161" s="427"/>
      <c r="Z161" s="427"/>
      <c r="AA161" s="427"/>
      <c r="AB161" s="427"/>
      <c r="AC161" s="427"/>
      <c r="AD161" s="427"/>
      <c r="AE161" s="427"/>
      <c r="AF161" s="427"/>
      <c r="AG161" s="427"/>
      <c r="AH161" s="427"/>
      <c r="AI161" s="427"/>
      <c r="AJ161" s="427"/>
      <c r="AK161" s="427"/>
      <c r="AL161" s="427"/>
      <c r="AM161" s="20"/>
      <c r="AN161" s="20"/>
    </row>
    <row r="162" spans="2:40" x14ac:dyDescent="0.2">
      <c r="C162" s="214">
        <f t="shared" ref="C162:AL162" si="17">SUM(C152:C160)</f>
        <v>-841.69623437072971</v>
      </c>
      <c r="D162" s="214">
        <f t="shared" si="17"/>
        <v>-1202.01</v>
      </c>
      <c r="E162" s="214">
        <f t="shared" si="17"/>
        <v>23054812.906863328</v>
      </c>
      <c r="F162" s="214">
        <f t="shared" si="17"/>
        <v>0</v>
      </c>
      <c r="G162" s="214">
        <f t="shared" si="17"/>
        <v>-74.599999999999994</v>
      </c>
      <c r="H162" s="214">
        <f t="shared" si="17"/>
        <v>7127.6028120000001</v>
      </c>
      <c r="I162" s="214">
        <f t="shared" si="17"/>
        <v>-250.1</v>
      </c>
      <c r="J162" s="214">
        <f t="shared" si="17"/>
        <v>5540.6175999999996</v>
      </c>
      <c r="K162" s="214">
        <f t="shared" si="17"/>
        <v>0</v>
      </c>
      <c r="L162" s="214">
        <f t="shared" si="17"/>
        <v>0</v>
      </c>
      <c r="M162" s="214">
        <f t="shared" si="17"/>
        <v>0</v>
      </c>
      <c r="N162" s="214">
        <f t="shared" si="17"/>
        <v>0</v>
      </c>
      <c r="O162" s="214">
        <f t="shared" si="17"/>
        <v>0</v>
      </c>
      <c r="P162" s="214">
        <f t="shared" si="17"/>
        <v>0</v>
      </c>
      <c r="Q162" s="214">
        <f t="shared" si="17"/>
        <v>0</v>
      </c>
      <c r="R162" s="214">
        <f t="shared" si="17"/>
        <v>0</v>
      </c>
      <c r="S162" s="214">
        <f t="shared" si="17"/>
        <v>0</v>
      </c>
      <c r="T162" s="214">
        <f t="shared" si="17"/>
        <v>0</v>
      </c>
      <c r="U162" s="214">
        <f t="shared" si="17"/>
        <v>0</v>
      </c>
      <c r="V162" s="214">
        <f t="shared" si="17"/>
        <v>0</v>
      </c>
      <c r="W162" s="214">
        <f t="shared" si="17"/>
        <v>0</v>
      </c>
      <c r="X162" s="214">
        <f t="shared" si="17"/>
        <v>0</v>
      </c>
      <c r="Y162" s="214">
        <f t="shared" si="17"/>
        <v>0</v>
      </c>
      <c r="Z162" s="214">
        <f t="shared" si="17"/>
        <v>0</v>
      </c>
      <c r="AA162" s="214">
        <f t="shared" si="17"/>
        <v>0</v>
      </c>
      <c r="AB162" s="214">
        <f t="shared" si="17"/>
        <v>0</v>
      </c>
      <c r="AC162" s="214">
        <f t="shared" si="17"/>
        <v>0</v>
      </c>
      <c r="AD162" s="214">
        <f t="shared" si="17"/>
        <v>0</v>
      </c>
      <c r="AE162" s="214">
        <f t="shared" si="17"/>
        <v>0</v>
      </c>
      <c r="AF162" s="214">
        <f t="shared" si="17"/>
        <v>0</v>
      </c>
      <c r="AG162" s="214">
        <f t="shared" si="17"/>
        <v>0</v>
      </c>
      <c r="AH162" s="214">
        <f t="shared" si="17"/>
        <v>0</v>
      </c>
      <c r="AI162" s="214">
        <f t="shared" si="17"/>
        <v>0</v>
      </c>
      <c r="AJ162" s="214">
        <f t="shared" si="17"/>
        <v>0</v>
      </c>
      <c r="AK162" s="214">
        <f t="shared" si="17"/>
        <v>0</v>
      </c>
      <c r="AL162" s="214">
        <f t="shared" si="17"/>
        <v>0</v>
      </c>
    </row>
    <row r="163" spans="2:40" x14ac:dyDescent="0.2">
      <c r="C163" s="427" t="s">
        <v>367</v>
      </c>
      <c r="D163" s="427"/>
      <c r="E163" s="427"/>
      <c r="F163" s="427"/>
      <c r="G163" s="427"/>
      <c r="H163" s="427"/>
      <c r="I163" s="427"/>
      <c r="J163" s="427"/>
      <c r="K163" s="427"/>
      <c r="L163" s="427"/>
      <c r="M163" s="427"/>
      <c r="N163" s="427"/>
      <c r="O163" s="427"/>
      <c r="P163" s="427"/>
      <c r="Q163" s="427"/>
      <c r="R163" s="427"/>
      <c r="S163" s="427"/>
      <c r="T163" s="427"/>
      <c r="U163" s="427"/>
      <c r="V163" s="427"/>
      <c r="W163" s="427"/>
      <c r="X163" s="427"/>
      <c r="Y163" s="427"/>
      <c r="Z163" s="427"/>
      <c r="AA163" s="427"/>
      <c r="AB163" s="427"/>
      <c r="AC163" s="427"/>
      <c r="AD163" s="427"/>
      <c r="AE163" s="427"/>
      <c r="AF163" s="427"/>
      <c r="AG163" s="427"/>
      <c r="AH163" s="427"/>
      <c r="AI163" s="427"/>
      <c r="AJ163" s="427"/>
      <c r="AK163" s="427"/>
      <c r="AL163" s="427"/>
      <c r="AM163" s="20"/>
      <c r="AN163" s="20"/>
    </row>
    <row r="167" spans="2:40" x14ac:dyDescent="0.2">
      <c r="C167" s="427" t="s">
        <v>512</v>
      </c>
      <c r="D167" s="427"/>
      <c r="E167" s="427"/>
      <c r="F167" s="427"/>
      <c r="G167" s="427"/>
      <c r="H167" s="427"/>
      <c r="I167" s="427"/>
      <c r="J167" s="427"/>
      <c r="K167" s="42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"/>
      <c r="V167" s="20"/>
    </row>
    <row r="170" spans="2:40" x14ac:dyDescent="0.2">
      <c r="B170" s="173" t="s">
        <v>333</v>
      </c>
      <c r="C170" s="214" cm="1">
        <f t="array" ref="C170:C205">TRANSPOSE(C162:AL162)</f>
        <v>-841.69623437072971</v>
      </c>
      <c r="E170" s="214" cm="1">
        <f t="array" ref="E170:E205">TRANSPOSE(C139:AL139)</f>
        <v>0</v>
      </c>
      <c r="G170" s="214">
        <f t="shared" ref="G170:G196" si="18">BG83</f>
        <v>-841.69623437072971</v>
      </c>
      <c r="I170" s="214" cm="1">
        <f t="array" ref="I170:I205">BN83:BN118</f>
        <v>0</v>
      </c>
      <c r="K170" s="257">
        <f>C170+E170-G170-I170</f>
        <v>0</v>
      </c>
    </row>
    <row r="171" spans="2:40" x14ac:dyDescent="0.2">
      <c r="B171" s="173" t="s">
        <v>335</v>
      </c>
      <c r="C171" s="214">
        <v>-1202.01</v>
      </c>
      <c r="E171" s="214">
        <v>0</v>
      </c>
      <c r="G171" s="214">
        <f t="shared" si="18"/>
        <v>-1202.01</v>
      </c>
      <c r="I171" s="214">
        <v>0</v>
      </c>
      <c r="K171" s="257">
        <f t="shared" ref="K171:K205" si="19">C171+E171-G171-I171</f>
        <v>0</v>
      </c>
    </row>
    <row r="172" spans="2:40" x14ac:dyDescent="0.2">
      <c r="B172" s="173" t="s">
        <v>336</v>
      </c>
      <c r="C172" s="214">
        <v>23054812.906863328</v>
      </c>
      <c r="E172" s="214">
        <v>0</v>
      </c>
      <c r="G172" s="214">
        <f t="shared" si="18"/>
        <v>23054812.906863328</v>
      </c>
      <c r="I172" s="214">
        <v>0</v>
      </c>
      <c r="K172" s="257">
        <f t="shared" si="19"/>
        <v>0</v>
      </c>
    </row>
    <row r="173" spans="2:40" x14ac:dyDescent="0.2">
      <c r="B173" s="173" t="s">
        <v>355</v>
      </c>
      <c r="C173" s="214">
        <v>0</v>
      </c>
      <c r="E173" s="214">
        <v>0</v>
      </c>
      <c r="G173" s="214">
        <f t="shared" si="18"/>
        <v>0</v>
      </c>
      <c r="I173" s="214">
        <v>0</v>
      </c>
      <c r="K173" s="257">
        <f t="shared" si="19"/>
        <v>0</v>
      </c>
    </row>
    <row r="174" spans="2:40" x14ac:dyDescent="0.2">
      <c r="B174" s="173" t="s">
        <v>377</v>
      </c>
      <c r="C174" s="214">
        <v>-74.599999999999994</v>
      </c>
      <c r="E174" s="214">
        <v>0</v>
      </c>
      <c r="G174" s="214">
        <f t="shared" si="18"/>
        <v>-223.79999999999998</v>
      </c>
      <c r="I174" s="214">
        <v>0</v>
      </c>
      <c r="K174" s="257" t="s">
        <v>518</v>
      </c>
    </row>
    <row r="175" spans="2:40" x14ac:dyDescent="0.2">
      <c r="B175" s="173" t="s">
        <v>407</v>
      </c>
      <c r="C175" s="214">
        <v>7127.6028120000001</v>
      </c>
      <c r="E175" s="214">
        <v>0</v>
      </c>
      <c r="G175" s="214">
        <f t="shared" si="18"/>
        <v>21382.808435999999</v>
      </c>
      <c r="I175" s="214">
        <v>0</v>
      </c>
      <c r="K175" s="257" t="s">
        <v>518</v>
      </c>
    </row>
    <row r="176" spans="2:40" x14ac:dyDescent="0.2">
      <c r="B176" s="173" t="s">
        <v>408</v>
      </c>
      <c r="C176" s="214">
        <v>-250.1</v>
      </c>
      <c r="E176" s="214">
        <v>0</v>
      </c>
      <c r="G176" s="214">
        <f t="shared" si="18"/>
        <v>-250.1</v>
      </c>
      <c r="I176" s="214">
        <v>0</v>
      </c>
      <c r="K176" s="257">
        <f t="shared" si="19"/>
        <v>0</v>
      </c>
    </row>
    <row r="177" spans="2:18" x14ac:dyDescent="0.2">
      <c r="B177" s="173" t="s">
        <v>411</v>
      </c>
      <c r="C177" s="214">
        <v>5540.6175999999996</v>
      </c>
      <c r="E177" s="214">
        <v>0</v>
      </c>
      <c r="G177" s="214">
        <f t="shared" si="18"/>
        <v>5540.6175999999996</v>
      </c>
      <c r="I177" s="214">
        <v>0</v>
      </c>
      <c r="K177" s="257">
        <f t="shared" si="19"/>
        <v>0</v>
      </c>
    </row>
    <row r="178" spans="2:18" x14ac:dyDescent="0.2">
      <c r="B178" s="173" t="s">
        <v>459</v>
      </c>
      <c r="C178" s="214">
        <v>0</v>
      </c>
      <c r="E178" s="214">
        <v>0</v>
      </c>
      <c r="G178" s="214">
        <f t="shared" si="18"/>
        <v>0</v>
      </c>
      <c r="I178" s="214">
        <v>0</v>
      </c>
      <c r="K178" s="257">
        <f t="shared" si="19"/>
        <v>0</v>
      </c>
    </row>
    <row r="179" spans="2:18" ht="16" x14ac:dyDescent="0.2">
      <c r="B179" s="174" t="s">
        <v>442</v>
      </c>
      <c r="C179" s="214">
        <v>0</v>
      </c>
      <c r="E179" s="214">
        <v>-841.69623437072971</v>
      </c>
      <c r="G179" s="214">
        <f t="shared" si="18"/>
        <v>-841.69623437072971</v>
      </c>
      <c r="I179" s="214">
        <v>0</v>
      </c>
      <c r="K179" s="257">
        <f t="shared" si="19"/>
        <v>0</v>
      </c>
    </row>
    <row r="180" spans="2:18" x14ac:dyDescent="0.2">
      <c r="B180" s="173" t="s">
        <v>409</v>
      </c>
      <c r="C180" s="214">
        <v>0</v>
      </c>
      <c r="E180" s="214">
        <v>-99.008821849873215</v>
      </c>
      <c r="G180" s="214">
        <f t="shared" si="18"/>
        <v>0</v>
      </c>
      <c r="I180" s="214">
        <v>-99.008821849873215</v>
      </c>
      <c r="K180" s="257">
        <f t="shared" si="19"/>
        <v>0</v>
      </c>
    </row>
    <row r="181" spans="2:18" ht="16" x14ac:dyDescent="0.2">
      <c r="B181" s="174" t="s">
        <v>412</v>
      </c>
      <c r="C181" s="214">
        <v>0</v>
      </c>
      <c r="E181" s="214">
        <v>-1202.01</v>
      </c>
      <c r="G181" s="214">
        <f t="shared" si="18"/>
        <v>-1202.01</v>
      </c>
      <c r="I181" s="214">
        <v>0</v>
      </c>
      <c r="K181" s="257">
        <f t="shared" si="19"/>
        <v>0</v>
      </c>
    </row>
    <row r="182" spans="2:18" x14ac:dyDescent="0.2">
      <c r="B182" s="173" t="s">
        <v>437</v>
      </c>
      <c r="C182" s="214">
        <v>0</v>
      </c>
      <c r="E182" s="214">
        <v>-98.84370786785361</v>
      </c>
      <c r="G182" s="214">
        <f t="shared" si="18"/>
        <v>0</v>
      </c>
      <c r="I182" s="214">
        <v>-98.84370786785361</v>
      </c>
      <c r="K182" s="257">
        <f t="shared" si="19"/>
        <v>0</v>
      </c>
    </row>
    <row r="183" spans="2:18" x14ac:dyDescent="0.2">
      <c r="B183" s="175" t="s">
        <v>430</v>
      </c>
      <c r="C183" s="214">
        <v>0</v>
      </c>
      <c r="D183" s="221" t="s">
        <v>371</v>
      </c>
      <c r="E183" s="214">
        <v>23054812.906863328</v>
      </c>
      <c r="F183" s="142" t="s">
        <v>373</v>
      </c>
      <c r="G183" s="214">
        <f t="shared" si="18"/>
        <v>23054812.906863328</v>
      </c>
      <c r="H183" s="142" t="s">
        <v>373</v>
      </c>
      <c r="I183" s="214">
        <v>0</v>
      </c>
      <c r="J183" s="221" t="s">
        <v>374</v>
      </c>
      <c r="K183" s="257">
        <f t="shared" si="19"/>
        <v>0</v>
      </c>
      <c r="P183" s="176"/>
    </row>
    <row r="184" spans="2:18" x14ac:dyDescent="0.2">
      <c r="B184" s="173" t="s">
        <v>416</v>
      </c>
      <c r="C184" s="214">
        <v>0</v>
      </c>
      <c r="E184" s="214">
        <v>-99.008821849873215</v>
      </c>
      <c r="G184" s="214">
        <f t="shared" si="18"/>
        <v>0</v>
      </c>
      <c r="I184" s="214">
        <v>-99.008821849873215</v>
      </c>
      <c r="K184" s="257">
        <f t="shared" si="19"/>
        <v>0</v>
      </c>
    </row>
    <row r="185" spans="2:18" ht="16" x14ac:dyDescent="0.2">
      <c r="B185" s="174" t="s">
        <v>441</v>
      </c>
      <c r="C185" s="214">
        <v>0</v>
      </c>
      <c r="E185" s="214">
        <v>-841.69623437072971</v>
      </c>
      <c r="G185" s="214">
        <f t="shared" si="18"/>
        <v>-841.69623437072971</v>
      </c>
      <c r="I185" s="214">
        <v>0</v>
      </c>
      <c r="K185" s="257">
        <f t="shared" si="19"/>
        <v>0</v>
      </c>
    </row>
    <row r="186" spans="2:18" ht="16" x14ac:dyDescent="0.2">
      <c r="B186" s="174" t="s">
        <v>436</v>
      </c>
      <c r="C186" s="214">
        <v>0</v>
      </c>
      <c r="E186" s="214">
        <v>-1202.01</v>
      </c>
      <c r="G186" s="214">
        <f t="shared" si="18"/>
        <v>-1202.01</v>
      </c>
      <c r="I186" s="214">
        <v>0</v>
      </c>
      <c r="K186" s="257">
        <f t="shared" si="19"/>
        <v>0</v>
      </c>
    </row>
    <row r="187" spans="2:18" ht="16" x14ac:dyDescent="0.2">
      <c r="B187" s="174" t="s">
        <v>433</v>
      </c>
      <c r="C187" s="214">
        <v>0</v>
      </c>
      <c r="E187" s="214">
        <v>23054812.906863328</v>
      </c>
      <c r="G187" s="214">
        <f t="shared" si="18"/>
        <v>23054812.906863328</v>
      </c>
      <c r="I187" s="214">
        <v>0</v>
      </c>
      <c r="K187" s="257">
        <f t="shared" si="19"/>
        <v>0</v>
      </c>
    </row>
    <row r="188" spans="2:18" ht="16" x14ac:dyDescent="0.2">
      <c r="B188" s="174" t="s">
        <v>439</v>
      </c>
      <c r="C188" s="214">
        <v>0</v>
      </c>
      <c r="E188" s="214">
        <v>-834.48831000000007</v>
      </c>
      <c r="G188" s="214">
        <f t="shared" si="18"/>
        <v>-834.48831000000007</v>
      </c>
      <c r="I188" s="214">
        <v>0</v>
      </c>
      <c r="K188" s="257">
        <f t="shared" si="19"/>
        <v>0</v>
      </c>
    </row>
    <row r="189" spans="2:18" x14ac:dyDescent="0.2">
      <c r="B189" s="175" t="s">
        <v>438</v>
      </c>
      <c r="C189" s="214">
        <v>0</v>
      </c>
      <c r="E189" s="214">
        <v>-1454.2261001517452</v>
      </c>
      <c r="G189" s="214">
        <f t="shared" si="18"/>
        <v>0</v>
      </c>
      <c r="I189" s="214">
        <v>-1454.2261001517452</v>
      </c>
      <c r="K189" s="257">
        <f t="shared" si="19"/>
        <v>0</v>
      </c>
    </row>
    <row r="190" spans="2:18" x14ac:dyDescent="0.2">
      <c r="B190" s="175" t="s">
        <v>424</v>
      </c>
      <c r="C190" s="214">
        <v>0</v>
      </c>
      <c r="E190" s="214">
        <v>-1202.01</v>
      </c>
      <c r="G190" s="214">
        <f t="shared" si="18"/>
        <v>-1202.01</v>
      </c>
      <c r="I190" s="214">
        <v>0</v>
      </c>
      <c r="K190" s="257">
        <f t="shared" si="19"/>
        <v>0</v>
      </c>
      <c r="N190" s="20"/>
      <c r="P190" s="20"/>
      <c r="Q190" s="20"/>
      <c r="R190" s="20"/>
    </row>
    <row r="191" spans="2:18" x14ac:dyDescent="0.2">
      <c r="B191" s="175" t="s">
        <v>456</v>
      </c>
      <c r="C191" s="214">
        <v>0</v>
      </c>
      <c r="E191" s="214">
        <v>23054812.906863328</v>
      </c>
      <c r="G191" s="214">
        <f t="shared" si="18"/>
        <v>23054812.906863328</v>
      </c>
      <c r="I191" s="214">
        <v>0</v>
      </c>
      <c r="K191" s="257">
        <f t="shared" si="19"/>
        <v>0</v>
      </c>
      <c r="N191" s="20"/>
      <c r="P191" s="20"/>
      <c r="Q191" s="20"/>
      <c r="R191" s="20"/>
    </row>
    <row r="192" spans="2:18" x14ac:dyDescent="0.2">
      <c r="B192" s="175" t="s">
        <v>425</v>
      </c>
      <c r="C192" s="214">
        <v>0</v>
      </c>
      <c r="E192" s="214">
        <v>-634.9</v>
      </c>
      <c r="G192" s="214">
        <f t="shared" si="18"/>
        <v>-634.9</v>
      </c>
      <c r="I192" s="214">
        <v>0</v>
      </c>
      <c r="K192" s="257">
        <f t="shared" si="19"/>
        <v>0</v>
      </c>
      <c r="N192" s="20"/>
      <c r="P192" s="20"/>
      <c r="Q192" s="20"/>
      <c r="R192" s="20"/>
    </row>
    <row r="193" spans="2:19" x14ac:dyDescent="0.2">
      <c r="B193" s="175" t="s">
        <v>427</v>
      </c>
      <c r="C193" s="214">
        <v>0</v>
      </c>
      <c r="E193" s="214">
        <v>-601.6</v>
      </c>
      <c r="G193" s="214">
        <f t="shared" si="18"/>
        <v>0</v>
      </c>
      <c r="I193" s="214">
        <v>-601.6</v>
      </c>
      <c r="K193" s="257">
        <f t="shared" si="19"/>
        <v>0</v>
      </c>
      <c r="N193" s="20"/>
      <c r="P193" s="20"/>
      <c r="Q193" s="20"/>
      <c r="R193" s="20"/>
    </row>
    <row r="194" spans="2:19" x14ac:dyDescent="0.2">
      <c r="B194" s="175" t="s">
        <v>426</v>
      </c>
      <c r="C194" s="214">
        <v>0</v>
      </c>
      <c r="E194" s="214">
        <v>-125.87204049624027</v>
      </c>
      <c r="G194" s="214">
        <f t="shared" si="18"/>
        <v>0</v>
      </c>
      <c r="I194" s="214">
        <v>-125.87204049624027</v>
      </c>
      <c r="K194" s="257">
        <f t="shared" si="19"/>
        <v>0</v>
      </c>
      <c r="N194" s="20"/>
      <c r="P194" s="20"/>
      <c r="Q194" s="20"/>
      <c r="R194" s="20"/>
    </row>
    <row r="195" spans="2:19" x14ac:dyDescent="0.2">
      <c r="B195" s="175" t="s">
        <v>484</v>
      </c>
      <c r="C195" s="214">
        <v>0</v>
      </c>
      <c r="E195" s="214">
        <v>6546468.5968566798</v>
      </c>
      <c r="G195" s="214">
        <f t="shared" si="18"/>
        <v>6546468.5968566798</v>
      </c>
      <c r="I195" s="214">
        <v>0</v>
      </c>
      <c r="K195" s="257">
        <f t="shared" si="19"/>
        <v>0</v>
      </c>
    </row>
    <row r="196" spans="2:19" ht="16" x14ac:dyDescent="0.2">
      <c r="B196" s="215" t="s">
        <v>422</v>
      </c>
      <c r="C196" s="214">
        <v>0</v>
      </c>
      <c r="E196" s="214">
        <v>-37.006500000000003</v>
      </c>
      <c r="G196" s="214">
        <f t="shared" si="18"/>
        <v>-37.006500000000003</v>
      </c>
      <c r="I196" s="214">
        <v>0</v>
      </c>
      <c r="K196" s="257">
        <f t="shared" si="19"/>
        <v>0</v>
      </c>
    </row>
    <row r="197" spans="2:19" ht="16" x14ac:dyDescent="0.2">
      <c r="B197" s="215" t="s">
        <v>552</v>
      </c>
      <c r="C197" s="214">
        <v>0</v>
      </c>
      <c r="E197" s="214">
        <v>-221.69899000000004</v>
      </c>
      <c r="G197" s="214"/>
      <c r="I197" s="214">
        <v>-221.69899000000004</v>
      </c>
      <c r="K197" s="257">
        <f t="shared" si="19"/>
        <v>0</v>
      </c>
    </row>
    <row r="198" spans="2:19" x14ac:dyDescent="0.2">
      <c r="B198" s="175" t="s">
        <v>421</v>
      </c>
      <c r="C198" s="214">
        <v>0</v>
      </c>
      <c r="E198" s="214">
        <v>-1089.7720000000002</v>
      </c>
      <c r="G198" s="214">
        <f t="shared" ref="G198:G205" si="20">BG111</f>
        <v>0</v>
      </c>
      <c r="I198" s="214">
        <v>-1089.7720000000002</v>
      </c>
      <c r="K198" s="257">
        <f t="shared" si="19"/>
        <v>0</v>
      </c>
      <c r="L198" s="20"/>
    </row>
    <row r="199" spans="2:19" x14ac:dyDescent="0.2">
      <c r="B199" s="173" t="s">
        <v>423</v>
      </c>
      <c r="C199" s="214">
        <v>0</v>
      </c>
      <c r="E199" s="214">
        <v>-89.542108138870873</v>
      </c>
      <c r="G199" s="214">
        <f t="shared" si="20"/>
        <v>0</v>
      </c>
      <c r="I199" s="214">
        <v>-89.542108138870873</v>
      </c>
      <c r="K199" s="257">
        <f t="shared" si="19"/>
        <v>0</v>
      </c>
    </row>
    <row r="200" spans="2:19" x14ac:dyDescent="0.2">
      <c r="B200" s="175" t="s">
        <v>515</v>
      </c>
      <c r="C200" s="214">
        <v>0</v>
      </c>
      <c r="E200" s="214">
        <v>-23.917987170512152</v>
      </c>
      <c r="G200" s="214">
        <f t="shared" si="20"/>
        <v>-23.917987170512152</v>
      </c>
      <c r="I200" s="214">
        <v>0</v>
      </c>
      <c r="K200" s="257">
        <f t="shared" si="19"/>
        <v>0</v>
      </c>
    </row>
    <row r="201" spans="2:19" x14ac:dyDescent="0.2">
      <c r="B201" s="175" t="s">
        <v>517</v>
      </c>
      <c r="C201" s="214">
        <v>0</v>
      </c>
      <c r="E201" s="214">
        <v>-23.917987170512152</v>
      </c>
      <c r="G201" s="214">
        <f t="shared" si="20"/>
        <v>-23.917987170512156</v>
      </c>
      <c r="I201" s="214">
        <v>-23.917987170512156</v>
      </c>
      <c r="K201" s="257" t="s">
        <v>518</v>
      </c>
    </row>
    <row r="202" spans="2:19" x14ac:dyDescent="0.2">
      <c r="B202" s="175" t="s">
        <v>445</v>
      </c>
      <c r="C202" s="214">
        <v>0</v>
      </c>
      <c r="E202" s="214">
        <v>3963.8871338071585</v>
      </c>
      <c r="G202" s="214">
        <f t="shared" si="20"/>
        <v>3963.8871338071585</v>
      </c>
      <c r="I202" s="214">
        <v>0</v>
      </c>
      <c r="K202" s="257">
        <f t="shared" si="19"/>
        <v>0</v>
      </c>
      <c r="P202" s="207"/>
      <c r="Q202" s="207"/>
      <c r="R202" s="207"/>
      <c r="S202" s="207"/>
    </row>
    <row r="203" spans="2:19" x14ac:dyDescent="0.2">
      <c r="B203" s="175" t="s">
        <v>446</v>
      </c>
      <c r="C203" s="214">
        <v>0</v>
      </c>
      <c r="E203" s="214">
        <v>0</v>
      </c>
      <c r="G203" s="214">
        <f t="shared" si="20"/>
        <v>0</v>
      </c>
      <c r="I203" s="214">
        <v>0</v>
      </c>
      <c r="K203" s="257">
        <f t="shared" si="19"/>
        <v>0</v>
      </c>
    </row>
    <row r="204" spans="2:19" x14ac:dyDescent="0.2">
      <c r="B204" s="175" t="s">
        <v>447</v>
      </c>
      <c r="C204" s="214">
        <v>0</v>
      </c>
      <c r="E204" s="214">
        <v>-126.30390709179704</v>
      </c>
      <c r="G204" s="214">
        <f t="shared" si="20"/>
        <v>0</v>
      </c>
      <c r="I204" s="214">
        <v>-126.30390709179704</v>
      </c>
      <c r="K204" s="257">
        <f t="shared" si="19"/>
        <v>0</v>
      </c>
    </row>
    <row r="205" spans="2:19" x14ac:dyDescent="0.2">
      <c r="B205" s="175" t="s">
        <v>457</v>
      </c>
      <c r="C205" s="214">
        <v>0</v>
      </c>
      <c r="E205" s="214">
        <v>-89.61</v>
      </c>
      <c r="G205" s="214">
        <f t="shared" si="20"/>
        <v>0</v>
      </c>
      <c r="I205" s="214">
        <v>-89.61</v>
      </c>
      <c r="K205" s="257">
        <f t="shared" si="19"/>
        <v>0</v>
      </c>
    </row>
    <row r="206" spans="2:19" ht="17" x14ac:dyDescent="0.2">
      <c r="B206" s="175"/>
      <c r="C206" s="3" t="s">
        <v>370</v>
      </c>
      <c r="E206" s="3" t="s">
        <v>372</v>
      </c>
      <c r="G206" s="20" t="s">
        <v>369</v>
      </c>
      <c r="I206" s="20" t="s">
        <v>38</v>
      </c>
      <c r="K206" s="20">
        <f>SUM(K170:K205)</f>
        <v>0</v>
      </c>
    </row>
    <row r="207" spans="2:19" x14ac:dyDescent="0.2">
      <c r="B207" s="175"/>
      <c r="G207" s="20"/>
      <c r="I207" s="20"/>
    </row>
    <row r="208" spans="2:19" x14ac:dyDescent="0.2">
      <c r="B208" s="175"/>
    </row>
    <row r="209" spans="2:15" x14ac:dyDescent="0.2">
      <c r="D209" s="207"/>
      <c r="E209" s="207"/>
      <c r="L209" s="207"/>
      <c r="M209" s="207"/>
    </row>
    <row r="212" spans="2:15" x14ac:dyDescent="0.2">
      <c r="D212" s="207"/>
      <c r="E212" s="207"/>
    </row>
    <row r="213" spans="2:15" x14ac:dyDescent="0.2">
      <c r="B213" s="262" t="s">
        <v>325</v>
      </c>
      <c r="C213" s="263">
        <v>0</v>
      </c>
      <c r="N213" s="207"/>
      <c r="O213" s="207"/>
    </row>
    <row r="214" spans="2:15" x14ac:dyDescent="0.2">
      <c r="B214" s="262" t="s">
        <v>326</v>
      </c>
      <c r="C214" s="263">
        <v>0</v>
      </c>
    </row>
    <row r="215" spans="2:15" x14ac:dyDescent="0.2">
      <c r="B215" s="262" t="s">
        <v>327</v>
      </c>
      <c r="C215" s="263">
        <f>Ore_to_PI!AA195</f>
        <v>80616.370239891301</v>
      </c>
    </row>
    <row r="216" spans="2:15" x14ac:dyDescent="0.2">
      <c r="B216" s="262" t="s">
        <v>455</v>
      </c>
      <c r="C216" s="263">
        <f>Ore_to_PI!AS28</f>
        <v>609792.2517593482</v>
      </c>
      <c r="F216" s="207"/>
      <c r="G216" s="207"/>
      <c r="I216" s="207"/>
      <c r="J216" s="207"/>
      <c r="K216" s="207"/>
    </row>
    <row r="217" spans="2:15" x14ac:dyDescent="0.2">
      <c r="B217" s="262" t="s">
        <v>435</v>
      </c>
      <c r="C217" s="263">
        <f>Ore_to_PI!AS113</f>
        <v>2824.8856477449194</v>
      </c>
    </row>
    <row r="218" spans="2:15" x14ac:dyDescent="0.2">
      <c r="B218" s="262" t="s">
        <v>434</v>
      </c>
      <c r="C218" s="263">
        <f>Ore_to_PI!AS190</f>
        <v>282.1287710315147</v>
      </c>
    </row>
    <row r="219" spans="2:15" x14ac:dyDescent="0.2">
      <c r="B219" s="262" t="s">
        <v>351</v>
      </c>
      <c r="C219" s="263">
        <f>Ore_to_PI!BL35</f>
        <v>12479.249680000003</v>
      </c>
    </row>
    <row r="220" spans="2:15" x14ac:dyDescent="0.2">
      <c r="B220" s="262" t="s">
        <v>348</v>
      </c>
      <c r="C220" s="263">
        <f>Ore_to_PI!BK116</f>
        <v>34.678095164114971</v>
      </c>
    </row>
    <row r="221" spans="2:15" x14ac:dyDescent="0.2">
      <c r="B221" s="262" t="s">
        <v>362</v>
      </c>
      <c r="C221" s="263">
        <f>Ore_to_PI!BK195</f>
        <v>50.358084153937838</v>
      </c>
    </row>
    <row r="222" spans="2:15" x14ac:dyDescent="0.2">
      <c r="B222" s="262" t="s">
        <v>349</v>
      </c>
      <c r="C222" s="263">
        <v>0</v>
      </c>
    </row>
    <row r="223" spans="2:15" x14ac:dyDescent="0.2">
      <c r="B223" s="262" t="s">
        <v>344</v>
      </c>
      <c r="C223" s="263">
        <v>0</v>
      </c>
    </row>
    <row r="224" spans="2:15" x14ac:dyDescent="0.2">
      <c r="B224" s="173" t="s">
        <v>514</v>
      </c>
      <c r="C224" s="263">
        <f>Ore_to_PI!DB229</f>
        <v>33191.859393697465</v>
      </c>
    </row>
    <row r="225" spans="2:11" x14ac:dyDescent="0.2">
      <c r="B225" s="173" t="s">
        <v>516</v>
      </c>
      <c r="C225" s="263">
        <v>0</v>
      </c>
    </row>
    <row r="226" spans="2:11" x14ac:dyDescent="0.2">
      <c r="B226" s="173" t="s">
        <v>76</v>
      </c>
      <c r="C226" s="263">
        <v>0</v>
      </c>
    </row>
    <row r="227" spans="2:11" x14ac:dyDescent="0.2">
      <c r="B227" s="173" t="s">
        <v>337</v>
      </c>
      <c r="C227" s="265">
        <f>Ore_to_PI!ES117</f>
        <v>318930.1042317453</v>
      </c>
    </row>
    <row r="228" spans="2:11" x14ac:dyDescent="0.2">
      <c r="B228" s="175"/>
      <c r="C228" s="264" t="s">
        <v>196</v>
      </c>
    </row>
    <row r="233" spans="2:11" x14ac:dyDescent="0.2">
      <c r="H233" s="142"/>
      <c r="I233" s="142"/>
      <c r="J233" s="142"/>
      <c r="K233" s="14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7:BP138"/>
  <sheetViews>
    <sheetView topLeftCell="A83" workbookViewId="0">
      <selection activeCell="F95" sqref="F95:AO95"/>
    </sheetView>
  </sheetViews>
  <sheetFormatPr baseColWidth="10" defaultColWidth="11.5" defaultRowHeight="15" x14ac:dyDescent="0.2"/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v>0.47896953999999997</v>
      </c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90"/>
      <c r="BI18" s="291">
        <f>SUM(AT18:BH18)</f>
        <v>0.47896953999999997</v>
      </c>
      <c r="BJ18" s="108"/>
      <c r="BK18" s="108"/>
      <c r="BL18" s="262"/>
      <c r="BM18" s="262" t="s">
        <v>333</v>
      </c>
      <c r="BN18" s="292"/>
      <c r="BO18" s="292"/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/>
      <c r="AU19" s="289">
        <v>0.18440139999999999</v>
      </c>
      <c r="AV19" s="289"/>
      <c r="AW19" s="289"/>
      <c r="AX19" s="289"/>
      <c r="AY19" s="289"/>
      <c r="AZ19" s="289"/>
      <c r="BA19" s="289"/>
      <c r="BB19" s="289"/>
      <c r="BC19" s="289"/>
      <c r="BD19" s="289"/>
      <c r="BE19" s="289"/>
      <c r="BF19" s="289"/>
      <c r="BG19" s="289"/>
      <c r="BH19" s="290"/>
      <c r="BI19" s="291">
        <f t="shared" ref="BI19:BI53" si="0">SUM(AT19:BH19)</f>
        <v>0.18440139999999999</v>
      </c>
      <c r="BJ19" s="108"/>
      <c r="BK19" s="108"/>
      <c r="BL19" s="262"/>
      <c r="BM19" s="262" t="s">
        <v>335</v>
      </c>
      <c r="BN19" s="292"/>
      <c r="BO19" s="292"/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/>
      <c r="AU20" s="289"/>
      <c r="AV20" s="289">
        <f>Ore_to_PI!AG218</f>
        <v>754.33705407660659</v>
      </c>
      <c r="AW20" s="289"/>
      <c r="AX20" s="289"/>
      <c r="AY20" s="289"/>
      <c r="AZ20" s="289"/>
      <c r="BA20" s="289"/>
      <c r="BB20" s="289"/>
      <c r="BC20" s="289"/>
      <c r="BD20" s="289"/>
      <c r="BE20" s="289"/>
      <c r="BF20" s="289"/>
      <c r="BG20" s="289"/>
      <c r="BH20" s="290"/>
      <c r="BI20" s="291">
        <f t="shared" si="0"/>
        <v>754.33705407660659</v>
      </c>
      <c r="BJ20" s="108"/>
      <c r="BK20" s="108"/>
      <c r="BL20" s="262"/>
      <c r="BM20" s="262" t="s">
        <v>336</v>
      </c>
      <c r="BN20" s="292"/>
      <c r="BO20" s="292"/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v>6.0012280000000001E-2</v>
      </c>
      <c r="AU21" s="289">
        <v>6.0012280000000001E-2</v>
      </c>
      <c r="AV21" s="289">
        <v>6.0012280000000001E-2</v>
      </c>
      <c r="AW21" s="289"/>
      <c r="AX21" s="289"/>
      <c r="AY21" s="289"/>
      <c r="AZ21" s="289"/>
      <c r="BA21" s="289"/>
      <c r="BB21" s="289"/>
      <c r="BC21" s="289">
        <v>6.0012280000000001E-2</v>
      </c>
      <c r="BD21" s="289">
        <f>Ore_to_PI!BS238</f>
        <v>6.0012280000000001E-2</v>
      </c>
      <c r="BE21" s="289"/>
      <c r="BF21" s="289"/>
      <c r="BG21" s="289"/>
      <c r="BH21" s="289">
        <v>6.0012280000000001E-2</v>
      </c>
      <c r="BI21" s="291">
        <f t="shared" si="0"/>
        <v>0.36007368000000006</v>
      </c>
      <c r="BJ21" s="108"/>
      <c r="BK21" s="108"/>
      <c r="BL21" s="262"/>
      <c r="BM21" s="262" t="s">
        <v>355</v>
      </c>
      <c r="BN21" s="292"/>
      <c r="BO21" s="292"/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/>
      <c r="AU22" s="289"/>
      <c r="AV22" s="289"/>
      <c r="AW22" s="289"/>
      <c r="AX22" s="289"/>
      <c r="AY22" s="289"/>
      <c r="AZ22" s="289"/>
      <c r="BA22" s="289"/>
      <c r="BB22" s="289"/>
      <c r="BC22" s="289">
        <v>1.604276E-2</v>
      </c>
      <c r="BD22" s="289">
        <v>1.604276E-2</v>
      </c>
      <c r="BE22" s="289"/>
      <c r="BF22" s="289"/>
      <c r="BG22" s="289"/>
      <c r="BH22" s="289">
        <v>1.604276E-2</v>
      </c>
      <c r="BI22" s="291">
        <f t="shared" si="0"/>
        <v>4.8128279999999996E-2</v>
      </c>
      <c r="BJ22" s="108"/>
      <c r="BK22" s="108"/>
      <c r="BL22" s="262"/>
      <c r="BM22" s="262" t="s">
        <v>377</v>
      </c>
      <c r="BN22" s="292"/>
      <c r="BO22" s="292"/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v>0.16731462</v>
      </c>
      <c r="AU23" s="289">
        <v>0.16731462</v>
      </c>
      <c r="AV23" s="289">
        <v>0.16731462</v>
      </c>
      <c r="AW23" s="289"/>
      <c r="AX23" s="289"/>
      <c r="AY23" s="289"/>
      <c r="AZ23" s="289"/>
      <c r="BA23" s="289"/>
      <c r="BB23" s="289"/>
      <c r="BC23" s="289"/>
      <c r="BD23" s="289"/>
      <c r="BE23" s="289"/>
      <c r="BF23" s="289"/>
      <c r="BG23" s="289"/>
      <c r="BH23" s="290"/>
      <c r="BI23" s="291">
        <f t="shared" si="0"/>
        <v>0.50194386000000002</v>
      </c>
      <c r="BJ23" s="108"/>
      <c r="BK23" s="108"/>
      <c r="BL23" s="262"/>
      <c r="BM23" s="262" t="s">
        <v>466</v>
      </c>
      <c r="BN23" s="292"/>
      <c r="BO23" s="292"/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/>
      <c r="AU24" s="289">
        <v>0.11423092</v>
      </c>
      <c r="AV24" s="289"/>
      <c r="AW24" s="289"/>
      <c r="AX24" s="289"/>
      <c r="AY24" s="289"/>
      <c r="AZ24" s="289"/>
      <c r="BA24" s="289"/>
      <c r="BB24" s="289"/>
      <c r="BC24" s="289"/>
      <c r="BD24" s="289"/>
      <c r="BE24" s="289"/>
      <c r="BF24" s="289"/>
      <c r="BG24" s="289"/>
      <c r="BH24" s="290"/>
      <c r="BI24" s="291">
        <f t="shared" si="0"/>
        <v>0.11423092</v>
      </c>
      <c r="BJ24" s="108"/>
      <c r="BK24" s="108"/>
      <c r="BL24" s="262"/>
      <c r="BM24" s="262" t="s">
        <v>467</v>
      </c>
      <c r="BN24" s="292"/>
      <c r="BO24" s="292"/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/>
      <c r="AU25" s="289"/>
      <c r="AV25" s="289"/>
      <c r="AW25" s="289"/>
      <c r="AX25" s="289"/>
      <c r="AY25" s="289"/>
      <c r="AZ25" s="289"/>
      <c r="BA25" s="289"/>
      <c r="BB25" s="289"/>
      <c r="BC25" s="289"/>
      <c r="BD25" s="289"/>
      <c r="BE25" s="289"/>
      <c r="BF25" s="289"/>
      <c r="BG25" s="289"/>
      <c r="BH25" s="290">
        <v>0.1402688</v>
      </c>
      <c r="BI25" s="291">
        <f t="shared" si="0"/>
        <v>0.1402688</v>
      </c>
      <c r="BJ25" s="108"/>
      <c r="BK25" s="108"/>
      <c r="BL25" s="262"/>
      <c r="BM25" s="262" t="s">
        <v>411</v>
      </c>
      <c r="BN25" s="292"/>
      <c r="BO25" s="292"/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/>
      <c r="AU26" s="289"/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/>
      <c r="BD26" s="289"/>
      <c r="BE26" s="289">
        <v>0</v>
      </c>
      <c r="BF26" s="289"/>
      <c r="BG26" s="289"/>
      <c r="BH26" s="290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/>
      <c r="BO26" s="292"/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/>
      <c r="AU27" s="289"/>
      <c r="AV27" s="289"/>
      <c r="AW27" s="289">
        <v>0.47896953999999997</v>
      </c>
      <c r="AX27" s="289"/>
      <c r="AY27" s="289"/>
      <c r="AZ27" s="289"/>
      <c r="BA27" s="289"/>
      <c r="BB27" s="289"/>
      <c r="BC27" s="289"/>
      <c r="BD27" s="289"/>
      <c r="BE27" s="289"/>
      <c r="BF27" s="289"/>
      <c r="BG27" s="289"/>
      <c r="BH27" s="290"/>
      <c r="BI27" s="291">
        <f t="shared" si="0"/>
        <v>0.47896953999999997</v>
      </c>
      <c r="BJ27" s="108"/>
      <c r="BK27" s="108"/>
      <c r="BL27" s="294"/>
      <c r="BM27" s="262" t="s">
        <v>442</v>
      </c>
      <c r="BN27" s="292"/>
      <c r="BO27" s="292"/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90"/>
      <c r="BI28" s="291">
        <f t="shared" si="0"/>
        <v>0</v>
      </c>
      <c r="BJ28" s="108"/>
      <c r="BK28" s="108"/>
      <c r="BL28" s="262"/>
      <c r="BM28" s="262" t="s">
        <v>409</v>
      </c>
      <c r="BN28" s="292"/>
      <c r="BO28" s="292">
        <v>9.0038560000000004E-2</v>
      </c>
      <c r="BP28" s="265">
        <f t="shared" si="1"/>
        <v>9.0038560000000004E-2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/>
      <c r="AU29" s="289"/>
      <c r="AV29" s="289"/>
      <c r="AW29" s="289"/>
      <c r="AX29" s="289">
        <v>0.18440139999999999</v>
      </c>
      <c r="AY29" s="289"/>
      <c r="AZ29" s="289"/>
      <c r="BA29" s="289"/>
      <c r="BB29" s="289"/>
      <c r="BC29" s="289"/>
      <c r="BD29" s="289"/>
      <c r="BE29" s="289"/>
      <c r="BF29" s="289"/>
      <c r="BG29" s="289"/>
      <c r="BH29" s="290"/>
      <c r="BI29" s="291">
        <f t="shared" si="0"/>
        <v>0.18440139999999999</v>
      </c>
      <c r="BJ29" s="108"/>
      <c r="BK29" s="108"/>
      <c r="BL29" s="294"/>
      <c r="BM29" s="262" t="s">
        <v>412</v>
      </c>
      <c r="BN29" s="295"/>
      <c r="BO29" s="292"/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/>
      <c r="AU30" s="289"/>
      <c r="AV30" s="289"/>
      <c r="AW30" s="289"/>
      <c r="AX30" s="289"/>
      <c r="AY30" s="289"/>
      <c r="AZ30" s="289"/>
      <c r="BA30" s="289"/>
      <c r="BB30" s="289"/>
      <c r="BC30" s="289"/>
      <c r="BD30" s="289"/>
      <c r="BE30" s="289"/>
      <c r="BF30" s="289"/>
      <c r="BG30" s="296"/>
      <c r="BH30" s="290"/>
      <c r="BI30" s="291">
        <f t="shared" si="0"/>
        <v>0</v>
      </c>
      <c r="BJ30" s="108"/>
      <c r="BK30" s="108"/>
      <c r="BL30" s="262"/>
      <c r="BM30" s="262" t="s">
        <v>437</v>
      </c>
      <c r="BN30" s="292"/>
      <c r="BO30" s="292">
        <v>9.0038560000000004E-2</v>
      </c>
      <c r="BP30" s="265">
        <f t="shared" si="1"/>
        <v>9.0038560000000004E-2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/>
      <c r="AU31" s="289"/>
      <c r="AV31" s="289"/>
      <c r="AW31" s="289"/>
      <c r="AX31" s="289"/>
      <c r="AY31" s="289">
        <v>754.33705407660659</v>
      </c>
      <c r="AZ31" s="289"/>
      <c r="BA31" s="289"/>
      <c r="BB31" s="289"/>
      <c r="BC31" s="289"/>
      <c r="BD31" s="289"/>
      <c r="BE31" s="289"/>
      <c r="BF31" s="289"/>
      <c r="BG31" s="289"/>
      <c r="BH31" s="297"/>
      <c r="BI31" s="291">
        <f t="shared" si="0"/>
        <v>754.33705407660659</v>
      </c>
      <c r="BJ31" s="108"/>
      <c r="BK31" s="108"/>
      <c r="BL31" s="175"/>
      <c r="BM31" s="262" t="s">
        <v>430</v>
      </c>
      <c r="BN31" s="292"/>
      <c r="BO31" s="292"/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90"/>
      <c r="BI32" s="291">
        <f t="shared" si="0"/>
        <v>0</v>
      </c>
      <c r="BJ32" s="108"/>
      <c r="BK32" s="108"/>
      <c r="BL32" s="262"/>
      <c r="BM32" s="262" t="s">
        <v>416</v>
      </c>
      <c r="BN32" s="292"/>
      <c r="BO32" s="292">
        <v>9.0038560000000004E-2</v>
      </c>
      <c r="BP32" s="265">
        <f t="shared" si="1"/>
        <v>9.0038560000000004E-2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/>
      <c r="AU33" s="289"/>
      <c r="AV33" s="289"/>
      <c r="AW33" s="289"/>
      <c r="AX33" s="289"/>
      <c r="AY33" s="289"/>
      <c r="AZ33" s="289">
        <v>0.47896953999999997</v>
      </c>
      <c r="BA33" s="289"/>
      <c r="BB33" s="289"/>
      <c r="BC33" s="289"/>
      <c r="BD33" s="289"/>
      <c r="BE33" s="289"/>
      <c r="BF33" s="289"/>
      <c r="BG33" s="289"/>
      <c r="BH33" s="290"/>
      <c r="BI33" s="291">
        <f t="shared" si="0"/>
        <v>0.47896953999999997</v>
      </c>
      <c r="BJ33" s="108"/>
      <c r="BK33" s="108"/>
      <c r="BL33" s="294"/>
      <c r="BM33" s="262" t="s">
        <v>441</v>
      </c>
      <c r="BN33" s="292"/>
      <c r="BO33" s="292"/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/>
      <c r="AU34" s="289"/>
      <c r="AV34" s="289"/>
      <c r="AW34" s="289"/>
      <c r="AX34" s="289"/>
      <c r="AY34" s="289"/>
      <c r="AZ34" s="289"/>
      <c r="BA34" s="289">
        <v>0.18440139999999999</v>
      </c>
      <c r="BB34" s="289"/>
      <c r="BC34" s="289"/>
      <c r="BD34" s="289"/>
      <c r="BE34" s="289"/>
      <c r="BF34" s="289"/>
      <c r="BG34" s="289"/>
      <c r="BH34" s="290"/>
      <c r="BI34" s="291">
        <f t="shared" si="0"/>
        <v>0.18440139999999999</v>
      </c>
      <c r="BJ34" s="108"/>
      <c r="BK34" s="108"/>
      <c r="BL34" s="294"/>
      <c r="BM34" s="262" t="s">
        <v>436</v>
      </c>
      <c r="BN34" s="292"/>
      <c r="BO34" s="292"/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/>
      <c r="AU35" s="289"/>
      <c r="AV35" s="289"/>
      <c r="AW35" s="289"/>
      <c r="AX35" s="289"/>
      <c r="AY35" s="289"/>
      <c r="AZ35" s="289"/>
      <c r="BA35" s="289"/>
      <c r="BB35" s="289">
        <v>754.33705407660659</v>
      </c>
      <c r="BC35" s="289"/>
      <c r="BD35" s="289"/>
      <c r="BE35" s="289"/>
      <c r="BF35" s="289"/>
      <c r="BG35" s="289"/>
      <c r="BH35" s="290"/>
      <c r="BI35" s="291">
        <f t="shared" si="0"/>
        <v>754.33705407660659</v>
      </c>
      <c r="BJ35" s="108"/>
      <c r="BK35" s="108"/>
      <c r="BL35" s="294"/>
      <c r="BM35" s="262" t="s">
        <v>433</v>
      </c>
      <c r="BN35" s="292"/>
      <c r="BO35" s="292"/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>
        <v>0.21977250000000001</v>
      </c>
      <c r="BH36" s="290"/>
      <c r="BI36" s="291">
        <f t="shared" si="0"/>
        <v>0.21977250000000001</v>
      </c>
      <c r="BJ36" s="108"/>
      <c r="BK36" s="108"/>
      <c r="BL36" s="294"/>
      <c r="BM36" s="262" t="s">
        <v>439</v>
      </c>
      <c r="BN36" s="292"/>
      <c r="BO36" s="292"/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97"/>
      <c r="BI37" s="291">
        <f t="shared" si="0"/>
        <v>0</v>
      </c>
      <c r="BJ37" s="298"/>
      <c r="BK37" s="108"/>
      <c r="BL37" s="175"/>
      <c r="BM37" s="262" t="s">
        <v>438</v>
      </c>
      <c r="BN37" s="292"/>
      <c r="BO37" s="292">
        <v>0.25919703999999999</v>
      </c>
      <c r="BP37" s="265">
        <f t="shared" si="1"/>
        <v>0.25919703999999999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/>
      <c r="AU38" s="289"/>
      <c r="AV38" s="289"/>
      <c r="AW38" s="289"/>
      <c r="AX38" s="289"/>
      <c r="AY38" s="289"/>
      <c r="AZ38" s="289"/>
      <c r="BA38" s="289"/>
      <c r="BB38" s="289"/>
      <c r="BC38" s="289">
        <v>0.18440139999999999</v>
      </c>
      <c r="BD38" s="289"/>
      <c r="BE38" s="289"/>
      <c r="BF38" s="289"/>
      <c r="BG38" s="289"/>
      <c r="BH38" s="290"/>
      <c r="BI38" s="291">
        <f t="shared" si="0"/>
        <v>0.18440139999999999</v>
      </c>
      <c r="BJ38" s="108"/>
      <c r="BK38" s="108"/>
      <c r="BL38" s="175"/>
      <c r="BM38" s="262" t="s">
        <v>424</v>
      </c>
      <c r="BN38" s="292"/>
      <c r="BO38" s="292"/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>
        <f>Ore_to_PI!BS218</f>
        <v>754.33705407660659</v>
      </c>
      <c r="BE39" s="289"/>
      <c r="BF39" s="289"/>
      <c r="BG39" s="289"/>
      <c r="BH39" s="290"/>
      <c r="BI39" s="291">
        <f t="shared" si="0"/>
        <v>754.33705407660659</v>
      </c>
      <c r="BJ39" s="108"/>
      <c r="BK39" s="108"/>
      <c r="BL39" s="175"/>
      <c r="BM39" s="262" t="s">
        <v>456</v>
      </c>
      <c r="BN39" s="292"/>
      <c r="BO39" s="292"/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>
        <v>5.6077400000000006E-2</v>
      </c>
      <c r="BH40" s="290"/>
      <c r="BI40" s="291">
        <f t="shared" si="0"/>
        <v>5.6077400000000006E-2</v>
      </c>
      <c r="BJ40" s="108"/>
      <c r="BK40" s="108"/>
      <c r="BL40" s="175"/>
      <c r="BM40" s="262" t="s">
        <v>425</v>
      </c>
      <c r="BN40" s="292"/>
      <c r="BO40" s="292"/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97"/>
      <c r="BI41" s="291">
        <f t="shared" si="0"/>
        <v>0</v>
      </c>
      <c r="BJ41" s="108"/>
      <c r="BK41" s="108"/>
      <c r="BL41" s="175"/>
      <c r="BM41" s="262" t="s">
        <v>427</v>
      </c>
      <c r="BN41" s="292"/>
      <c r="BO41" s="292">
        <v>4.0304400000000004E-2</v>
      </c>
      <c r="BP41" s="265">
        <f t="shared" si="1"/>
        <v>4.0304400000000004E-2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90"/>
      <c r="BI42" s="291">
        <f t="shared" si="0"/>
        <v>0</v>
      </c>
      <c r="BJ42" s="108"/>
      <c r="BK42" s="108"/>
      <c r="BL42" s="175"/>
      <c r="BM42" s="262" t="s">
        <v>426</v>
      </c>
      <c r="BN42" s="292"/>
      <c r="BO42" s="292">
        <v>9.0038560000000004E-2</v>
      </c>
      <c r="BP42" s="265">
        <f t="shared" si="1"/>
        <v>9.0038560000000004E-2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>
        <v>217.63525920401193</v>
      </c>
      <c r="BH43" s="290"/>
      <c r="BI43" s="291">
        <f t="shared" si="0"/>
        <v>217.63525920401193</v>
      </c>
      <c r="BJ43" s="108"/>
      <c r="BK43" s="108"/>
      <c r="BL43" s="175"/>
      <c r="BM43" s="262" t="s">
        <v>484</v>
      </c>
      <c r="BN43" s="292"/>
      <c r="BO43" s="292"/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>
        <v>0.12416072</v>
      </c>
      <c r="BF44" s="289"/>
      <c r="BG44" s="289"/>
      <c r="BH44" s="290"/>
      <c r="BI44" s="291">
        <f t="shared" si="0"/>
        <v>0.12416072</v>
      </c>
      <c r="BJ44" s="108"/>
      <c r="BK44" s="108"/>
      <c r="BL44" s="215"/>
      <c r="BM44" s="262" t="s">
        <v>422</v>
      </c>
      <c r="BN44" s="292"/>
      <c r="BO44" s="292"/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90"/>
      <c r="BI45" s="291">
        <f t="shared" si="0"/>
        <v>0</v>
      </c>
      <c r="BJ45" s="108"/>
      <c r="BK45" s="108"/>
      <c r="BL45" s="175"/>
      <c r="BM45" s="262" t="s">
        <v>552</v>
      </c>
      <c r="BN45" s="292"/>
      <c r="BO45" s="292">
        <v>1.445899</v>
      </c>
      <c r="BP45" s="265">
        <f t="shared" si="1"/>
        <v>1.445899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90"/>
      <c r="BI46" s="291">
        <f t="shared" si="0"/>
        <v>0</v>
      </c>
      <c r="BJ46" s="108"/>
      <c r="BK46" s="108"/>
      <c r="BL46" s="262"/>
      <c r="BM46" s="262" t="s">
        <v>421</v>
      </c>
      <c r="BN46" s="292"/>
      <c r="BO46" s="292">
        <f>Ore_to_PI!CN229</f>
        <v>0.57429051399999997</v>
      </c>
      <c r="BP46" s="265">
        <f t="shared" si="1"/>
        <v>0.57429051399999997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90"/>
      <c r="BI47" s="291">
        <f t="shared" si="0"/>
        <v>0</v>
      </c>
      <c r="BJ47" s="108"/>
      <c r="BK47" s="108"/>
      <c r="BL47" s="175"/>
      <c r="BM47" s="262" t="s">
        <v>423</v>
      </c>
      <c r="BN47" s="292"/>
      <c r="BO47" s="292">
        <v>9.0038560000000004E-2</v>
      </c>
      <c r="BP47" s="265">
        <f t="shared" si="1"/>
        <v>9.0038560000000004E-2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>
        <v>8.4139320000000004E-2</v>
      </c>
      <c r="BG48" s="289"/>
      <c r="BH48" s="297"/>
      <c r="BI48" s="291">
        <f t="shared" si="0"/>
        <v>8.4139320000000004E-2</v>
      </c>
      <c r="BJ48" s="108"/>
      <c r="BK48" s="108"/>
      <c r="BL48" s="175"/>
      <c r="BM48" s="262" t="s">
        <v>515</v>
      </c>
      <c r="BN48" s="292"/>
      <c r="BO48" s="292"/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>
        <v>8.4139320000000004E-2</v>
      </c>
      <c r="BI49" s="291">
        <f t="shared" si="0"/>
        <v>8.4139320000000004E-2</v>
      </c>
      <c r="BJ49" s="108"/>
      <c r="BK49" s="108"/>
      <c r="BL49" s="175"/>
      <c r="BM49" s="262" t="s">
        <v>517</v>
      </c>
      <c r="BN49" s="292">
        <v>8.4139320000000004E-2</v>
      </c>
      <c r="BO49" s="292"/>
      <c r="BP49" s="265">
        <f t="shared" si="1"/>
        <v>8.4139320000000004E-2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96">
        <f>Ore_to_PI!ED134</f>
        <v>217.91110910401193</v>
      </c>
      <c r="BI50" s="291">
        <f t="shared" si="0"/>
        <v>217.91110910401193</v>
      </c>
      <c r="BJ50" s="108"/>
      <c r="BK50" s="108"/>
      <c r="BL50" s="175"/>
      <c r="BM50" s="262" t="s">
        <v>445</v>
      </c>
      <c r="BN50" s="292"/>
      <c r="BO50" s="292"/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90"/>
      <c r="AU51" s="290"/>
      <c r="AV51" s="290"/>
      <c r="AW51" s="290"/>
      <c r="AX51" s="290"/>
      <c r="AY51" s="290"/>
      <c r="AZ51" s="290"/>
      <c r="BA51" s="290"/>
      <c r="BB51" s="290"/>
      <c r="BC51" s="290"/>
      <c r="BD51" s="290"/>
      <c r="BE51" s="290"/>
      <c r="BF51" s="290"/>
      <c r="BG51" s="290"/>
      <c r="BH51" s="290"/>
      <c r="BI51" s="291">
        <f t="shared" si="0"/>
        <v>0</v>
      </c>
      <c r="BJ51" s="108"/>
      <c r="BK51" s="108"/>
      <c r="BL51" s="175"/>
      <c r="BM51" s="262" t="s">
        <v>446</v>
      </c>
      <c r="BN51" s="292">
        <v>5.5844999999999999E-2</v>
      </c>
      <c r="BO51" s="292"/>
      <c r="BP51" s="265">
        <f t="shared" si="1"/>
        <v>5.5844999999999999E-2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99"/>
      <c r="AU52" s="299"/>
      <c r="AV52" s="299"/>
      <c r="AW52" s="299"/>
      <c r="AX52" s="299"/>
      <c r="AY52" s="299"/>
      <c r="AZ52" s="299"/>
      <c r="BA52" s="299"/>
      <c r="BB52" s="299"/>
      <c r="BC52" s="299"/>
      <c r="BD52" s="299"/>
      <c r="BE52" s="299"/>
      <c r="BF52" s="299"/>
      <c r="BG52" s="299"/>
      <c r="BH52" s="300"/>
      <c r="BI52" s="291">
        <f t="shared" si="0"/>
        <v>0</v>
      </c>
      <c r="BJ52" s="108"/>
      <c r="BK52" s="108"/>
      <c r="BL52" s="108"/>
      <c r="BM52" s="301" t="s">
        <v>447</v>
      </c>
      <c r="BN52" s="302"/>
      <c r="BO52" s="206">
        <v>0.15410336000000002</v>
      </c>
      <c r="BP52" s="265">
        <f t="shared" si="1"/>
        <v>0.15410336000000002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303"/>
      <c r="AU53" s="303"/>
      <c r="AV53" s="303"/>
      <c r="AW53" s="303"/>
      <c r="AX53" s="303"/>
      <c r="AY53" s="303"/>
      <c r="AZ53" s="303"/>
      <c r="BA53" s="303"/>
      <c r="BB53" s="303"/>
      <c r="BC53" s="303"/>
      <c r="BD53" s="303"/>
      <c r="BE53" s="303"/>
      <c r="BF53" s="303"/>
      <c r="BG53" s="303"/>
      <c r="BH53" s="303"/>
      <c r="BI53" s="291">
        <f t="shared" si="0"/>
        <v>0</v>
      </c>
      <c r="BJ53" s="108"/>
      <c r="BK53" s="108"/>
      <c r="BL53" s="108"/>
      <c r="BM53" s="301" t="s">
        <v>457</v>
      </c>
      <c r="BN53" s="302"/>
      <c r="BO53" s="206">
        <v>0.11616169999999999</v>
      </c>
      <c r="BP53" s="265">
        <f t="shared" si="1"/>
        <v>0.11616169999999999</v>
      </c>
    </row>
    <row r="54" spans="5:68" x14ac:dyDescent="0.2">
      <c r="E54" s="108"/>
      <c r="F54" s="430"/>
      <c r="G54" s="430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1" t="s">
        <v>328</v>
      </c>
      <c r="AU54" s="432"/>
      <c r="AV54" s="432"/>
      <c r="AW54" s="432"/>
      <c r="AX54" s="432"/>
      <c r="AY54" s="432"/>
      <c r="AZ54" s="432"/>
      <c r="BA54" s="432"/>
      <c r="BB54" s="432"/>
      <c r="BC54" s="432"/>
      <c r="BD54" s="432"/>
      <c r="BE54" s="432"/>
      <c r="BF54" s="432"/>
      <c r="BG54" s="432"/>
      <c r="BH54" s="432"/>
      <c r="BI54" s="305" t="s">
        <v>369</v>
      </c>
      <c r="BJ54" s="108"/>
      <c r="BK54" s="108"/>
      <c r="BL54" s="108"/>
      <c r="BM54" s="298"/>
      <c r="BN54" s="429" t="s">
        <v>330</v>
      </c>
      <c r="BO54" s="429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0.70629643999999991</v>
      </c>
      <c r="AU55" s="306">
        <f t="shared" ref="AU55:BH55" si="2">SUM(AU18:AU53)</f>
        <v>0.52595921999999995</v>
      </c>
      <c r="AV55" s="306">
        <f t="shared" si="2"/>
        <v>754.56438097660657</v>
      </c>
      <c r="AW55" s="306">
        <f t="shared" si="2"/>
        <v>0.47896953999999997</v>
      </c>
      <c r="AX55" s="306">
        <f t="shared" si="2"/>
        <v>0.18440139999999999</v>
      </c>
      <c r="AY55" s="306">
        <f t="shared" si="2"/>
        <v>754.33705407660659</v>
      </c>
      <c r="AZ55" s="306">
        <f t="shared" si="2"/>
        <v>0.47896953999999997</v>
      </c>
      <c r="BA55" s="306">
        <f t="shared" si="2"/>
        <v>0.18440139999999999</v>
      </c>
      <c r="BB55" s="306">
        <f t="shared" si="2"/>
        <v>754.33705407660659</v>
      </c>
      <c r="BC55" s="306">
        <f t="shared" si="2"/>
        <v>0.26045644000000001</v>
      </c>
      <c r="BD55" s="306">
        <f t="shared" si="2"/>
        <v>754.41310911660662</v>
      </c>
      <c r="BE55" s="306">
        <f t="shared" si="2"/>
        <v>0.12416072</v>
      </c>
      <c r="BF55" s="306">
        <f t="shared" si="2"/>
        <v>8.4139320000000004E-2</v>
      </c>
      <c r="BG55" s="306">
        <f t="shared" si="2"/>
        <v>217.91110910401193</v>
      </c>
      <c r="BH55" s="306">
        <f t="shared" si="2"/>
        <v>218.21157226401192</v>
      </c>
      <c r="BJ55" s="108"/>
      <c r="BK55" s="108"/>
      <c r="BL55" s="108"/>
      <c r="BM55" s="108"/>
      <c r="BN55" s="298"/>
      <c r="BO55" s="108"/>
    </row>
    <row r="56" spans="5:68" ht="236" x14ac:dyDescent="0.2">
      <c r="E56" s="255"/>
      <c r="F56" s="176" t="s">
        <v>333</v>
      </c>
      <c r="G56" s="176" t="s">
        <v>335</v>
      </c>
      <c r="H56" s="176" t="s">
        <v>336</v>
      </c>
      <c r="I56" s="176" t="s">
        <v>355</v>
      </c>
      <c r="J56" s="176" t="s">
        <v>377</v>
      </c>
      <c r="K56" s="176" t="s">
        <v>466</v>
      </c>
      <c r="L56" s="176" t="s">
        <v>467</v>
      </c>
      <c r="M56" s="176" t="s">
        <v>411</v>
      </c>
      <c r="N56" s="176" t="s">
        <v>459</v>
      </c>
      <c r="O56" s="307" t="s">
        <v>442</v>
      </c>
      <c r="P56" s="308" t="s">
        <v>409</v>
      </c>
      <c r="Q56" s="307" t="s">
        <v>412</v>
      </c>
      <c r="R56" s="308" t="s">
        <v>437</v>
      </c>
      <c r="S56" s="178" t="s">
        <v>430</v>
      </c>
      <c r="T56" s="308" t="s">
        <v>416</v>
      </c>
      <c r="U56" s="307" t="s">
        <v>441</v>
      </c>
      <c r="V56" s="307" t="s">
        <v>436</v>
      </c>
      <c r="W56" s="307" t="s">
        <v>433</v>
      </c>
      <c r="X56" s="307" t="s">
        <v>439</v>
      </c>
      <c r="Y56" s="178" t="s">
        <v>438</v>
      </c>
      <c r="Z56" s="178" t="s">
        <v>424</v>
      </c>
      <c r="AA56" s="178" t="s">
        <v>456</v>
      </c>
      <c r="AB56" s="178" t="s">
        <v>425</v>
      </c>
      <c r="AC56" s="178" t="s">
        <v>427</v>
      </c>
      <c r="AD56" s="178" t="s">
        <v>426</v>
      </c>
      <c r="AE56" s="178" t="s">
        <v>484</v>
      </c>
      <c r="AF56" s="196" t="s">
        <v>422</v>
      </c>
      <c r="AG56" s="196" t="s">
        <v>552</v>
      </c>
      <c r="AH56" s="178" t="s">
        <v>421</v>
      </c>
      <c r="AI56" s="308" t="s">
        <v>423</v>
      </c>
      <c r="AJ56" s="178" t="s">
        <v>515</v>
      </c>
      <c r="AK56" s="178" t="s">
        <v>517</v>
      </c>
      <c r="AL56" s="178" t="s">
        <v>445</v>
      </c>
      <c r="AM56" s="178" t="s">
        <v>446</v>
      </c>
      <c r="AN56" s="178" t="s">
        <v>447</v>
      </c>
      <c r="AO56" s="178" t="s">
        <v>457</v>
      </c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</row>
    <row r="57" spans="5:68" x14ac:dyDescent="0.2">
      <c r="E57" s="262" t="s">
        <v>325</v>
      </c>
      <c r="F57" s="195"/>
      <c r="G57" s="195"/>
      <c r="H57" s="195"/>
      <c r="I57" s="195"/>
      <c r="J57" s="195"/>
      <c r="K57" s="195"/>
      <c r="L57" s="195"/>
      <c r="M57" s="195"/>
      <c r="N57" s="195"/>
      <c r="O57" s="289">
        <v>0.47896953999999997</v>
      </c>
      <c r="P57" s="289">
        <v>9.0038560000000004E-2</v>
      </c>
      <c r="Q57" s="289"/>
      <c r="R57" s="289"/>
      <c r="S57" s="289"/>
      <c r="T57" s="289"/>
      <c r="U57" s="289"/>
      <c r="V57" s="289"/>
      <c r="W57" s="289"/>
      <c r="X57" s="289"/>
      <c r="Y57" s="289"/>
      <c r="Z57" s="289"/>
      <c r="AA57" s="289"/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63">
        <f>SUM(F57:AO57)</f>
        <v>0.56900810000000002</v>
      </c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326</v>
      </c>
      <c r="F58" s="195"/>
      <c r="G58" s="195"/>
      <c r="H58" s="195"/>
      <c r="I58" s="195"/>
      <c r="J58" s="195"/>
      <c r="K58" s="195"/>
      <c r="L58" s="195"/>
      <c r="M58" s="195"/>
      <c r="N58" s="195"/>
      <c r="O58" s="289"/>
      <c r="P58" s="289"/>
      <c r="Q58" s="289">
        <v>0.18440139999999999</v>
      </c>
      <c r="R58" s="289">
        <v>9.0038560000000004E-2</v>
      </c>
      <c r="S58" s="289"/>
      <c r="T58" s="289"/>
      <c r="U58" s="289"/>
      <c r="V58" s="289"/>
      <c r="W58" s="289"/>
      <c r="X58" s="289"/>
      <c r="Y58" s="289"/>
      <c r="Z58" s="289"/>
      <c r="AA58" s="289"/>
      <c r="AB58" s="289"/>
      <c r="AC58" s="289"/>
      <c r="AD58" s="289"/>
      <c r="AE58" s="289"/>
      <c r="AF58" s="289"/>
      <c r="AG58" s="289"/>
      <c r="AH58" s="289"/>
      <c r="AI58" s="289"/>
      <c r="AJ58" s="289"/>
      <c r="AK58" s="289"/>
      <c r="AL58" s="289"/>
      <c r="AM58" s="289"/>
      <c r="AN58" s="289"/>
      <c r="AO58" s="289"/>
      <c r="AP58" s="263">
        <f t="shared" ref="AP58:AP71" si="3">SUM(F58:AO58)</f>
        <v>0.27443995999999998</v>
      </c>
      <c r="AQ58" s="108"/>
      <c r="AR58" s="108"/>
      <c r="AS58" s="108"/>
      <c r="AT58" s="298"/>
      <c r="AU58" s="298"/>
      <c r="AV58" s="298"/>
      <c r="AW58" s="298"/>
      <c r="AX58" s="298"/>
      <c r="AY58" s="298"/>
      <c r="AZ58" s="298"/>
      <c r="BA58" s="298"/>
      <c r="BB58" s="298"/>
      <c r="BC58" s="298"/>
      <c r="BD58" s="298"/>
      <c r="BE58" s="298"/>
      <c r="BF58" s="298"/>
      <c r="BG58" s="298"/>
      <c r="BH58" s="108"/>
      <c r="BI58" s="108"/>
      <c r="BJ58" s="108"/>
      <c r="BK58" s="108"/>
      <c r="BL58" s="108"/>
      <c r="BM58" s="298"/>
      <c r="BN58" s="298"/>
      <c r="BO58" s="108"/>
    </row>
    <row r="59" spans="5:68" x14ac:dyDescent="0.2">
      <c r="E59" s="262" t="s">
        <v>327</v>
      </c>
      <c r="F59" s="195"/>
      <c r="G59" s="195"/>
      <c r="H59" s="195"/>
      <c r="I59" s="195"/>
      <c r="J59" s="195"/>
      <c r="K59" s="195"/>
      <c r="L59" s="195"/>
      <c r="M59" s="195"/>
      <c r="N59" s="195"/>
      <c r="O59" s="289"/>
      <c r="P59" s="289"/>
      <c r="Q59" s="289"/>
      <c r="R59" s="289"/>
      <c r="S59" s="289">
        <v>754.33705407660659</v>
      </c>
      <c r="T59" s="289">
        <v>9.0038560000000004E-2</v>
      </c>
      <c r="U59" s="289"/>
      <c r="V59" s="289"/>
      <c r="W59" s="289"/>
      <c r="X59" s="289"/>
      <c r="Y59" s="289"/>
      <c r="Z59" s="289"/>
      <c r="AA59" s="289"/>
      <c r="AB59" s="289"/>
      <c r="AC59" s="289"/>
      <c r="AD59" s="289"/>
      <c r="AE59" s="289"/>
      <c r="AF59" s="289"/>
      <c r="AG59" s="289"/>
      <c r="AH59" s="289"/>
      <c r="AI59" s="289"/>
      <c r="AJ59" s="289"/>
      <c r="AK59" s="289"/>
      <c r="AL59" s="289"/>
      <c r="AM59" s="289"/>
      <c r="AN59" s="289"/>
      <c r="AO59" s="289"/>
      <c r="AP59" s="263">
        <f t="shared" si="3"/>
        <v>754.42709263660663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455</v>
      </c>
      <c r="F60" s="195"/>
      <c r="G60" s="195"/>
      <c r="H60" s="195"/>
      <c r="I60" s="195"/>
      <c r="J60" s="195"/>
      <c r="K60" s="195"/>
      <c r="L60" s="195"/>
      <c r="M60" s="195"/>
      <c r="N60" s="195"/>
      <c r="O60" s="289"/>
      <c r="P60" s="289"/>
      <c r="Q60" s="289"/>
      <c r="R60" s="289"/>
      <c r="S60" s="289"/>
      <c r="T60" s="289"/>
      <c r="U60" s="289">
        <v>0.47896953999999997</v>
      </c>
      <c r="V60" s="289"/>
      <c r="W60" s="289"/>
      <c r="X60" s="289"/>
      <c r="Y60" s="289"/>
      <c r="Z60" s="289"/>
      <c r="AA60" s="289"/>
      <c r="AB60" s="289"/>
      <c r="AC60" s="289"/>
      <c r="AD60" s="289"/>
      <c r="AE60" s="289"/>
      <c r="AF60" s="289"/>
      <c r="AG60" s="289"/>
      <c r="AH60" s="289"/>
      <c r="AI60" s="289"/>
      <c r="AJ60" s="289"/>
      <c r="AK60" s="289"/>
      <c r="AL60" s="289"/>
      <c r="AM60" s="289"/>
      <c r="AN60" s="289"/>
      <c r="AO60" s="289"/>
      <c r="AP60" s="263">
        <f t="shared" si="3"/>
        <v>0.47896953999999997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435</v>
      </c>
      <c r="F61" s="195"/>
      <c r="G61" s="195"/>
      <c r="H61" s="195"/>
      <c r="I61" s="195"/>
      <c r="J61" s="195"/>
      <c r="K61" s="195"/>
      <c r="L61" s="195"/>
      <c r="M61" s="195"/>
      <c r="N61" s="195"/>
      <c r="O61" s="289"/>
      <c r="P61" s="289"/>
      <c r="Q61" s="289"/>
      <c r="R61" s="289"/>
      <c r="S61" s="289"/>
      <c r="T61" s="289"/>
      <c r="U61" s="289"/>
      <c r="V61" s="289">
        <v>0.18440139999999999</v>
      </c>
      <c r="W61" s="289"/>
      <c r="X61" s="289"/>
      <c r="Y61" s="289"/>
      <c r="Z61" s="289"/>
      <c r="AA61" s="289"/>
      <c r="AB61" s="289"/>
      <c r="AC61" s="289"/>
      <c r="AD61" s="289"/>
      <c r="AE61" s="289"/>
      <c r="AF61" s="289"/>
      <c r="AG61" s="289"/>
      <c r="AH61" s="289"/>
      <c r="AI61" s="289"/>
      <c r="AJ61" s="289"/>
      <c r="AK61" s="289"/>
      <c r="AL61" s="289"/>
      <c r="AM61" s="289"/>
      <c r="AN61" s="289"/>
      <c r="AO61" s="289"/>
      <c r="AP61" s="263">
        <f t="shared" si="3"/>
        <v>0.18440139999999999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434</v>
      </c>
      <c r="F62" s="195"/>
      <c r="G62" s="195"/>
      <c r="H62" s="195"/>
      <c r="I62" s="195"/>
      <c r="J62" s="195"/>
      <c r="K62" s="195"/>
      <c r="L62" s="195"/>
      <c r="M62" s="195"/>
      <c r="N62" s="195"/>
      <c r="O62" s="289"/>
      <c r="P62" s="289"/>
      <c r="Q62" s="289"/>
      <c r="R62" s="289"/>
      <c r="S62" s="289"/>
      <c r="T62" s="289"/>
      <c r="U62" s="289"/>
      <c r="V62" s="289"/>
      <c r="W62" s="289">
        <v>754.33705407660659</v>
      </c>
      <c r="X62" s="289"/>
      <c r="Y62" s="289"/>
      <c r="Z62" s="289"/>
      <c r="AA62" s="289"/>
      <c r="AB62" s="289"/>
      <c r="AC62" s="289"/>
      <c r="AD62" s="289"/>
      <c r="AE62" s="289"/>
      <c r="AF62" s="289"/>
      <c r="AG62" s="289"/>
      <c r="AH62" s="289"/>
      <c r="AI62" s="289"/>
      <c r="AJ62" s="289"/>
      <c r="AK62" s="289"/>
      <c r="AL62" s="289"/>
      <c r="AM62" s="289"/>
      <c r="AN62" s="289"/>
      <c r="AO62" s="289"/>
      <c r="AP62" s="263">
        <f t="shared" si="3"/>
        <v>754.33705407660659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351</v>
      </c>
      <c r="F63" s="195"/>
      <c r="G63" s="195"/>
      <c r="H63" s="195"/>
      <c r="I63" s="195"/>
      <c r="J63" s="195"/>
      <c r="K63" s="195"/>
      <c r="L63" s="195"/>
      <c r="M63" s="195"/>
      <c r="N63" s="195"/>
      <c r="O63" s="289"/>
      <c r="P63" s="289"/>
      <c r="Q63" s="289"/>
      <c r="R63" s="289"/>
      <c r="S63" s="289"/>
      <c r="T63" s="289"/>
      <c r="U63" s="289"/>
      <c r="V63" s="289"/>
      <c r="W63" s="289"/>
      <c r="X63" s="289">
        <v>0.21977250000000001</v>
      </c>
      <c r="Y63" s="289">
        <v>0.25919703999999999</v>
      </c>
      <c r="Z63" s="289"/>
      <c r="AA63" s="289"/>
      <c r="AB63" s="289"/>
      <c r="AC63" s="289"/>
      <c r="AD63" s="289"/>
      <c r="AE63" s="289"/>
      <c r="AF63" s="289"/>
      <c r="AG63" s="289"/>
      <c r="AH63" s="289"/>
      <c r="AI63" s="289"/>
      <c r="AJ63" s="289"/>
      <c r="AK63" s="289"/>
      <c r="AL63" s="289"/>
      <c r="AM63" s="289"/>
      <c r="AN63" s="289"/>
      <c r="AO63" s="289"/>
      <c r="AP63" s="263">
        <f t="shared" si="3"/>
        <v>0.47896954000000003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348</v>
      </c>
      <c r="F64" s="195"/>
      <c r="G64" s="195"/>
      <c r="H64" s="195"/>
      <c r="I64" s="195"/>
      <c r="J64" s="195"/>
      <c r="K64" s="195"/>
      <c r="L64" s="195"/>
      <c r="M64" s="195"/>
      <c r="N64" s="195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>
        <v>0.18440139999999999</v>
      </c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289"/>
      <c r="AL64" s="289"/>
      <c r="AM64" s="289"/>
      <c r="AN64" s="289"/>
      <c r="AO64" s="289"/>
      <c r="AP64" s="263">
        <f t="shared" si="3"/>
        <v>0.18440139999999999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362</v>
      </c>
      <c r="F65" s="195"/>
      <c r="G65" s="195"/>
      <c r="H65" s="195"/>
      <c r="I65" s="195"/>
      <c r="J65" s="195"/>
      <c r="K65" s="195"/>
      <c r="L65" s="195"/>
      <c r="M65" s="195"/>
      <c r="N65" s="195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  <c r="AA65" s="289">
        <v>754.33705407660659</v>
      </c>
      <c r="AB65" s="289"/>
      <c r="AC65" s="289"/>
      <c r="AD65" s="289"/>
      <c r="AE65" s="289"/>
      <c r="AF65" s="289"/>
      <c r="AG65" s="289"/>
      <c r="AH65" s="289"/>
      <c r="AI65" s="289"/>
      <c r="AJ65" s="289"/>
      <c r="AK65" s="289"/>
      <c r="AL65" s="289"/>
      <c r="AM65" s="289"/>
      <c r="AN65" s="289"/>
      <c r="AO65" s="289"/>
      <c r="AP65" s="263">
        <f t="shared" si="3"/>
        <v>754.33705407660659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349</v>
      </c>
      <c r="F66" s="195"/>
      <c r="G66" s="195"/>
      <c r="H66" s="195"/>
      <c r="I66" s="195"/>
      <c r="J66" s="195"/>
      <c r="K66" s="195"/>
      <c r="L66" s="195"/>
      <c r="M66" s="195"/>
      <c r="N66" s="195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  <c r="AA66" s="289"/>
      <c r="AB66" s="289">
        <v>5.6077400000000006E-2</v>
      </c>
      <c r="AC66" s="289">
        <v>4.0304400000000004E-2</v>
      </c>
      <c r="AD66" s="289">
        <v>9.0038560000000004E-2</v>
      </c>
      <c r="AE66" s="289"/>
      <c r="AF66" s="289"/>
      <c r="AG66" s="289"/>
      <c r="AH66" s="289"/>
      <c r="AI66" s="289"/>
      <c r="AJ66" s="289"/>
      <c r="AK66" s="289"/>
      <c r="AL66" s="289"/>
      <c r="AM66" s="289"/>
      <c r="AN66" s="289"/>
      <c r="AO66" s="289"/>
      <c r="AP66" s="263">
        <f t="shared" si="3"/>
        <v>0.18642036000000001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344</v>
      </c>
      <c r="F67" s="195"/>
      <c r="G67" s="195"/>
      <c r="H67" s="195"/>
      <c r="I67" s="195"/>
      <c r="J67" s="195"/>
      <c r="K67" s="195"/>
      <c r="L67" s="195"/>
      <c r="M67" s="195"/>
      <c r="N67" s="195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  <c r="AA67" s="289"/>
      <c r="AB67" s="289"/>
      <c r="AC67" s="289"/>
      <c r="AD67" s="289"/>
      <c r="AE67" s="289">
        <f>MW_Coke</f>
        <v>217.63525920401193</v>
      </c>
      <c r="AF67" s="289">
        <f>Ore_to_PI!CN243</f>
        <v>0.12416072</v>
      </c>
      <c r="AG67" s="289">
        <f>Ore_to_PI!CN282</f>
        <v>1.445899</v>
      </c>
      <c r="AH67" s="289">
        <f>Ore_to_PI!CN229</f>
        <v>0.57429051399999997</v>
      </c>
      <c r="AI67" s="289">
        <v>9.0038560000000004E-2</v>
      </c>
      <c r="AJ67" s="289"/>
      <c r="AK67" s="289"/>
      <c r="AL67" s="289"/>
      <c r="AM67" s="289"/>
      <c r="AN67" s="289"/>
      <c r="AO67" s="289"/>
      <c r="AP67" s="263">
        <f t="shared" si="3"/>
        <v>219.86964799801194</v>
      </c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</row>
    <row r="68" spans="5:67" x14ac:dyDescent="0.2">
      <c r="E68" s="262" t="s">
        <v>514</v>
      </c>
      <c r="F68" s="195"/>
      <c r="G68" s="195"/>
      <c r="H68" s="195"/>
      <c r="I68" s="195"/>
      <c r="J68" s="195"/>
      <c r="K68" s="195"/>
      <c r="L68" s="195"/>
      <c r="M68" s="195"/>
      <c r="N68" s="195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  <c r="AA68" s="289"/>
      <c r="AB68" s="289"/>
      <c r="AC68" s="289"/>
      <c r="AD68" s="289"/>
      <c r="AE68" s="289"/>
      <c r="AF68" s="289"/>
      <c r="AG68" s="289"/>
      <c r="AH68" s="289"/>
      <c r="AI68" s="289"/>
      <c r="AJ68" s="289">
        <v>8.4139320000000004E-2</v>
      </c>
      <c r="AK68" s="289"/>
      <c r="AL68" s="289"/>
      <c r="AM68" s="289"/>
      <c r="AN68" s="289"/>
      <c r="AO68" s="289"/>
      <c r="AP68" s="263">
        <f t="shared" si="3"/>
        <v>8.4139320000000004E-2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516</v>
      </c>
      <c r="F69" s="195"/>
      <c r="G69" s="195"/>
      <c r="H69" s="195"/>
      <c r="I69" s="195"/>
      <c r="J69" s="195"/>
      <c r="K69" s="195"/>
      <c r="L69" s="195"/>
      <c r="M69" s="195"/>
      <c r="N69" s="195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  <c r="AA69" s="289"/>
      <c r="AB69" s="289"/>
      <c r="AC69" s="289"/>
      <c r="AD69" s="289"/>
      <c r="AE69" s="289"/>
      <c r="AF69" s="289"/>
      <c r="AG69" s="289"/>
      <c r="AH69" s="289"/>
      <c r="AI69" s="289"/>
      <c r="AJ69" s="289"/>
      <c r="AK69" s="289">
        <v>8.4139320000000004E-2</v>
      </c>
      <c r="AL69" s="289"/>
      <c r="AM69" s="289"/>
      <c r="AN69" s="289"/>
      <c r="AO69" s="289"/>
      <c r="AP69" s="263">
        <f t="shared" si="3"/>
        <v>8.4139320000000004E-2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76</v>
      </c>
      <c r="F70" s="195"/>
      <c r="G70" s="195"/>
      <c r="H70" s="195"/>
      <c r="I70" s="195"/>
      <c r="J70" s="195"/>
      <c r="K70" s="195"/>
      <c r="L70" s="195"/>
      <c r="M70" s="195"/>
      <c r="N70" s="195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  <c r="AA70" s="289"/>
      <c r="AB70" s="289"/>
      <c r="AC70" s="289"/>
      <c r="AD70" s="289"/>
      <c r="AE70" s="289"/>
      <c r="AF70" s="289"/>
      <c r="AG70" s="289"/>
      <c r="AH70" s="289"/>
      <c r="AI70" s="296"/>
      <c r="AJ70" s="289"/>
      <c r="AK70" s="289"/>
      <c r="AL70" s="296">
        <v>217.91110910401193</v>
      </c>
      <c r="AM70" s="289"/>
      <c r="AN70" s="289"/>
      <c r="AO70" s="289"/>
      <c r="AP70" s="263">
        <f t="shared" si="3"/>
        <v>217.91110910401193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337</v>
      </c>
      <c r="F71" s="195"/>
      <c r="G71" s="195"/>
      <c r="H71" s="195"/>
      <c r="I71" s="205"/>
      <c r="J71" s="195"/>
      <c r="K71" s="195"/>
      <c r="L71" s="195"/>
      <c r="M71" s="195"/>
      <c r="N71" s="195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309"/>
      <c r="AE71" s="289"/>
      <c r="AF71" s="289"/>
      <c r="AG71" s="289"/>
      <c r="AH71" s="289"/>
      <c r="AI71" s="289"/>
      <c r="AJ71" s="289"/>
      <c r="AK71" s="289"/>
      <c r="AL71" s="289"/>
      <c r="AM71" s="289">
        <v>5.5844999999999999E-2</v>
      </c>
      <c r="AN71" s="289">
        <v>0.15410336000000002</v>
      </c>
      <c r="AO71" s="289">
        <v>0.11616169999999999</v>
      </c>
      <c r="AP71" s="263">
        <f t="shared" si="3"/>
        <v>0.32611006000000003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/>
      <c r="F72" s="429" t="s">
        <v>329</v>
      </c>
      <c r="G72" s="429"/>
      <c r="H72" s="429"/>
      <c r="I72" s="429"/>
      <c r="J72" s="429"/>
      <c r="K72" s="429"/>
      <c r="L72" s="429"/>
      <c r="M72" s="429"/>
      <c r="N72" s="429"/>
      <c r="O72" s="429"/>
      <c r="P72" s="429"/>
      <c r="Q72" s="429"/>
      <c r="R72" s="429"/>
      <c r="S72" s="429"/>
      <c r="T72" s="429"/>
      <c r="U72" s="429"/>
      <c r="V72" s="429"/>
      <c r="W72" s="429"/>
      <c r="X72" s="429"/>
      <c r="Y72" s="429"/>
      <c r="Z72" s="429"/>
      <c r="AA72" s="429"/>
      <c r="AB72" s="429"/>
      <c r="AC72" s="429"/>
      <c r="AD72" s="429"/>
      <c r="AE72" s="429"/>
      <c r="AF72" s="429"/>
      <c r="AG72" s="429"/>
      <c r="AH72" s="429"/>
      <c r="AI72" s="429"/>
      <c r="AJ72" s="429"/>
      <c r="AK72" s="429"/>
      <c r="AL72" s="429"/>
      <c r="AM72" s="429"/>
      <c r="AN72" s="429"/>
      <c r="AO72" s="429"/>
      <c r="AP72" s="298" t="s">
        <v>365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263">
        <f>SUM(F57:F71)</f>
        <v>0</v>
      </c>
      <c r="G73" s="263">
        <f t="shared" ref="G73:AO73" si="4">SUM(G57:G71)</f>
        <v>0</v>
      </c>
      <c r="H73" s="263">
        <f t="shared" si="4"/>
        <v>0</v>
      </c>
      <c r="I73" s="263">
        <f t="shared" si="4"/>
        <v>0</v>
      </c>
      <c r="J73" s="263">
        <f t="shared" si="4"/>
        <v>0</v>
      </c>
      <c r="K73" s="263">
        <f t="shared" si="4"/>
        <v>0</v>
      </c>
      <c r="L73" s="263">
        <f t="shared" si="4"/>
        <v>0</v>
      </c>
      <c r="M73" s="263">
        <f t="shared" si="4"/>
        <v>0</v>
      </c>
      <c r="N73" s="263">
        <f t="shared" si="4"/>
        <v>0</v>
      </c>
      <c r="O73" s="263">
        <f t="shared" si="4"/>
        <v>0.47896953999999997</v>
      </c>
      <c r="P73" s="263">
        <f t="shared" si="4"/>
        <v>9.0038560000000004E-2</v>
      </c>
      <c r="Q73" s="263">
        <f t="shared" si="4"/>
        <v>0.18440139999999999</v>
      </c>
      <c r="R73" s="263">
        <f t="shared" si="4"/>
        <v>9.0038560000000004E-2</v>
      </c>
      <c r="S73" s="263">
        <f t="shared" si="4"/>
        <v>754.33705407660659</v>
      </c>
      <c r="T73" s="263">
        <f t="shared" si="4"/>
        <v>9.0038560000000004E-2</v>
      </c>
      <c r="U73" s="263">
        <f t="shared" si="4"/>
        <v>0.47896953999999997</v>
      </c>
      <c r="V73" s="263">
        <f t="shared" si="4"/>
        <v>0.18440139999999999</v>
      </c>
      <c r="W73" s="263">
        <f t="shared" si="4"/>
        <v>754.33705407660659</v>
      </c>
      <c r="X73" s="263">
        <f t="shared" si="4"/>
        <v>0.21977250000000001</v>
      </c>
      <c r="Y73" s="263">
        <f t="shared" si="4"/>
        <v>0.25919703999999999</v>
      </c>
      <c r="Z73" s="263">
        <f t="shared" si="4"/>
        <v>0.18440139999999999</v>
      </c>
      <c r="AA73" s="263">
        <f t="shared" si="4"/>
        <v>754.33705407660659</v>
      </c>
      <c r="AB73" s="263">
        <f t="shared" si="4"/>
        <v>5.6077400000000006E-2</v>
      </c>
      <c r="AC73" s="263">
        <f t="shared" si="4"/>
        <v>4.0304400000000004E-2</v>
      </c>
      <c r="AD73" s="263">
        <f t="shared" si="4"/>
        <v>9.0038560000000004E-2</v>
      </c>
      <c r="AE73" s="263">
        <f t="shared" si="4"/>
        <v>217.63525920401193</v>
      </c>
      <c r="AF73" s="263">
        <f t="shared" si="4"/>
        <v>0.12416072</v>
      </c>
      <c r="AG73" s="263">
        <f t="shared" si="4"/>
        <v>1.445899</v>
      </c>
      <c r="AH73" s="263">
        <f t="shared" si="4"/>
        <v>0.57429051399999997</v>
      </c>
      <c r="AI73" s="263">
        <f t="shared" si="4"/>
        <v>9.0038560000000004E-2</v>
      </c>
      <c r="AJ73" s="263">
        <f t="shared" si="4"/>
        <v>8.4139320000000004E-2</v>
      </c>
      <c r="AK73" s="263">
        <f t="shared" si="4"/>
        <v>8.4139320000000004E-2</v>
      </c>
      <c r="AL73" s="263">
        <f t="shared" si="4"/>
        <v>217.91110910401193</v>
      </c>
      <c r="AM73" s="263">
        <f t="shared" si="4"/>
        <v>5.5844999999999999E-2</v>
      </c>
      <c r="AN73" s="263">
        <f t="shared" si="4"/>
        <v>0.15410336000000002</v>
      </c>
      <c r="AO73" s="263">
        <f t="shared" si="4"/>
        <v>0.11616169999999999</v>
      </c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429" t="s">
        <v>366</v>
      </c>
      <c r="G74" s="429"/>
      <c r="H74" s="429"/>
      <c r="I74" s="429"/>
      <c r="J74" s="429"/>
      <c r="K74" s="429"/>
      <c r="L74" s="429"/>
      <c r="M74" s="429"/>
      <c r="N74" s="429"/>
      <c r="O74" s="429"/>
      <c r="P74" s="429"/>
      <c r="Q74" s="429"/>
      <c r="R74" s="429"/>
      <c r="S74" s="429"/>
      <c r="T74" s="429"/>
      <c r="U74" s="429"/>
      <c r="V74" s="429"/>
      <c r="W74" s="429"/>
      <c r="X74" s="429"/>
      <c r="Y74" s="429"/>
      <c r="Z74" s="429"/>
      <c r="AA74" s="429"/>
      <c r="AB74" s="429"/>
      <c r="AC74" s="429"/>
      <c r="AD74" s="429"/>
      <c r="AE74" s="429"/>
      <c r="AF74" s="429"/>
      <c r="AG74" s="429"/>
      <c r="AH74" s="429"/>
      <c r="AI74" s="429"/>
      <c r="AJ74" s="429"/>
      <c r="AK74" s="429"/>
      <c r="AL74" s="429"/>
      <c r="AM74" s="429"/>
      <c r="AN74" s="429"/>
      <c r="AO74" s="429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ht="236" x14ac:dyDescent="0.2">
      <c r="E83" s="262"/>
      <c r="F83" s="308" t="s">
        <v>333</v>
      </c>
      <c r="G83" s="308" t="s">
        <v>335</v>
      </c>
      <c r="H83" s="308" t="s">
        <v>336</v>
      </c>
      <c r="I83" s="308" t="s">
        <v>355</v>
      </c>
      <c r="J83" s="308" t="s">
        <v>377</v>
      </c>
      <c r="K83" s="308" t="s">
        <v>466</v>
      </c>
      <c r="L83" s="308" t="s">
        <v>467</v>
      </c>
      <c r="M83" s="308" t="s">
        <v>411</v>
      </c>
      <c r="N83" s="308" t="s">
        <v>459</v>
      </c>
      <c r="O83" s="307" t="s">
        <v>442</v>
      </c>
      <c r="P83" s="308" t="s">
        <v>409</v>
      </c>
      <c r="Q83" s="307" t="s">
        <v>412</v>
      </c>
      <c r="R83" s="308" t="s">
        <v>437</v>
      </c>
      <c r="S83" s="178" t="s">
        <v>430</v>
      </c>
      <c r="T83" s="308" t="s">
        <v>416</v>
      </c>
      <c r="U83" s="307" t="s">
        <v>441</v>
      </c>
      <c r="V83" s="307" t="s">
        <v>436</v>
      </c>
      <c r="W83" s="307" t="s">
        <v>433</v>
      </c>
      <c r="X83" s="307" t="s">
        <v>439</v>
      </c>
      <c r="Y83" s="178" t="s">
        <v>438</v>
      </c>
      <c r="Z83" s="178" t="s">
        <v>424</v>
      </c>
      <c r="AA83" s="178" t="s">
        <v>456</v>
      </c>
      <c r="AB83" s="178" t="s">
        <v>425</v>
      </c>
      <c r="AC83" s="178" t="s">
        <v>427</v>
      </c>
      <c r="AD83" s="178" t="s">
        <v>426</v>
      </c>
      <c r="AE83" s="178" t="s">
        <v>484</v>
      </c>
      <c r="AF83" s="196" t="s">
        <v>422</v>
      </c>
      <c r="AG83" s="196" t="s">
        <v>552</v>
      </c>
      <c r="AH83" s="178" t="s">
        <v>421</v>
      </c>
      <c r="AI83" s="308" t="s">
        <v>423</v>
      </c>
      <c r="AJ83" s="178" t="s">
        <v>515</v>
      </c>
      <c r="AK83" s="178" t="s">
        <v>517</v>
      </c>
      <c r="AL83" s="178" t="s">
        <v>445</v>
      </c>
      <c r="AM83" s="178" t="s">
        <v>446</v>
      </c>
      <c r="AN83" s="178" t="s">
        <v>447</v>
      </c>
      <c r="AO83" s="178" t="s">
        <v>457</v>
      </c>
      <c r="AP83" s="17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x14ac:dyDescent="0.2">
      <c r="E84" s="262" t="s">
        <v>332</v>
      </c>
      <c r="F84" s="310">
        <f>Ore_to_PI!M52</f>
        <v>0.47896953999999997</v>
      </c>
      <c r="G84" s="310"/>
      <c r="H84" s="310"/>
      <c r="I84" s="310"/>
      <c r="J84" s="310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310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ht="16" x14ac:dyDescent="0.2">
      <c r="E85" s="294" t="s">
        <v>413</v>
      </c>
      <c r="F85" s="310"/>
      <c r="G85" s="310">
        <v>0.18440139999999999</v>
      </c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  <c r="AG85" s="310"/>
      <c r="AH85" s="310"/>
      <c r="AI85" s="310"/>
      <c r="AJ85" s="310"/>
      <c r="AK85" s="310"/>
      <c r="AL85" s="310"/>
      <c r="AM85" s="310"/>
      <c r="AN85" s="310"/>
      <c r="AO85" s="310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x14ac:dyDescent="0.2">
      <c r="E86" s="175" t="s">
        <v>356</v>
      </c>
      <c r="F86" s="310"/>
      <c r="G86" s="310"/>
      <c r="H86" s="310">
        <f>Ore_to_PI!M218</f>
        <v>754.33705407660659</v>
      </c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310"/>
      <c r="AL86" s="310"/>
      <c r="AM86" s="310"/>
      <c r="AN86" s="310"/>
      <c r="AO86" s="310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262" t="s">
        <v>380</v>
      </c>
      <c r="F87" s="310"/>
      <c r="G87" s="310"/>
      <c r="H87" s="310"/>
      <c r="I87" s="311">
        <v>6.0012280000000001E-2</v>
      </c>
      <c r="J87" s="310"/>
      <c r="K87" s="310"/>
      <c r="L87" s="310"/>
      <c r="M87" s="310"/>
      <c r="N87" s="310"/>
      <c r="O87" s="310"/>
      <c r="P87" s="310"/>
      <c r="Q87" s="310"/>
      <c r="R87" s="310"/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310"/>
      <c r="AL87" s="310"/>
      <c r="AM87" s="310"/>
      <c r="AN87" s="310"/>
      <c r="AO87" s="310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ht="16" x14ac:dyDescent="0.2">
      <c r="E88" s="262" t="s">
        <v>376</v>
      </c>
      <c r="F88" s="310"/>
      <c r="G88" s="310"/>
      <c r="H88" s="310"/>
      <c r="I88" s="310"/>
      <c r="J88" s="312">
        <v>1.604276E-2</v>
      </c>
      <c r="K88" s="310"/>
      <c r="L88" s="310"/>
      <c r="M88" s="310"/>
      <c r="N88" s="310"/>
      <c r="O88" s="310"/>
      <c r="P88" s="310"/>
      <c r="Q88" s="310"/>
      <c r="R88" s="310"/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310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469</v>
      </c>
      <c r="F89" s="310"/>
      <c r="G89" s="310"/>
      <c r="H89" s="310"/>
      <c r="I89" s="310"/>
      <c r="J89" s="310"/>
      <c r="K89" s="310">
        <v>0.16731462</v>
      </c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0"/>
      <c r="AP89" s="108"/>
      <c r="AQ89" s="108"/>
      <c r="AR89" s="108"/>
      <c r="AS89" s="108"/>
      <c r="AT89" s="196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468</v>
      </c>
      <c r="F90" s="310"/>
      <c r="G90" s="310"/>
      <c r="H90" s="310"/>
      <c r="I90" s="310"/>
      <c r="J90" s="310"/>
      <c r="K90" s="310"/>
      <c r="L90" s="310">
        <v>0.11423092</v>
      </c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  <c r="AE90" s="310"/>
      <c r="AF90" s="310"/>
      <c r="AG90" s="310"/>
      <c r="AH90" s="310"/>
      <c r="AI90" s="310"/>
      <c r="AJ90" s="310"/>
      <c r="AK90" s="310"/>
      <c r="AL90" s="310"/>
      <c r="AM90" s="310"/>
      <c r="AN90" s="310"/>
      <c r="AO90" s="310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410</v>
      </c>
      <c r="F91" s="310"/>
      <c r="G91" s="310"/>
      <c r="H91" s="310"/>
      <c r="I91" s="310"/>
      <c r="J91" s="310"/>
      <c r="K91" s="310"/>
      <c r="L91" s="310"/>
      <c r="M91" s="310">
        <v>0.1402688</v>
      </c>
      <c r="N91" s="310"/>
      <c r="O91" s="310"/>
      <c r="P91" s="310"/>
      <c r="Q91" s="310"/>
      <c r="R91" s="310"/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  <c r="AE91" s="310"/>
      <c r="AF91" s="310"/>
      <c r="AG91" s="310"/>
      <c r="AH91" s="310"/>
      <c r="AI91" s="310"/>
      <c r="AJ91" s="310"/>
      <c r="AK91" s="310"/>
      <c r="AL91" s="310"/>
      <c r="AM91" s="310"/>
      <c r="AN91" s="310"/>
      <c r="AO91" s="310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458</v>
      </c>
      <c r="F92" s="310"/>
      <c r="G92" s="310"/>
      <c r="H92" s="310"/>
      <c r="I92" s="310"/>
      <c r="J92" s="310"/>
      <c r="K92" s="310"/>
      <c r="L92" s="310"/>
      <c r="M92" s="310"/>
      <c r="N92" s="310">
        <v>0</v>
      </c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310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108"/>
      <c r="F93" s="429" t="s">
        <v>56</v>
      </c>
      <c r="G93" s="429"/>
      <c r="H93" s="429"/>
      <c r="I93" s="429"/>
      <c r="J93" s="429"/>
      <c r="K93" s="429"/>
      <c r="L93" s="429"/>
      <c r="M93" s="429"/>
      <c r="N93" s="429"/>
      <c r="O93" s="429"/>
      <c r="P93" s="429"/>
      <c r="Q93" s="429"/>
      <c r="R93" s="429"/>
      <c r="S93" s="429"/>
      <c r="T93" s="429"/>
      <c r="U93" s="429"/>
      <c r="V93" s="429"/>
      <c r="W93" s="429"/>
      <c r="X93" s="429"/>
      <c r="Y93" s="429"/>
      <c r="Z93" s="429"/>
      <c r="AA93" s="429"/>
      <c r="AB93" s="429"/>
      <c r="AC93" s="429"/>
      <c r="AD93" s="429"/>
      <c r="AE93" s="429"/>
      <c r="AF93" s="429"/>
      <c r="AG93" s="429"/>
      <c r="AH93" s="429"/>
      <c r="AI93" s="429"/>
      <c r="AJ93" s="429"/>
      <c r="AK93" s="429"/>
      <c r="AL93" s="429"/>
      <c r="AM93" s="429"/>
      <c r="AN93" s="429"/>
      <c r="AO93" s="429"/>
      <c r="AP93" s="29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263">
        <f>SUM(F84:F92)</f>
        <v>0.47896953999999997</v>
      </c>
      <c r="G94" s="263">
        <f t="shared" ref="G94:N94" si="5">SUM(G84:G92)</f>
        <v>0.18440139999999999</v>
      </c>
      <c r="H94" s="263">
        <f t="shared" si="5"/>
        <v>754.33705407660659</v>
      </c>
      <c r="I94" s="263">
        <f t="shared" si="5"/>
        <v>6.0012280000000001E-2</v>
      </c>
      <c r="J94" s="263">
        <f t="shared" si="5"/>
        <v>1.604276E-2</v>
      </c>
      <c r="K94" s="263">
        <f t="shared" si="5"/>
        <v>0.16731462</v>
      </c>
      <c r="L94" s="263">
        <f t="shared" si="5"/>
        <v>0.11423092</v>
      </c>
      <c r="M94" s="263">
        <f t="shared" si="5"/>
        <v>0.1402688</v>
      </c>
      <c r="N94" s="263">
        <f t="shared" si="5"/>
        <v>0</v>
      </c>
      <c r="O94" s="263">
        <v>0</v>
      </c>
      <c r="P94" s="263">
        <v>0</v>
      </c>
      <c r="Q94" s="263">
        <v>0</v>
      </c>
      <c r="R94" s="263">
        <v>0</v>
      </c>
      <c r="S94" s="263">
        <v>0</v>
      </c>
      <c r="T94" s="263">
        <v>0</v>
      </c>
      <c r="U94" s="263">
        <v>0</v>
      </c>
      <c r="V94" s="263">
        <v>0</v>
      </c>
      <c r="W94" s="263">
        <v>0</v>
      </c>
      <c r="X94" s="263">
        <v>0</v>
      </c>
      <c r="Y94" s="263">
        <v>0</v>
      </c>
      <c r="Z94" s="263">
        <v>0</v>
      </c>
      <c r="AA94" s="263">
        <v>0</v>
      </c>
      <c r="AB94" s="263">
        <v>0</v>
      </c>
      <c r="AC94" s="263">
        <v>0</v>
      </c>
      <c r="AD94" s="263">
        <v>0</v>
      </c>
      <c r="AE94" s="263">
        <v>0</v>
      </c>
      <c r="AF94" s="263">
        <v>0</v>
      </c>
      <c r="AG94" s="263">
        <v>0</v>
      </c>
      <c r="AH94" s="263">
        <v>0</v>
      </c>
      <c r="AI94" s="263">
        <v>0</v>
      </c>
      <c r="AJ94" s="263">
        <v>0</v>
      </c>
      <c r="AK94" s="263">
        <v>0</v>
      </c>
      <c r="AL94" s="263">
        <v>0</v>
      </c>
      <c r="AM94" s="263">
        <v>0</v>
      </c>
      <c r="AN94" s="263">
        <v>0</v>
      </c>
      <c r="AO94" s="263">
        <v>0</v>
      </c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F95" s="427" t="s">
        <v>367</v>
      </c>
      <c r="G95" s="427"/>
      <c r="H95" s="427"/>
      <c r="I95" s="427"/>
      <c r="J95" s="427"/>
      <c r="K95" s="427"/>
      <c r="L95" s="427"/>
      <c r="M95" s="427"/>
      <c r="N95" s="427"/>
      <c r="O95" s="427"/>
      <c r="P95" s="427"/>
      <c r="Q95" s="427"/>
      <c r="R95" s="427"/>
      <c r="S95" s="427"/>
      <c r="T95" s="427"/>
      <c r="U95" s="427"/>
      <c r="V95" s="427"/>
      <c r="W95" s="427"/>
      <c r="X95" s="427"/>
      <c r="Y95" s="427"/>
      <c r="Z95" s="427"/>
      <c r="AA95" s="427"/>
      <c r="AB95" s="427"/>
      <c r="AC95" s="427"/>
      <c r="AD95" s="427"/>
      <c r="AE95" s="427"/>
      <c r="AF95" s="427"/>
      <c r="AG95" s="427"/>
      <c r="AH95" s="427"/>
      <c r="AI95" s="427"/>
      <c r="AJ95" s="427"/>
      <c r="AK95" s="427"/>
      <c r="AL95" s="427"/>
      <c r="AM95" s="427"/>
      <c r="AN95" s="427"/>
      <c r="AO95" s="427"/>
    </row>
    <row r="102" spans="5:14" x14ac:dyDescent="0.2">
      <c r="E102" s="173" t="s">
        <v>333</v>
      </c>
      <c r="F102" s="214" cm="1">
        <f t="array" ref="F102:F137">TRANSPOSE(F94:AO94)</f>
        <v>0.47896953999999997</v>
      </c>
      <c r="G102" s="3"/>
      <c r="H102" s="214" cm="1">
        <f t="array" ref="H102:H137">TRANSPOSE(F73:AO73)</f>
        <v>0</v>
      </c>
      <c r="I102" s="3"/>
      <c r="J102" s="214">
        <f>BI18</f>
        <v>0.47896953999999997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0.18440139999999999</v>
      </c>
      <c r="G103" s="3"/>
      <c r="H103" s="214">
        <v>0</v>
      </c>
      <c r="I103" s="3"/>
      <c r="J103" s="214">
        <f t="shared" ref="J103:J137" si="6">BI19</f>
        <v>0.18440139999999999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754.33705407660659</v>
      </c>
      <c r="G104" s="3"/>
      <c r="H104" s="214">
        <v>0</v>
      </c>
      <c r="I104" s="3"/>
      <c r="J104" s="214">
        <f t="shared" si="6"/>
        <v>754.33705407660659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6.0012280000000001E-2</v>
      </c>
      <c r="G105" s="3"/>
      <c r="H105" s="214">
        <v>0</v>
      </c>
      <c r="I105" s="3"/>
      <c r="J105" s="214">
        <f t="shared" si="6"/>
        <v>0.36007368000000006</v>
      </c>
      <c r="K105" s="3"/>
      <c r="L105" s="214">
        <v>0</v>
      </c>
      <c r="M105" s="3"/>
      <c r="N105" s="257" t="s">
        <v>623</v>
      </c>
    </row>
    <row r="106" spans="5:14" x14ac:dyDescent="0.2">
      <c r="E106" s="173" t="s">
        <v>377</v>
      </c>
      <c r="F106" s="214">
        <v>1.604276E-2</v>
      </c>
      <c r="G106" s="3"/>
      <c r="H106" s="214">
        <v>0</v>
      </c>
      <c r="I106" s="3"/>
      <c r="J106" s="214">
        <f t="shared" si="6"/>
        <v>4.8128279999999996E-2</v>
      </c>
      <c r="K106" s="3"/>
      <c r="L106" s="214">
        <v>0</v>
      </c>
      <c r="M106" s="3"/>
      <c r="N106" s="257" t="s">
        <v>623</v>
      </c>
    </row>
    <row r="107" spans="5:14" x14ac:dyDescent="0.2">
      <c r="E107" s="173" t="s">
        <v>407</v>
      </c>
      <c r="F107" s="214">
        <v>0.16731462</v>
      </c>
      <c r="G107" s="3"/>
      <c r="H107" s="214">
        <v>0</v>
      </c>
      <c r="I107" s="3"/>
      <c r="J107" s="214">
        <f t="shared" si="6"/>
        <v>0.50194386000000002</v>
      </c>
      <c r="K107" s="3"/>
      <c r="L107" s="214">
        <v>0</v>
      </c>
      <c r="M107" s="3"/>
      <c r="N107" s="257" t="s">
        <v>623</v>
      </c>
    </row>
    <row r="108" spans="5:14" x14ac:dyDescent="0.2">
      <c r="E108" s="173" t="s">
        <v>408</v>
      </c>
      <c r="F108" s="214">
        <v>0.11423092</v>
      </c>
      <c r="G108" s="3"/>
      <c r="H108" s="214">
        <v>0</v>
      </c>
      <c r="I108" s="3"/>
      <c r="J108" s="214">
        <f t="shared" si="6"/>
        <v>0.11423092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0.1402688</v>
      </c>
      <c r="G109" s="3"/>
      <c r="H109" s="214">
        <v>0</v>
      </c>
      <c r="I109" s="3"/>
      <c r="J109" s="214">
        <f t="shared" si="6"/>
        <v>0.1402688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0.47896953999999997</v>
      </c>
      <c r="I111" s="3"/>
      <c r="J111" s="214">
        <f t="shared" si="6"/>
        <v>0.47896953999999997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9.0038560000000004E-2</v>
      </c>
      <c r="I112" s="3"/>
      <c r="J112" s="214">
        <f t="shared" si="6"/>
        <v>0</v>
      </c>
      <c r="K112" s="3"/>
      <c r="L112" s="214">
        <v>9.0038560000000004E-2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0.18440139999999999</v>
      </c>
      <c r="I113" s="3"/>
      <c r="J113" s="214">
        <f t="shared" si="6"/>
        <v>0.18440139999999999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9.0038560000000004E-2</v>
      </c>
      <c r="I114" s="3"/>
      <c r="J114" s="214">
        <f t="shared" si="6"/>
        <v>0</v>
      </c>
      <c r="K114" s="3"/>
      <c r="L114" s="214">
        <v>9.0038560000000004E-2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754.33705407660659</v>
      </c>
      <c r="I115" s="142" t="s">
        <v>373</v>
      </c>
      <c r="J115" s="214">
        <f t="shared" si="6"/>
        <v>754.33705407660659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9.0038560000000004E-2</v>
      </c>
      <c r="I116" s="3"/>
      <c r="J116" s="214">
        <f t="shared" si="6"/>
        <v>0</v>
      </c>
      <c r="K116" s="3"/>
      <c r="L116" s="214">
        <v>9.0038560000000004E-2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0.47896953999999997</v>
      </c>
      <c r="I117" s="3"/>
      <c r="J117" s="214">
        <f t="shared" si="6"/>
        <v>0.47896953999999997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0.18440139999999999</v>
      </c>
      <c r="I118" s="3"/>
      <c r="J118" s="214">
        <f t="shared" si="6"/>
        <v>0.18440139999999999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754.33705407660659</v>
      </c>
      <c r="I119" s="3"/>
      <c r="J119" s="214">
        <f t="shared" si="6"/>
        <v>754.33705407660659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0.21977250000000001</v>
      </c>
      <c r="I120" s="3"/>
      <c r="J120" s="214">
        <f t="shared" si="6"/>
        <v>0.21977250000000001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0.25919703999999999</v>
      </c>
      <c r="I121" s="3"/>
      <c r="J121" s="214">
        <f t="shared" si="6"/>
        <v>0</v>
      </c>
      <c r="K121" s="3"/>
      <c r="L121" s="214">
        <v>0.25919703999999999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0.18440139999999999</v>
      </c>
      <c r="I122" s="3"/>
      <c r="J122" s="214">
        <f t="shared" si="6"/>
        <v>0.18440139999999999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754.33705407660659</v>
      </c>
      <c r="I123" s="3"/>
      <c r="J123" s="214">
        <f t="shared" si="6"/>
        <v>754.33705407660659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5.6077400000000006E-2</v>
      </c>
      <c r="I124" s="3"/>
      <c r="J124" s="214">
        <f t="shared" si="6"/>
        <v>5.6077400000000006E-2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4.0304400000000004E-2</v>
      </c>
      <c r="I125" s="3"/>
      <c r="J125" s="214">
        <f t="shared" si="6"/>
        <v>0</v>
      </c>
      <c r="K125" s="3"/>
      <c r="L125" s="214">
        <v>4.0304400000000004E-2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9.0038560000000004E-2</v>
      </c>
      <c r="I126" s="3"/>
      <c r="J126" s="214">
        <f t="shared" si="6"/>
        <v>0</v>
      </c>
      <c r="K126" s="3"/>
      <c r="L126" s="214">
        <v>9.0038560000000004E-2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217.63525920401193</v>
      </c>
      <c r="I127" s="3"/>
      <c r="J127" s="214">
        <f t="shared" si="6"/>
        <v>217.63525920401193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0.12416072</v>
      </c>
      <c r="I128" s="3"/>
      <c r="J128" s="214">
        <f t="shared" si="6"/>
        <v>0.12416072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1.445899</v>
      </c>
      <c r="I129" s="3"/>
      <c r="J129" s="214">
        <f t="shared" si="6"/>
        <v>0</v>
      </c>
      <c r="K129" s="3"/>
      <c r="L129" s="214">
        <v>1.445899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0.57429051399999997</v>
      </c>
      <c r="I130" s="3"/>
      <c r="J130" s="214">
        <f t="shared" si="6"/>
        <v>0</v>
      </c>
      <c r="K130" s="3"/>
      <c r="L130" s="214">
        <v>0.57429051399999997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9.0038560000000004E-2</v>
      </c>
      <c r="I131" s="3"/>
      <c r="J131" s="214">
        <f t="shared" si="6"/>
        <v>0</v>
      </c>
      <c r="K131" s="3"/>
      <c r="L131" s="214">
        <v>9.0038560000000004E-2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8.4139320000000004E-2</v>
      </c>
      <c r="I132" s="3"/>
      <c r="J132" s="214">
        <f t="shared" si="6"/>
        <v>8.4139320000000004E-2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8.4139320000000004E-2</v>
      </c>
      <c r="I133" s="3"/>
      <c r="J133" s="214">
        <f t="shared" si="6"/>
        <v>8.4139320000000004E-2</v>
      </c>
      <c r="K133" s="3"/>
      <c r="L133" s="214">
        <v>8.4139320000000004E-2</v>
      </c>
      <c r="M133" s="3"/>
      <c r="N133" s="257" t="s">
        <v>623</v>
      </c>
    </row>
    <row r="134" spans="5:14" x14ac:dyDescent="0.2">
      <c r="E134" s="175" t="s">
        <v>445</v>
      </c>
      <c r="F134" s="214">
        <v>0</v>
      </c>
      <c r="G134" s="3"/>
      <c r="H134" s="214">
        <v>217.91110910401193</v>
      </c>
      <c r="I134" s="3"/>
      <c r="J134" s="214">
        <f t="shared" si="6"/>
        <v>217.91110910401193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5.5844999999999999E-2</v>
      </c>
      <c r="I135" s="3"/>
      <c r="J135" s="214">
        <f t="shared" si="6"/>
        <v>0</v>
      </c>
      <c r="K135" s="3"/>
      <c r="L135" s="214">
        <v>5.5844999999999999E-2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0.15410336000000002</v>
      </c>
      <c r="I136" s="3"/>
      <c r="J136" s="214">
        <f t="shared" si="6"/>
        <v>0</v>
      </c>
      <c r="K136" s="3"/>
      <c r="L136" s="214">
        <v>0.15410336000000002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0.11616169999999999</v>
      </c>
      <c r="I137" s="3"/>
      <c r="J137" s="214">
        <f t="shared" si="6"/>
        <v>0</v>
      </c>
      <c r="K137" s="3"/>
      <c r="L137" s="214">
        <v>0.11616169999999999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D84" workbookViewId="0">
      <selection activeCell="W126" sqref="W126"/>
    </sheetView>
  </sheetViews>
  <sheetFormatPr baseColWidth="10" defaultColWidth="11.5" defaultRowHeight="15" x14ac:dyDescent="0.2"/>
  <cols>
    <col min="14" max="14" width="12.6640625" bestFit="1" customWidth="1"/>
  </cols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f>MCC_M_RUVY_matrices_mat_level!AR83*MCC_h_RUVY_matrices_mat_level!AR83 /MCC_MW_RUVY_matrices_mat_level!AT18</f>
        <v>-1777985.4355511186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89">
        <v>0</v>
      </c>
      <c r="BB18" s="289">
        <v>0</v>
      </c>
      <c r="BC18" s="289">
        <v>0</v>
      </c>
      <c r="BD18" s="289">
        <v>0</v>
      </c>
      <c r="BE18" s="289">
        <v>0</v>
      </c>
      <c r="BF18" s="289">
        <v>0</v>
      </c>
      <c r="BG18" s="289">
        <v>0</v>
      </c>
      <c r="BH18" s="289">
        <v>0</v>
      </c>
      <c r="BI18" s="291">
        <f>SUM(AT18:BH18)</f>
        <v>-1777985.4355511186</v>
      </c>
      <c r="BJ18" s="108"/>
      <c r="BK18" s="108"/>
      <c r="BL18" s="262"/>
      <c r="BM18" s="262" t="s">
        <v>333</v>
      </c>
      <c r="BN18" s="292">
        <v>0</v>
      </c>
      <c r="BO18" s="292">
        <v>0</v>
      </c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>
        <v>0</v>
      </c>
      <c r="AU19" s="289">
        <f>MCC_M_RUVY_matrices_mat_level!AS84*MCC_h_RUVY_matrices_mat_level!AS84 /MCC_MW_RUVY_matrices_mat_level!AU19</f>
        <v>-1359457.7959575919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89">
        <v>0</v>
      </c>
      <c r="BB19" s="289">
        <v>0</v>
      </c>
      <c r="BC19" s="289">
        <v>0</v>
      </c>
      <c r="BD19" s="289">
        <v>0</v>
      </c>
      <c r="BE19" s="289">
        <v>0</v>
      </c>
      <c r="BF19" s="289">
        <v>0</v>
      </c>
      <c r="BG19" s="289">
        <v>0</v>
      </c>
      <c r="BH19" s="289">
        <v>0</v>
      </c>
      <c r="BI19" s="291">
        <f t="shared" ref="BI19:BI53" si="0">SUM(AT19:BH19)</f>
        <v>-1359457.7959575919</v>
      </c>
      <c r="BJ19" s="108"/>
      <c r="BK19" s="108"/>
      <c r="BL19" s="262"/>
      <c r="BM19" s="262" t="s">
        <v>335</v>
      </c>
      <c r="BN19" s="292">
        <v>0</v>
      </c>
      <c r="BO19" s="292">
        <v>0</v>
      </c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>
        <v>0</v>
      </c>
      <c r="AU20" s="289">
        <v>0</v>
      </c>
      <c r="AV20" s="289">
        <f>MCC_M_RUVY_matrices_mat_level!AT85*MCC_h_RUVY_matrices_mat_level!AT85 /MCC_MW_RUVY_matrices_mat_level!AV20</f>
        <v>9126570.1860198174</v>
      </c>
      <c r="AW20" s="289">
        <v>0</v>
      </c>
      <c r="AX20" s="289">
        <v>0</v>
      </c>
      <c r="AY20" s="289">
        <v>0</v>
      </c>
      <c r="AZ20" s="289">
        <v>0</v>
      </c>
      <c r="BA20" s="289">
        <v>0</v>
      </c>
      <c r="BB20" s="289">
        <v>0</v>
      </c>
      <c r="BC20" s="289">
        <v>0</v>
      </c>
      <c r="BD20" s="289">
        <v>0</v>
      </c>
      <c r="BE20" s="289">
        <v>0</v>
      </c>
      <c r="BF20" s="289">
        <v>0</v>
      </c>
      <c r="BG20" s="289">
        <v>0</v>
      </c>
      <c r="BH20" s="289">
        <v>0</v>
      </c>
      <c r="BI20" s="291">
        <f t="shared" si="0"/>
        <v>9126570.1860198174</v>
      </c>
      <c r="BJ20" s="108"/>
      <c r="BK20" s="108"/>
      <c r="BL20" s="262"/>
      <c r="BM20" s="262" t="s">
        <v>336</v>
      </c>
      <c r="BN20" s="292">
        <v>0</v>
      </c>
      <c r="BO20" s="292">
        <v>0</v>
      </c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f>MCC_M_RUVY_matrices_mat_level!AR86*MCC_h_RUVY_matrices_mat_level!AR86 /MCC_MW_RUVY_matrices_mat_level!AT21</f>
        <v>0</v>
      </c>
      <c r="AU21" s="289">
        <f>MCC_M_RUVY_matrices_mat_level!AS86*MCC_h_RUVY_matrices_mat_level!AS86 /MCC_MW_RUVY_matrices_mat_level!AU21</f>
        <v>0</v>
      </c>
      <c r="AV21" s="289">
        <f>MCC_M_RUVY_matrices_mat_level!AT86*MCC_h_RUVY_matrices_mat_level!AT86 /MCC_MW_RUVY_matrices_mat_level!AV21</f>
        <v>0</v>
      </c>
      <c r="AW21" s="289">
        <v>0</v>
      </c>
      <c r="AX21" s="289">
        <v>0</v>
      </c>
      <c r="AY21" s="289">
        <v>0</v>
      </c>
      <c r="AZ21" s="289">
        <v>0</v>
      </c>
      <c r="BA21" s="289">
        <v>0</v>
      </c>
      <c r="BB21" s="289">
        <v>0</v>
      </c>
      <c r="BC21" s="289">
        <f>MCC_M_RUVY_matrices_mat_level!BA86*MCC_h_RUVY_matrices_mat_level!BA86 /MCC_MW_RUVY_matrices_mat_level!BC21</f>
        <v>0</v>
      </c>
      <c r="BD21" s="289">
        <f>MCC_M_RUVY_matrices_mat_level!BB86*MCC_h_RUVY_matrices_mat_level!BB86 /MCC_MW_RUVY_matrices_mat_level!BD21</f>
        <v>0</v>
      </c>
      <c r="BE21" s="289">
        <v>0</v>
      </c>
      <c r="BF21" s="289">
        <v>0</v>
      </c>
      <c r="BG21" s="289">
        <v>0</v>
      </c>
      <c r="BH21" s="289">
        <f>MCC_M_RUVY_matrices_mat_level!BF86*MCC_h_RUVY_matrices_mat_level!BF86 /MCC_MW_RUVY_matrices_mat_level!BH21</f>
        <v>0</v>
      </c>
      <c r="BI21" s="291">
        <f t="shared" si="0"/>
        <v>0</v>
      </c>
      <c r="BJ21" s="108"/>
      <c r="BK21" s="108"/>
      <c r="BL21" s="262"/>
      <c r="BM21" s="262" t="s">
        <v>355</v>
      </c>
      <c r="BN21" s="292">
        <v>0</v>
      </c>
      <c r="BO21" s="292">
        <v>0</v>
      </c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>
        <v>0</v>
      </c>
      <c r="AU22" s="289">
        <v>0</v>
      </c>
      <c r="AV22" s="289">
        <v>0</v>
      </c>
      <c r="AW22" s="289">
        <v>0</v>
      </c>
      <c r="AX22" s="289">
        <v>0</v>
      </c>
      <c r="AY22" s="289">
        <v>0</v>
      </c>
      <c r="AZ22" s="289">
        <v>0</v>
      </c>
      <c r="BA22" s="289">
        <v>0</v>
      </c>
      <c r="BB22" s="289">
        <v>0</v>
      </c>
      <c r="BC22" s="289">
        <f>MCC_M_RUVY_matrices_mat_level!BA87*MCC_h_RUVY_matrices_mat_level!BA87 /MCC_MW_RUVY_matrices_mat_level!BC22</f>
        <v>-174982.33358796954</v>
      </c>
      <c r="BD22" s="289">
        <f>MCC_M_RUVY_matrices_mat_level!BB87*MCC_h_RUVY_matrices_mat_level!BB87 /MCC_MW_RUVY_matrices_mat_level!BD22</f>
        <v>-949206.42548067577</v>
      </c>
      <c r="BE22" s="289">
        <v>0</v>
      </c>
      <c r="BF22" s="289">
        <v>0</v>
      </c>
      <c r="BG22" s="289">
        <v>0</v>
      </c>
      <c r="BH22" s="289">
        <f>MCC_M_RUVY_matrices_mat_level!BF87*MCC_h_RUVY_matrices_mat_level!BF87 /MCC_MW_RUVY_matrices_mat_level!BH22</f>
        <v>-208916.35016621815</v>
      </c>
      <c r="BI22" s="291">
        <f t="shared" si="0"/>
        <v>-1333105.1092348634</v>
      </c>
      <c r="BJ22" s="108"/>
      <c r="BK22" s="108"/>
      <c r="BL22" s="262"/>
      <c r="BM22" s="262" t="s">
        <v>377</v>
      </c>
      <c r="BN22" s="292">
        <v>0</v>
      </c>
      <c r="BO22" s="292">
        <v>0</v>
      </c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f>MCC_M_RUVY_matrices_mat_level!AR88*MCC_h_RUVY_matrices_mat_level!AR88 /MCC_MW_RUVY_matrices_mat_level!AT23</f>
        <v>88160.656904773379</v>
      </c>
      <c r="AU23" s="289">
        <f>MCC_M_RUVY_matrices_mat_level!AS88*MCC_h_RUVY_matrices_mat_level!AS88 /MCC_MW_RUVY_matrices_mat_level!AU23</f>
        <v>241.59146310558404</v>
      </c>
      <c r="AV23" s="289">
        <f>MCC_M_RUVY_matrices_mat_level!AT88*MCC_h_RUVY_matrices_mat_level!AT88 /MCC_MW_RUVY_matrices_mat_level!AV23</f>
        <v>21827.121921766418</v>
      </c>
      <c r="AW23" s="289">
        <v>0</v>
      </c>
      <c r="AX23" s="289">
        <v>0</v>
      </c>
      <c r="AY23" s="289">
        <v>0</v>
      </c>
      <c r="AZ23" s="289">
        <v>0</v>
      </c>
      <c r="BA23" s="289">
        <v>0</v>
      </c>
      <c r="BB23" s="289">
        <v>0</v>
      </c>
      <c r="BC23" s="289">
        <v>0</v>
      </c>
      <c r="BD23" s="289">
        <v>0</v>
      </c>
      <c r="BE23" s="289">
        <v>0</v>
      </c>
      <c r="BF23" s="289">
        <v>0</v>
      </c>
      <c r="BG23" s="289">
        <v>0</v>
      </c>
      <c r="BH23" s="289">
        <v>0</v>
      </c>
      <c r="BI23" s="291">
        <f t="shared" si="0"/>
        <v>110229.37028964538</v>
      </c>
      <c r="BJ23" s="108"/>
      <c r="BK23" s="108"/>
      <c r="BL23" s="262"/>
      <c r="BM23" s="262" t="s">
        <v>466</v>
      </c>
      <c r="BN23" s="292">
        <v>0</v>
      </c>
      <c r="BO23" s="292">
        <v>0</v>
      </c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>
        <v>0</v>
      </c>
      <c r="AU24" s="289">
        <f>MCC_M_RUVY_matrices_mat_level!AS89*MCC_h_RUVY_matrices_mat_level!AS89 /MCC_MW_RUVY_matrices_mat_level!AU24</f>
        <v>-1.1322425723331082</v>
      </c>
      <c r="AV24" s="289">
        <v>0</v>
      </c>
      <c r="AW24" s="289">
        <v>0</v>
      </c>
      <c r="AX24" s="289">
        <v>0</v>
      </c>
      <c r="AY24" s="289">
        <v>0</v>
      </c>
      <c r="AZ24" s="289">
        <v>0</v>
      </c>
      <c r="BA24" s="289">
        <v>0</v>
      </c>
      <c r="BB24" s="289">
        <v>0</v>
      </c>
      <c r="BC24" s="289">
        <v>0</v>
      </c>
      <c r="BD24" s="289">
        <v>0</v>
      </c>
      <c r="BE24" s="289">
        <v>0</v>
      </c>
      <c r="BF24" s="289">
        <v>0</v>
      </c>
      <c r="BG24" s="289">
        <v>0</v>
      </c>
      <c r="BH24" s="289">
        <v>0</v>
      </c>
      <c r="BI24" s="291">
        <f t="shared" si="0"/>
        <v>-1.1322425723331082</v>
      </c>
      <c r="BJ24" s="108"/>
      <c r="BK24" s="108"/>
      <c r="BL24" s="262"/>
      <c r="BM24" s="262" t="s">
        <v>467</v>
      </c>
      <c r="BN24" s="292">
        <v>0</v>
      </c>
      <c r="BO24" s="292">
        <v>0</v>
      </c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>
        <v>0</v>
      </c>
      <c r="AU25" s="289">
        <v>0</v>
      </c>
      <c r="AV25" s="289">
        <v>0</v>
      </c>
      <c r="AW25" s="289">
        <v>0</v>
      </c>
      <c r="AX25" s="289">
        <v>0</v>
      </c>
      <c r="AY25" s="289">
        <v>0</v>
      </c>
      <c r="AZ25" s="289">
        <v>0</v>
      </c>
      <c r="BA25" s="289">
        <v>0</v>
      </c>
      <c r="BB25" s="289">
        <v>0</v>
      </c>
      <c r="BC25" s="289">
        <v>0</v>
      </c>
      <c r="BD25" s="289">
        <v>0</v>
      </c>
      <c r="BE25" s="289">
        <v>0</v>
      </c>
      <c r="BF25" s="289">
        <v>0</v>
      </c>
      <c r="BG25" s="289">
        <v>0</v>
      </c>
      <c r="BH25" s="289">
        <f>MCC_M_RUVY_matrices_mat_level!BF90*MCC_h_RUVY_matrices_mat_level!BF90 /MCC_MW_RUVY_matrices_mat_level!BH25</f>
        <v>194131.36779323625</v>
      </c>
      <c r="BI25" s="291">
        <f t="shared" si="0"/>
        <v>194131.36779323625</v>
      </c>
      <c r="BJ25" s="108"/>
      <c r="BK25" s="108"/>
      <c r="BL25" s="262"/>
      <c r="BM25" s="262" t="s">
        <v>411</v>
      </c>
      <c r="BN25" s="292">
        <v>0</v>
      </c>
      <c r="BO25" s="292">
        <v>0</v>
      </c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>
        <v>0</v>
      </c>
      <c r="AU26" s="289">
        <v>0</v>
      </c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>
        <v>0</v>
      </c>
      <c r="BD26" s="289">
        <v>0</v>
      </c>
      <c r="BE26" s="289">
        <v>0</v>
      </c>
      <c r="BF26" s="289">
        <v>0</v>
      </c>
      <c r="BG26" s="289">
        <v>0</v>
      </c>
      <c r="BH26" s="289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>
        <v>0</v>
      </c>
      <c r="BO26" s="292">
        <v>0</v>
      </c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>
        <v>0</v>
      </c>
      <c r="AU27" s="289">
        <v>0</v>
      </c>
      <c r="AV27" s="289">
        <v>0</v>
      </c>
      <c r="AW27" s="289">
        <f>MCC_M_RUVY_matrices_mat_level!AU92*MCC_h_RUVY_matrices_mat_level!AU92 /MCC_MW_RUVY_matrices_mat_level!AW27</f>
        <v>-1777985.4355511186</v>
      </c>
      <c r="AX27" s="289">
        <v>0</v>
      </c>
      <c r="AY27" s="289">
        <v>0</v>
      </c>
      <c r="AZ27" s="289">
        <v>0</v>
      </c>
      <c r="BA27" s="289">
        <v>0</v>
      </c>
      <c r="BB27" s="289">
        <v>0</v>
      </c>
      <c r="BC27" s="289">
        <v>0</v>
      </c>
      <c r="BD27" s="289">
        <v>0</v>
      </c>
      <c r="BE27" s="289">
        <v>0</v>
      </c>
      <c r="BF27" s="289">
        <v>0</v>
      </c>
      <c r="BG27" s="289">
        <v>0</v>
      </c>
      <c r="BH27" s="289">
        <v>0</v>
      </c>
      <c r="BI27" s="291">
        <f t="shared" si="0"/>
        <v>-1777985.4355511186</v>
      </c>
      <c r="BJ27" s="108"/>
      <c r="BK27" s="108"/>
      <c r="BL27" s="294"/>
      <c r="BM27" s="262" t="s">
        <v>442</v>
      </c>
      <c r="BN27" s="292">
        <v>0</v>
      </c>
      <c r="BO27" s="292">
        <v>0</v>
      </c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>
        <v>0</v>
      </c>
      <c r="AU28" s="289">
        <v>0</v>
      </c>
      <c r="AV28" s="289">
        <v>0</v>
      </c>
      <c r="AW28" s="289">
        <v>0</v>
      </c>
      <c r="AX28" s="289">
        <v>0</v>
      </c>
      <c r="AY28" s="289">
        <v>0</v>
      </c>
      <c r="AZ28" s="289">
        <v>0</v>
      </c>
      <c r="BA28" s="289">
        <v>0</v>
      </c>
      <c r="BB28" s="289">
        <v>0</v>
      </c>
      <c r="BC28" s="289">
        <v>0</v>
      </c>
      <c r="BD28" s="289">
        <v>0</v>
      </c>
      <c r="BE28" s="289">
        <v>0</v>
      </c>
      <c r="BF28" s="289">
        <v>0</v>
      </c>
      <c r="BG28" s="289">
        <v>0</v>
      </c>
      <c r="BH28" s="289">
        <v>0</v>
      </c>
      <c r="BI28" s="291">
        <f t="shared" si="0"/>
        <v>0</v>
      </c>
      <c r="BJ28" s="108"/>
      <c r="BK28" s="108"/>
      <c r="BL28" s="262"/>
      <c r="BM28" s="262" t="s">
        <v>409</v>
      </c>
      <c r="BN28" s="292">
        <v>0</v>
      </c>
      <c r="BO28" s="292">
        <f>MCC_M_RUVY_matrices_mat_level!BM93*MCC_h_RUVY_matrices_mat_level!BM93 / MCC_MW_RUVY_matrices_mat_level!BO28</f>
        <v>-35429.897676176748</v>
      </c>
      <c r="BP28" s="265">
        <f t="shared" si="1"/>
        <v>-35429.897676176748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>
        <v>0</v>
      </c>
      <c r="AU29" s="289">
        <v>0</v>
      </c>
      <c r="AV29" s="289">
        <v>0</v>
      </c>
      <c r="AW29" s="289">
        <v>0</v>
      </c>
      <c r="AX29" s="289">
        <f>MCC_M_RUVY_matrices_mat_level!AV94*MCC_h_RUVY_matrices_mat_level!AV94 /MCC_MW_RUVY_matrices_mat_level!AX29</f>
        <v>-1359457.7959575919</v>
      </c>
      <c r="AY29" s="289">
        <v>0</v>
      </c>
      <c r="AZ29" s="289">
        <v>0</v>
      </c>
      <c r="BA29" s="289">
        <v>0</v>
      </c>
      <c r="BB29" s="289">
        <v>0</v>
      </c>
      <c r="BC29" s="289">
        <v>0</v>
      </c>
      <c r="BD29" s="289">
        <v>0</v>
      </c>
      <c r="BE29" s="289">
        <v>0</v>
      </c>
      <c r="BF29" s="289">
        <v>0</v>
      </c>
      <c r="BG29" s="289">
        <v>0</v>
      </c>
      <c r="BH29" s="289">
        <v>0</v>
      </c>
      <c r="BI29" s="291">
        <f t="shared" si="0"/>
        <v>-1359457.7959575919</v>
      </c>
      <c r="BJ29" s="108"/>
      <c r="BK29" s="108"/>
      <c r="BL29" s="294"/>
      <c r="BM29" s="262" t="s">
        <v>412</v>
      </c>
      <c r="BN29" s="292">
        <v>0</v>
      </c>
      <c r="BO29" s="292">
        <v>0</v>
      </c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>
        <v>0</v>
      </c>
      <c r="AU30" s="289">
        <v>0</v>
      </c>
      <c r="AV30" s="289">
        <v>0</v>
      </c>
      <c r="AW30" s="289">
        <v>0</v>
      </c>
      <c r="AX30" s="289">
        <v>0</v>
      </c>
      <c r="AY30" s="289">
        <v>0</v>
      </c>
      <c r="AZ30" s="289">
        <v>0</v>
      </c>
      <c r="BA30" s="289">
        <v>0</v>
      </c>
      <c r="BB30" s="289">
        <v>0</v>
      </c>
      <c r="BC30" s="289">
        <v>0</v>
      </c>
      <c r="BD30" s="289">
        <v>0</v>
      </c>
      <c r="BE30" s="289">
        <v>0</v>
      </c>
      <c r="BF30" s="289">
        <v>0</v>
      </c>
      <c r="BG30" s="289">
        <v>0</v>
      </c>
      <c r="BH30" s="289">
        <v>0</v>
      </c>
      <c r="BI30" s="291">
        <f t="shared" si="0"/>
        <v>0</v>
      </c>
      <c r="BJ30" s="108"/>
      <c r="BK30" s="108"/>
      <c r="BL30" s="262"/>
      <c r="BM30" s="262" t="s">
        <v>437</v>
      </c>
      <c r="BN30" s="292">
        <v>0</v>
      </c>
      <c r="BO30" s="292">
        <f>MCC_M_RUVY_matrices_mat_level!BM95*MCC_h_RUVY_matrices_mat_level!BM95 / MCC_MW_RUVY_matrices_mat_level!BO30</f>
        <v>-106.02767886152715</v>
      </c>
      <c r="BP30" s="265">
        <f t="shared" si="1"/>
        <v>-106.02767886152715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>
        <v>0</v>
      </c>
      <c r="AU31" s="289">
        <v>0</v>
      </c>
      <c r="AV31" s="289">
        <v>0</v>
      </c>
      <c r="AW31" s="289">
        <v>0</v>
      </c>
      <c r="AX31" s="289">
        <v>0</v>
      </c>
      <c r="AY31" s="289">
        <f>MCC_M_RUVY_matrices_mat_level!AW96*MCC_h_RUVY_matrices_mat_level!AW96 /MCC_MW_RUVY_matrices_mat_level!AY31</f>
        <v>9126570.1860198174</v>
      </c>
      <c r="AZ31" s="289">
        <v>0</v>
      </c>
      <c r="BA31" s="289">
        <v>0</v>
      </c>
      <c r="BB31" s="289">
        <v>0</v>
      </c>
      <c r="BC31" s="289">
        <v>0</v>
      </c>
      <c r="BD31" s="289">
        <v>0</v>
      </c>
      <c r="BE31" s="289">
        <v>0</v>
      </c>
      <c r="BF31" s="289">
        <v>0</v>
      </c>
      <c r="BG31" s="289">
        <v>0</v>
      </c>
      <c r="BH31" s="289">
        <v>0</v>
      </c>
      <c r="BI31" s="291">
        <f t="shared" si="0"/>
        <v>9126570.1860198174</v>
      </c>
      <c r="BJ31" s="108"/>
      <c r="BK31" s="108"/>
      <c r="BL31" s="175"/>
      <c r="BM31" s="262" t="s">
        <v>430</v>
      </c>
      <c r="BN31" s="292">
        <v>0</v>
      </c>
      <c r="BO31" s="292">
        <v>0</v>
      </c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>
        <v>0</v>
      </c>
      <c r="AU32" s="289">
        <v>0</v>
      </c>
      <c r="AV32" s="289">
        <v>0</v>
      </c>
      <c r="AW32" s="289">
        <v>0</v>
      </c>
      <c r="AX32" s="289">
        <v>0</v>
      </c>
      <c r="AY32" s="289">
        <v>0</v>
      </c>
      <c r="AZ32" s="289">
        <v>0</v>
      </c>
      <c r="BA32" s="289">
        <v>0</v>
      </c>
      <c r="BB32" s="289">
        <v>0</v>
      </c>
      <c r="BC32" s="289">
        <v>0</v>
      </c>
      <c r="BD32" s="289">
        <v>0</v>
      </c>
      <c r="BE32" s="289">
        <v>0</v>
      </c>
      <c r="BF32" s="289">
        <v>0</v>
      </c>
      <c r="BG32" s="289">
        <v>0</v>
      </c>
      <c r="BH32" s="289">
        <v>0</v>
      </c>
      <c r="BI32" s="291">
        <f t="shared" si="0"/>
        <v>0</v>
      </c>
      <c r="BJ32" s="108"/>
      <c r="BK32" s="108"/>
      <c r="BL32" s="262"/>
      <c r="BM32" s="262" t="s">
        <v>416</v>
      </c>
      <c r="BN32" s="292">
        <v>0</v>
      </c>
      <c r="BO32" s="292">
        <f>MCC_M_RUVY_matrices_mat_level!BM97*MCC_h_RUVY_matrices_mat_level!BM97 / MCC_MW_RUVY_matrices_mat_level!BO32</f>
        <v>-8771.8572366008211</v>
      </c>
      <c r="BP32" s="265">
        <f t="shared" si="1"/>
        <v>-8771.8572366008211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>
        <v>0</v>
      </c>
      <c r="AU33" s="289">
        <v>0</v>
      </c>
      <c r="AV33" s="289">
        <v>0</v>
      </c>
      <c r="AW33" s="289">
        <v>0</v>
      </c>
      <c r="AX33" s="289">
        <v>0</v>
      </c>
      <c r="AY33" s="289">
        <v>0</v>
      </c>
      <c r="AZ33" s="289">
        <f>MCC_M_RUVY_matrices_mat_level!AX98*MCC_h_RUVY_matrices_mat_level!AX98 /MCC_MW_RUVY_matrices_mat_level!AZ33</f>
        <v>-1777985.4355511186</v>
      </c>
      <c r="BA33" s="289">
        <v>0</v>
      </c>
      <c r="BB33" s="289">
        <v>0</v>
      </c>
      <c r="BC33" s="289">
        <v>0</v>
      </c>
      <c r="BD33" s="289">
        <v>0</v>
      </c>
      <c r="BE33" s="289">
        <v>0</v>
      </c>
      <c r="BF33" s="289">
        <v>0</v>
      </c>
      <c r="BG33" s="289">
        <v>0</v>
      </c>
      <c r="BH33" s="289">
        <v>0</v>
      </c>
      <c r="BI33" s="291">
        <f t="shared" si="0"/>
        <v>-1777985.4355511186</v>
      </c>
      <c r="BJ33" s="108"/>
      <c r="BK33" s="108"/>
      <c r="BL33" s="294"/>
      <c r="BM33" s="262" t="s">
        <v>441</v>
      </c>
      <c r="BN33" s="292">
        <v>0</v>
      </c>
      <c r="BO33" s="292">
        <v>0</v>
      </c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>
        <v>0</v>
      </c>
      <c r="AU34" s="289">
        <v>0</v>
      </c>
      <c r="AV34" s="289">
        <v>0</v>
      </c>
      <c r="AW34" s="289">
        <v>0</v>
      </c>
      <c r="AX34" s="289">
        <v>0</v>
      </c>
      <c r="AY34" s="289">
        <v>0</v>
      </c>
      <c r="AZ34" s="289">
        <v>0</v>
      </c>
      <c r="BA34" s="289">
        <f>MCC_M_RUVY_matrices_mat_level!AY99*MCC_h_RUVY_matrices_mat_level!AY99 /MCC_MW_RUVY_matrices_mat_level!BA34</f>
        <v>-1359457.7959575919</v>
      </c>
      <c r="BB34" s="289">
        <v>0</v>
      </c>
      <c r="BC34" s="289">
        <v>0</v>
      </c>
      <c r="BD34" s="289">
        <v>0</v>
      </c>
      <c r="BE34" s="289">
        <v>0</v>
      </c>
      <c r="BF34" s="289">
        <v>0</v>
      </c>
      <c r="BG34" s="289">
        <v>0</v>
      </c>
      <c r="BH34" s="289">
        <v>0</v>
      </c>
      <c r="BI34" s="291">
        <f t="shared" si="0"/>
        <v>-1359457.7959575919</v>
      </c>
      <c r="BJ34" s="108"/>
      <c r="BK34" s="108"/>
      <c r="BL34" s="294"/>
      <c r="BM34" s="262" t="s">
        <v>436</v>
      </c>
      <c r="BN34" s="292">
        <v>0</v>
      </c>
      <c r="BO34" s="292">
        <v>0</v>
      </c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>
        <v>0</v>
      </c>
      <c r="AU35" s="289">
        <v>0</v>
      </c>
      <c r="AV35" s="289">
        <v>0</v>
      </c>
      <c r="AW35" s="289">
        <v>0</v>
      </c>
      <c r="AX35" s="289">
        <v>0</v>
      </c>
      <c r="AY35" s="289">
        <v>0</v>
      </c>
      <c r="AZ35" s="289">
        <v>0</v>
      </c>
      <c r="BA35" s="289">
        <v>0</v>
      </c>
      <c r="BB35" s="289">
        <f>MCC_M_RUVY_matrices_mat_level!AZ100*MCC_h_RUVY_matrices_mat_level!AZ100 /MCC_MW_RUVY_matrices_mat_level!BB35</f>
        <v>9126570.1860198174</v>
      </c>
      <c r="BC35" s="289">
        <v>0</v>
      </c>
      <c r="BD35" s="289">
        <v>0</v>
      </c>
      <c r="BE35" s="289">
        <v>0</v>
      </c>
      <c r="BF35" s="289">
        <v>0</v>
      </c>
      <c r="BG35" s="289">
        <v>0</v>
      </c>
      <c r="BH35" s="289">
        <v>0</v>
      </c>
      <c r="BI35" s="291">
        <f t="shared" si="0"/>
        <v>9126570.1860198174</v>
      </c>
      <c r="BJ35" s="108"/>
      <c r="BK35" s="108"/>
      <c r="BL35" s="294"/>
      <c r="BM35" s="262" t="s">
        <v>433</v>
      </c>
      <c r="BN35" s="292">
        <v>0</v>
      </c>
      <c r="BO35" s="292">
        <v>0</v>
      </c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>
        <v>0</v>
      </c>
      <c r="AU36" s="289">
        <v>0</v>
      </c>
      <c r="AV36" s="289">
        <v>0</v>
      </c>
      <c r="AW36" s="289">
        <v>0</v>
      </c>
      <c r="AX36" s="289">
        <v>0</v>
      </c>
      <c r="AY36" s="289">
        <v>0</v>
      </c>
      <c r="AZ36" s="289">
        <v>0</v>
      </c>
      <c r="BA36" s="289">
        <v>0</v>
      </c>
      <c r="BB36" s="289">
        <v>0</v>
      </c>
      <c r="BC36" s="289">
        <v>0</v>
      </c>
      <c r="BD36" s="289">
        <v>0</v>
      </c>
      <c r="BE36" s="289">
        <v>0</v>
      </c>
      <c r="BF36" s="289">
        <v>0</v>
      </c>
      <c r="BG36" s="289">
        <f>MCC_M_RUVY_matrices_mat_level!BE101*MCC_h_RUVY_matrices_mat_level!BE101 /MCC_MW_RUVY_matrices_mat_level!BG36</f>
        <v>-3797055.1820632704</v>
      </c>
      <c r="BH36" s="289">
        <v>0</v>
      </c>
      <c r="BI36" s="291">
        <f t="shared" si="0"/>
        <v>-3797055.1820632704</v>
      </c>
      <c r="BJ36" s="108"/>
      <c r="BK36" s="108"/>
      <c r="BL36" s="294"/>
      <c r="BM36" s="262" t="s">
        <v>439</v>
      </c>
      <c r="BN36" s="292">
        <v>0</v>
      </c>
      <c r="BO36" s="292">
        <v>0</v>
      </c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>
        <v>0</v>
      </c>
      <c r="AU37" s="289">
        <v>0</v>
      </c>
      <c r="AV37" s="289">
        <v>0</v>
      </c>
      <c r="AW37" s="289">
        <v>0</v>
      </c>
      <c r="AX37" s="289">
        <v>0</v>
      </c>
      <c r="AY37" s="289">
        <v>0</v>
      </c>
      <c r="AZ37" s="289">
        <v>0</v>
      </c>
      <c r="BA37" s="289">
        <v>0</v>
      </c>
      <c r="BB37" s="289">
        <v>0</v>
      </c>
      <c r="BC37" s="289">
        <v>0</v>
      </c>
      <c r="BD37" s="289">
        <v>0</v>
      </c>
      <c r="BE37" s="289">
        <v>0</v>
      </c>
      <c r="BF37" s="289">
        <v>0</v>
      </c>
      <c r="BG37" s="289">
        <v>0</v>
      </c>
      <c r="BH37" s="289">
        <v>0</v>
      </c>
      <c r="BI37" s="291">
        <f t="shared" si="0"/>
        <v>0</v>
      </c>
      <c r="BJ37" s="298"/>
      <c r="BK37" s="108"/>
      <c r="BL37" s="175"/>
      <c r="BM37" s="262" t="s">
        <v>438</v>
      </c>
      <c r="BN37" s="292">
        <v>0</v>
      </c>
      <c r="BO37" s="292">
        <f>MCC_M_RUVY_matrices_mat_level!BM102*MCC_h_RUVY_matrices_mat_level!BM102 / MCC_MW_RUVY_matrices_mat_level!BO37</f>
        <v>-66021.418271669754</v>
      </c>
      <c r="BP37" s="265">
        <f t="shared" si="1"/>
        <v>-66021.418271669754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>
        <v>0</v>
      </c>
      <c r="AU38" s="289">
        <v>0</v>
      </c>
      <c r="AV38" s="289">
        <v>0</v>
      </c>
      <c r="AW38" s="289">
        <v>0</v>
      </c>
      <c r="AX38" s="289">
        <v>0</v>
      </c>
      <c r="AY38" s="289">
        <v>0</v>
      </c>
      <c r="AZ38" s="289">
        <v>0</v>
      </c>
      <c r="BA38" s="289">
        <v>0</v>
      </c>
      <c r="BB38" s="289">
        <v>0</v>
      </c>
      <c r="BC38" s="289">
        <f>MCC_M_RUVY_matrices_mat_level!BA103*MCC_h_RUVY_matrices_mat_level!BA103 /MCC_MW_RUVY_matrices_mat_level!BC38</f>
        <v>-1359457.7959575919</v>
      </c>
      <c r="BD38" s="289">
        <v>0</v>
      </c>
      <c r="BE38" s="289">
        <v>0</v>
      </c>
      <c r="BF38" s="289">
        <v>0</v>
      </c>
      <c r="BG38" s="289">
        <v>0</v>
      </c>
      <c r="BH38" s="289">
        <v>0</v>
      </c>
      <c r="BI38" s="291">
        <f t="shared" si="0"/>
        <v>-1359457.7959575919</v>
      </c>
      <c r="BJ38" s="108"/>
      <c r="BK38" s="108"/>
      <c r="BL38" s="175"/>
      <c r="BM38" s="262" t="s">
        <v>424</v>
      </c>
      <c r="BN38" s="292">
        <v>0</v>
      </c>
      <c r="BO38" s="292">
        <v>0</v>
      </c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>
        <v>0</v>
      </c>
      <c r="AU39" s="289">
        <v>0</v>
      </c>
      <c r="AV39" s="289">
        <v>0</v>
      </c>
      <c r="AW39" s="289">
        <v>0</v>
      </c>
      <c r="AX39" s="289">
        <v>0</v>
      </c>
      <c r="AY39" s="289">
        <v>0</v>
      </c>
      <c r="AZ39" s="289">
        <v>0</v>
      </c>
      <c r="BA39" s="289">
        <v>0</v>
      </c>
      <c r="BB39" s="289">
        <v>0</v>
      </c>
      <c r="BC39" s="289">
        <v>0</v>
      </c>
      <c r="BD39" s="289">
        <f>MCC_M_RUVY_matrices_mat_level!BB104*MCC_h_RUVY_matrices_mat_level!BB104 /MCC_MW_RUVY_matrices_mat_level!BD39</f>
        <v>9126570.1860198174</v>
      </c>
      <c r="BE39" s="289">
        <v>0</v>
      </c>
      <c r="BF39" s="289">
        <v>0</v>
      </c>
      <c r="BG39" s="289">
        <v>0</v>
      </c>
      <c r="BH39" s="289">
        <v>0</v>
      </c>
      <c r="BI39" s="291">
        <f t="shared" si="0"/>
        <v>9126570.1860198174</v>
      </c>
      <c r="BJ39" s="108"/>
      <c r="BK39" s="108"/>
      <c r="BL39" s="175"/>
      <c r="BM39" s="262" t="s">
        <v>456</v>
      </c>
      <c r="BN39" s="292">
        <v>0</v>
      </c>
      <c r="BO39" s="292">
        <v>0</v>
      </c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>
        <v>0</v>
      </c>
      <c r="AU40" s="289">
        <v>0</v>
      </c>
      <c r="AV40" s="289">
        <v>0</v>
      </c>
      <c r="AW40" s="289">
        <v>0</v>
      </c>
      <c r="AX40" s="289">
        <v>0</v>
      </c>
      <c r="AY40" s="289">
        <v>0</v>
      </c>
      <c r="AZ40" s="289">
        <v>0</v>
      </c>
      <c r="BA40" s="289">
        <v>0</v>
      </c>
      <c r="BB40" s="289">
        <v>0</v>
      </c>
      <c r="BC40" s="289">
        <v>0</v>
      </c>
      <c r="BD40" s="289">
        <v>0</v>
      </c>
      <c r="BE40" s="289">
        <v>0</v>
      </c>
      <c r="BF40" s="289">
        <v>0</v>
      </c>
      <c r="BG40" s="289">
        <f>MCC_M_RUVY_matrices_mat_level!BE105*MCC_h_RUVY_matrices_mat_level!BE105 /MCC_MW_RUVY_matrices_mat_level!BG40</f>
        <v>-1256817.6045988721</v>
      </c>
      <c r="BH40" s="289">
        <v>0</v>
      </c>
      <c r="BI40" s="291">
        <f t="shared" si="0"/>
        <v>-1256817.6045988721</v>
      </c>
      <c r="BJ40" s="108"/>
      <c r="BK40" s="108"/>
      <c r="BL40" s="175"/>
      <c r="BM40" s="262" t="s">
        <v>425</v>
      </c>
      <c r="BN40" s="292">
        <v>0</v>
      </c>
      <c r="BO40" s="292">
        <v>0</v>
      </c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>
        <v>0</v>
      </c>
      <c r="AU41" s="289">
        <v>0</v>
      </c>
      <c r="AV41" s="289">
        <v>0</v>
      </c>
      <c r="AW41" s="289">
        <v>0</v>
      </c>
      <c r="AX41" s="289">
        <v>0</v>
      </c>
      <c r="AY41" s="289">
        <v>0</v>
      </c>
      <c r="AZ41" s="289">
        <v>0</v>
      </c>
      <c r="BA41" s="289">
        <v>0</v>
      </c>
      <c r="BB41" s="289">
        <v>0</v>
      </c>
      <c r="BC41" s="289">
        <v>0</v>
      </c>
      <c r="BD41" s="289">
        <v>0</v>
      </c>
      <c r="BE41" s="289">
        <v>0</v>
      </c>
      <c r="BF41" s="289">
        <v>0</v>
      </c>
      <c r="BG41" s="289">
        <v>0</v>
      </c>
      <c r="BH41" s="289">
        <v>0</v>
      </c>
      <c r="BI41" s="291">
        <f t="shared" si="0"/>
        <v>0</v>
      </c>
      <c r="BJ41" s="108"/>
      <c r="BK41" s="108"/>
      <c r="BL41" s="175"/>
      <c r="BM41" s="262" t="s">
        <v>427</v>
      </c>
      <c r="BN41" s="292">
        <v>0</v>
      </c>
      <c r="BO41" s="292">
        <f>MCC_M_RUVY_matrices_mat_level!BM106*MCC_h_RUVY_matrices_mat_level!BM106 / MCC_MW_RUVY_matrices_mat_level!BO41</f>
        <v>-74404.460335125405</v>
      </c>
      <c r="BP41" s="265">
        <f t="shared" si="1"/>
        <v>-74404.460335125405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>
        <v>0</v>
      </c>
      <c r="AU42" s="289">
        <v>0</v>
      </c>
      <c r="AV42" s="289">
        <v>0</v>
      </c>
      <c r="AW42" s="289">
        <v>0</v>
      </c>
      <c r="AX42" s="289">
        <v>0</v>
      </c>
      <c r="AY42" s="289">
        <v>0</v>
      </c>
      <c r="AZ42" s="289">
        <v>0</v>
      </c>
      <c r="BA42" s="289">
        <v>0</v>
      </c>
      <c r="BB42" s="289">
        <v>0</v>
      </c>
      <c r="BC42" s="289">
        <v>0</v>
      </c>
      <c r="BD42" s="289">
        <v>0</v>
      </c>
      <c r="BE42" s="289">
        <v>0</v>
      </c>
      <c r="BF42" s="289">
        <v>0</v>
      </c>
      <c r="BG42" s="289">
        <v>0</v>
      </c>
      <c r="BH42" s="289">
        <v>0</v>
      </c>
      <c r="BI42" s="291">
        <f t="shared" si="0"/>
        <v>0</v>
      </c>
      <c r="BJ42" s="108"/>
      <c r="BK42" s="108"/>
      <c r="BL42" s="175"/>
      <c r="BM42" s="262" t="s">
        <v>426</v>
      </c>
      <c r="BN42" s="292">
        <v>0</v>
      </c>
      <c r="BO42" s="292">
        <f>MCC_M_RUVY_matrices_mat_level!BM107*MCC_h_RUVY_matrices_mat_level!BM107 / MCC_MW_RUVY_matrices_mat_level!BO42</f>
        <v>-1082643.9792420177</v>
      </c>
      <c r="BP42" s="265">
        <f t="shared" si="1"/>
        <v>-1082643.9792420177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>
        <v>0</v>
      </c>
      <c r="AU43" s="289">
        <v>0</v>
      </c>
      <c r="AV43" s="289">
        <v>0</v>
      </c>
      <c r="AW43" s="289">
        <v>0</v>
      </c>
      <c r="AX43" s="289">
        <v>0</v>
      </c>
      <c r="AY43" s="289">
        <v>0</v>
      </c>
      <c r="AZ43" s="289">
        <v>0</v>
      </c>
      <c r="BA43" s="289">
        <v>0</v>
      </c>
      <c r="BB43" s="289">
        <v>0</v>
      </c>
      <c r="BC43" s="289">
        <v>0</v>
      </c>
      <c r="BD43" s="289">
        <v>0</v>
      </c>
      <c r="BE43" s="289">
        <v>0</v>
      </c>
      <c r="BF43" s="289">
        <v>0</v>
      </c>
      <c r="BG43" s="289">
        <f>MCC_M_RUVY_matrices_mat_level!BE108*MCC_h_RUVY_matrices_mat_level!BE108 /MCC_MW_RUVY_matrices_mat_level!BG43</f>
        <v>6114656.4031687425</v>
      </c>
      <c r="BH43" s="289">
        <v>0</v>
      </c>
      <c r="BI43" s="291">
        <f t="shared" si="0"/>
        <v>6114656.4031687425</v>
      </c>
      <c r="BJ43" s="108"/>
      <c r="BK43" s="108"/>
      <c r="BL43" s="175"/>
      <c r="BM43" s="262" t="s">
        <v>484</v>
      </c>
      <c r="BN43" s="292">
        <v>0</v>
      </c>
      <c r="BO43" s="292">
        <v>0</v>
      </c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>
        <v>0</v>
      </c>
      <c r="AU44" s="289">
        <v>0</v>
      </c>
      <c r="AV44" s="289">
        <v>0</v>
      </c>
      <c r="AW44" s="289">
        <v>0</v>
      </c>
      <c r="AX44" s="289">
        <v>0</v>
      </c>
      <c r="AY44" s="289">
        <v>0</v>
      </c>
      <c r="AZ44" s="289">
        <v>0</v>
      </c>
      <c r="BA44" s="289">
        <v>0</v>
      </c>
      <c r="BB44" s="289">
        <v>0</v>
      </c>
      <c r="BC44" s="289">
        <v>0</v>
      </c>
      <c r="BD44" s="289">
        <v>0</v>
      </c>
      <c r="BE44" s="289">
        <f>MCC_M_RUVY_matrices_mat_level!BC109*MCC_h_RUVY_matrices_mat_level!BC109 /MCC_MW_RUVY_matrices_mat_level!BE44</f>
        <v>-13740.19434752778</v>
      </c>
      <c r="BF44" s="289">
        <v>0</v>
      </c>
      <c r="BG44" s="289">
        <v>0</v>
      </c>
      <c r="BH44" s="289">
        <v>0</v>
      </c>
      <c r="BI44" s="291">
        <f t="shared" si="0"/>
        <v>-13740.19434752778</v>
      </c>
      <c r="BJ44" s="108"/>
      <c r="BK44" s="108"/>
      <c r="BL44" s="215"/>
      <c r="BM44" s="262" t="s">
        <v>422</v>
      </c>
      <c r="BN44" s="292">
        <v>0</v>
      </c>
      <c r="BO44" s="292">
        <v>0</v>
      </c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>
        <v>0</v>
      </c>
      <c r="AU45" s="289">
        <v>0</v>
      </c>
      <c r="AV45" s="289">
        <v>0</v>
      </c>
      <c r="AW45" s="289">
        <v>0</v>
      </c>
      <c r="AX45" s="289">
        <v>0</v>
      </c>
      <c r="AY45" s="289">
        <v>0</v>
      </c>
      <c r="AZ45" s="289">
        <v>0</v>
      </c>
      <c r="BA45" s="289">
        <v>0</v>
      </c>
      <c r="BB45" s="289">
        <v>0</v>
      </c>
      <c r="BC45" s="289">
        <v>0</v>
      </c>
      <c r="BD45" s="289">
        <v>0</v>
      </c>
      <c r="BE45" s="289">
        <v>0</v>
      </c>
      <c r="BF45" s="289">
        <v>0</v>
      </c>
      <c r="BG45" s="289">
        <v>0</v>
      </c>
      <c r="BH45" s="289">
        <v>0</v>
      </c>
      <c r="BI45" s="291">
        <f t="shared" si="0"/>
        <v>0</v>
      </c>
      <c r="BJ45" s="108"/>
      <c r="BK45" s="108"/>
      <c r="BL45" s="175"/>
      <c r="BM45" s="262" t="s">
        <v>552</v>
      </c>
      <c r="BN45" s="292">
        <v>0</v>
      </c>
      <c r="BO45" s="292">
        <f>MCC_M_RUVY_matrices_mat_level!BM110*MCC_h_RUVY_matrices_mat_level!BM110 / MCC_MW_RUVY_matrices_mat_level!BO45</f>
        <v>-3677.1587424372706</v>
      </c>
      <c r="BP45" s="265">
        <f t="shared" si="1"/>
        <v>-3677.1587424372706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>
        <v>0</v>
      </c>
      <c r="AU46" s="289">
        <v>0</v>
      </c>
      <c r="AV46" s="289">
        <v>0</v>
      </c>
      <c r="AW46" s="289">
        <v>0</v>
      </c>
      <c r="AX46" s="289">
        <v>0</v>
      </c>
      <c r="AY46" s="289">
        <v>0</v>
      </c>
      <c r="AZ46" s="289">
        <v>0</v>
      </c>
      <c r="BA46" s="289">
        <v>0</v>
      </c>
      <c r="BB46" s="289">
        <v>0</v>
      </c>
      <c r="BC46" s="289">
        <v>0</v>
      </c>
      <c r="BD46" s="289">
        <v>0</v>
      </c>
      <c r="BE46" s="289">
        <v>0</v>
      </c>
      <c r="BF46" s="289">
        <v>0</v>
      </c>
      <c r="BG46" s="289">
        <v>0</v>
      </c>
      <c r="BH46" s="289">
        <v>0</v>
      </c>
      <c r="BI46" s="291">
        <f t="shared" si="0"/>
        <v>0</v>
      </c>
      <c r="BJ46" s="108"/>
      <c r="BK46" s="108"/>
      <c r="BL46" s="262"/>
      <c r="BM46" s="262" t="s">
        <v>421</v>
      </c>
      <c r="BN46" s="292">
        <v>0</v>
      </c>
      <c r="BO46" s="292">
        <f>MCC_M_RUVY_matrices_mat_level!BM111*MCC_h_RUVY_matrices_mat_level!BM111 / MCC_MW_RUVY_matrices_mat_level!BO46</f>
        <v>-47920.401977769274</v>
      </c>
      <c r="BP46" s="265">
        <f t="shared" si="1"/>
        <v>-47920.401977769274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>
        <v>0</v>
      </c>
      <c r="AU47" s="289">
        <v>0</v>
      </c>
      <c r="AV47" s="289">
        <v>0</v>
      </c>
      <c r="AW47" s="289">
        <v>0</v>
      </c>
      <c r="AX47" s="289">
        <v>0</v>
      </c>
      <c r="AY47" s="289">
        <v>0</v>
      </c>
      <c r="AZ47" s="289">
        <v>0</v>
      </c>
      <c r="BA47" s="289">
        <v>0</v>
      </c>
      <c r="BB47" s="289">
        <v>0</v>
      </c>
      <c r="BC47" s="289">
        <v>0</v>
      </c>
      <c r="BD47" s="289">
        <v>0</v>
      </c>
      <c r="BE47" s="289">
        <v>0</v>
      </c>
      <c r="BF47" s="289">
        <v>0</v>
      </c>
      <c r="BG47" s="289">
        <v>0</v>
      </c>
      <c r="BH47" s="289">
        <v>0</v>
      </c>
      <c r="BI47" s="291">
        <f t="shared" si="0"/>
        <v>0</v>
      </c>
      <c r="BJ47" s="108"/>
      <c r="BK47" s="108"/>
      <c r="BL47" s="175"/>
      <c r="BM47" s="262" t="s">
        <v>423</v>
      </c>
      <c r="BN47" s="292">
        <v>0</v>
      </c>
      <c r="BO47" s="292">
        <f>MCC_M_RUVY_matrices_mat_level!BM112*MCC_h_RUVY_matrices_mat_level!BM112 / MCC_MW_RUVY_matrices_mat_level!BO47</f>
        <v>-3678478.5848042481</v>
      </c>
      <c r="BP47" s="265">
        <f t="shared" si="1"/>
        <v>-3678478.5848042481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>
        <v>0</v>
      </c>
      <c r="AU48" s="289">
        <v>0</v>
      </c>
      <c r="AV48" s="289">
        <v>0</v>
      </c>
      <c r="AW48" s="289">
        <v>0</v>
      </c>
      <c r="AX48" s="289">
        <v>0</v>
      </c>
      <c r="AY48" s="289">
        <v>0</v>
      </c>
      <c r="AZ48" s="289">
        <v>0</v>
      </c>
      <c r="BA48" s="289">
        <v>0</v>
      </c>
      <c r="BB48" s="289">
        <v>0</v>
      </c>
      <c r="BC48" s="289">
        <v>0</v>
      </c>
      <c r="BD48" s="289">
        <v>0</v>
      </c>
      <c r="BE48" s="289">
        <v>0</v>
      </c>
      <c r="BF48" s="289">
        <f>MCC_M_RUVY_matrices_mat_level!BD113*MCC_h_RUVY_matrices_mat_level!BD113 /MCC_MW_RUVY_matrices_mat_level!BF48</f>
        <v>-13104.628581498642</v>
      </c>
      <c r="BG48" s="289">
        <v>0</v>
      </c>
      <c r="BH48" s="289">
        <v>0</v>
      </c>
      <c r="BI48" s="291">
        <f t="shared" si="0"/>
        <v>-13104.628581498642</v>
      </c>
      <c r="BJ48" s="108"/>
      <c r="BK48" s="108"/>
      <c r="BL48" s="175"/>
      <c r="BM48" s="262" t="s">
        <v>515</v>
      </c>
      <c r="BN48" s="292">
        <v>0</v>
      </c>
      <c r="BO48" s="292">
        <v>0</v>
      </c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>
        <v>0</v>
      </c>
      <c r="AU49" s="289">
        <v>0</v>
      </c>
      <c r="AV49" s="289">
        <v>0</v>
      </c>
      <c r="AW49" s="289">
        <v>0</v>
      </c>
      <c r="AX49" s="289">
        <v>0</v>
      </c>
      <c r="AY49" s="289">
        <v>0</v>
      </c>
      <c r="AZ49" s="289">
        <v>0</v>
      </c>
      <c r="BA49" s="289">
        <v>0</v>
      </c>
      <c r="BB49" s="289">
        <v>0</v>
      </c>
      <c r="BC49" s="289">
        <v>0</v>
      </c>
      <c r="BD49" s="289">
        <v>0</v>
      </c>
      <c r="BE49" s="289">
        <v>0</v>
      </c>
      <c r="BF49" s="289">
        <v>0</v>
      </c>
      <c r="BG49" s="289">
        <v>0</v>
      </c>
      <c r="BH49" s="289">
        <f>MCC_M_RUVY_matrices_mat_level!BF114*MCC_h_RUVY_matrices_mat_level!BF114 /MCC_MW_RUVY_matrices_mat_level!BH49</f>
        <v>-9173.2400070490494</v>
      </c>
      <c r="BI49" s="291">
        <f t="shared" si="0"/>
        <v>-9173.2400070490494</v>
      </c>
      <c r="BJ49" s="108"/>
      <c r="BK49" s="108"/>
      <c r="BL49" s="175"/>
      <c r="BM49" s="262" t="s">
        <v>517</v>
      </c>
      <c r="BN49" s="292">
        <f>MCC_M_RUVY_matrices_mat_level!BL114*MCC_h_RUVY_matrices_mat_level!BL114 / MCC_MW_RUVY_matrices_mat_level!BN49</f>
        <v>-3931.3885744495929</v>
      </c>
      <c r="BO49" s="292">
        <v>0</v>
      </c>
      <c r="BP49" s="265">
        <f t="shared" si="1"/>
        <v>-3931.3885744495929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>
        <v>0</v>
      </c>
      <c r="AU50" s="289">
        <v>0</v>
      </c>
      <c r="AV50" s="289">
        <v>0</v>
      </c>
      <c r="AW50" s="289">
        <v>0</v>
      </c>
      <c r="AX50" s="289">
        <v>0</v>
      </c>
      <c r="AY50" s="289">
        <v>0</v>
      </c>
      <c r="AZ50" s="289">
        <v>0</v>
      </c>
      <c r="BA50" s="289">
        <v>0</v>
      </c>
      <c r="BB50" s="289">
        <v>0</v>
      </c>
      <c r="BC50" s="289">
        <v>0</v>
      </c>
      <c r="BD50" s="289">
        <v>0</v>
      </c>
      <c r="BE50" s="289">
        <v>0</v>
      </c>
      <c r="BF50" s="289">
        <v>0</v>
      </c>
      <c r="BG50" s="289">
        <v>0</v>
      </c>
      <c r="BH50" s="289">
        <f>MCC_M_RUVY_matrices_mat_level!BF115*MCC_h_RUVY_matrices_mat_level!BF115 /MCC_MW_RUVY_matrices_mat_level!BH50</f>
        <v>23907.404496491064</v>
      </c>
      <c r="BI50" s="291">
        <f t="shared" si="0"/>
        <v>23907.404496491064</v>
      </c>
      <c r="BJ50" s="108"/>
      <c r="BK50" s="108"/>
      <c r="BL50" s="175"/>
      <c r="BM50" s="262" t="s">
        <v>445</v>
      </c>
      <c r="BN50" s="292">
        <v>0</v>
      </c>
      <c r="BO50" s="292">
        <v>0</v>
      </c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89">
        <v>0</v>
      </c>
      <c r="AU51" s="289">
        <v>0</v>
      </c>
      <c r="AV51" s="289">
        <v>0</v>
      </c>
      <c r="AW51" s="289">
        <v>0</v>
      </c>
      <c r="AX51" s="289">
        <v>0</v>
      </c>
      <c r="AY51" s="289">
        <v>0</v>
      </c>
      <c r="AZ51" s="289">
        <v>0</v>
      </c>
      <c r="BA51" s="289">
        <v>0</v>
      </c>
      <c r="BB51" s="289">
        <v>0</v>
      </c>
      <c r="BC51" s="289">
        <v>0</v>
      </c>
      <c r="BD51" s="289">
        <v>0</v>
      </c>
      <c r="BE51" s="289">
        <v>0</v>
      </c>
      <c r="BF51" s="289">
        <v>0</v>
      </c>
      <c r="BG51" s="289">
        <v>0</v>
      </c>
      <c r="BH51" s="289">
        <v>0</v>
      </c>
      <c r="BI51" s="291">
        <f t="shared" si="0"/>
        <v>0</v>
      </c>
      <c r="BJ51" s="108"/>
      <c r="BK51" s="108"/>
      <c r="BL51" s="175"/>
      <c r="BM51" s="262" t="s">
        <v>446</v>
      </c>
      <c r="BN51" s="292">
        <f>MCC_M_RUVY_matrices_mat_level!BL116*MCC_h_RUVY_matrices_mat_level!BL116 / MCC_MW_RUVY_matrices_mat_level!BN51</f>
        <v>0</v>
      </c>
      <c r="BO51" s="292">
        <v>0</v>
      </c>
      <c r="BP51" s="265">
        <f t="shared" si="1"/>
        <v>0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89">
        <v>0</v>
      </c>
      <c r="AU52" s="289">
        <v>0</v>
      </c>
      <c r="AV52" s="289">
        <v>0</v>
      </c>
      <c r="AW52" s="289">
        <v>0</v>
      </c>
      <c r="AX52" s="289">
        <v>0</v>
      </c>
      <c r="AY52" s="289">
        <v>0</v>
      </c>
      <c r="AZ52" s="289">
        <v>0</v>
      </c>
      <c r="BA52" s="289">
        <v>0</v>
      </c>
      <c r="BB52" s="289">
        <v>0</v>
      </c>
      <c r="BC52" s="289">
        <v>0</v>
      </c>
      <c r="BD52" s="289">
        <v>0</v>
      </c>
      <c r="BE52" s="289">
        <v>0</v>
      </c>
      <c r="BF52" s="289">
        <v>0</v>
      </c>
      <c r="BG52" s="289">
        <v>0</v>
      </c>
      <c r="BH52" s="289">
        <v>0</v>
      </c>
      <c r="BI52" s="291">
        <f t="shared" si="0"/>
        <v>0</v>
      </c>
      <c r="BJ52" s="108"/>
      <c r="BK52" s="108"/>
      <c r="BL52" s="108"/>
      <c r="BM52" s="301" t="s">
        <v>447</v>
      </c>
      <c r="BN52" s="292">
        <v>0</v>
      </c>
      <c r="BO52" s="292">
        <f>MCC_M_RUVY_matrices_mat_level!BM117*MCC_h_RUVY_matrices_mat_level!BM117 / MCC_MW_RUVY_matrices_mat_level!BO52</f>
        <v>-2788514.0257371739</v>
      </c>
      <c r="BP52" s="265">
        <f t="shared" si="1"/>
        <v>-2788514.0257371739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289">
        <v>0</v>
      </c>
      <c r="AU53" s="289">
        <v>0</v>
      </c>
      <c r="AV53" s="289">
        <v>0</v>
      </c>
      <c r="AW53" s="289">
        <v>0</v>
      </c>
      <c r="AX53" s="289">
        <v>0</v>
      </c>
      <c r="AY53" s="289">
        <v>0</v>
      </c>
      <c r="AZ53" s="289">
        <v>0</v>
      </c>
      <c r="BA53" s="289">
        <v>0</v>
      </c>
      <c r="BB53" s="289">
        <v>0</v>
      </c>
      <c r="BC53" s="289">
        <v>0</v>
      </c>
      <c r="BD53" s="289">
        <v>0</v>
      </c>
      <c r="BE53" s="289">
        <v>0</v>
      </c>
      <c r="BF53" s="289">
        <v>0</v>
      </c>
      <c r="BG53" s="289">
        <v>0</v>
      </c>
      <c r="BH53" s="289">
        <v>0</v>
      </c>
      <c r="BI53" s="291">
        <f t="shared" si="0"/>
        <v>0</v>
      </c>
      <c r="BJ53" s="108"/>
      <c r="BK53" s="108"/>
      <c r="BL53" s="108"/>
      <c r="BM53" s="301" t="s">
        <v>457</v>
      </c>
      <c r="BN53" s="292">
        <v>0</v>
      </c>
      <c r="BO53" s="292">
        <f>MCC_M_RUVY_matrices_mat_level!BM118*MCC_h_RUVY_matrices_mat_level!BM118 / MCC_MW_RUVY_matrices_mat_level!BO53</f>
        <v>-177387.6603372262</v>
      </c>
      <c r="BP53" s="265">
        <f t="shared" si="1"/>
        <v>-177387.6603372262</v>
      </c>
    </row>
    <row r="54" spans="5:68" x14ac:dyDescent="0.2">
      <c r="E54" s="108"/>
      <c r="F54" s="430"/>
      <c r="G54" s="430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1" t="s">
        <v>328</v>
      </c>
      <c r="AU54" s="432"/>
      <c r="AV54" s="432"/>
      <c r="AW54" s="432"/>
      <c r="AX54" s="432"/>
      <c r="AY54" s="432"/>
      <c r="AZ54" s="432"/>
      <c r="BA54" s="432"/>
      <c r="BB54" s="432"/>
      <c r="BC54" s="432"/>
      <c r="BD54" s="432"/>
      <c r="BE54" s="432"/>
      <c r="BF54" s="432"/>
      <c r="BG54" s="432"/>
      <c r="BH54" s="432"/>
      <c r="BI54" s="305" t="s">
        <v>369</v>
      </c>
      <c r="BJ54" s="108"/>
      <c r="BK54" s="108"/>
      <c r="BL54" s="108"/>
      <c r="BM54" s="298"/>
      <c r="BN54" s="429" t="s">
        <v>330</v>
      </c>
      <c r="BO54" s="429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-1689824.7786463453</v>
      </c>
      <c r="AU55" s="306">
        <f t="shared" ref="AU55:BH55" si="2">SUM(AU18:AU53)</f>
        <v>-1359217.3367370586</v>
      </c>
      <c r="AV55" s="306">
        <f t="shared" si="2"/>
        <v>9148397.3079415839</v>
      </c>
      <c r="AW55" s="306">
        <f t="shared" si="2"/>
        <v>-1777985.4355511186</v>
      </c>
      <c r="AX55" s="306">
        <f t="shared" si="2"/>
        <v>-1359457.7959575919</v>
      </c>
      <c r="AY55" s="306">
        <f t="shared" si="2"/>
        <v>9126570.1860198174</v>
      </c>
      <c r="AZ55" s="306">
        <f t="shared" si="2"/>
        <v>-1777985.4355511186</v>
      </c>
      <c r="BA55" s="306">
        <f t="shared" si="2"/>
        <v>-1359457.7959575919</v>
      </c>
      <c r="BB55" s="306">
        <f t="shared" si="2"/>
        <v>9126570.1860198174</v>
      </c>
      <c r="BC55" s="306">
        <f t="shared" si="2"/>
        <v>-1534440.1295455615</v>
      </c>
      <c r="BD55" s="306">
        <f>SUM(BD18:BD53)</f>
        <v>8177363.7605391415</v>
      </c>
      <c r="BE55" s="306">
        <f t="shared" si="2"/>
        <v>-13740.19434752778</v>
      </c>
      <c r="BF55" s="306">
        <f t="shared" si="2"/>
        <v>-13104.628581498642</v>
      </c>
      <c r="BG55" s="306">
        <f t="shared" si="2"/>
        <v>1060783.6165065998</v>
      </c>
      <c r="BH55" s="306">
        <f t="shared" si="2"/>
        <v>-50.81788353988668</v>
      </c>
      <c r="BJ55" s="108"/>
      <c r="BK55" s="108"/>
      <c r="BL55" s="108"/>
      <c r="BM55" s="108"/>
      <c r="BN55" s="298"/>
      <c r="BO55" s="108"/>
    </row>
    <row r="56" spans="5:68" x14ac:dyDescent="0.2">
      <c r="AQ56" s="108"/>
      <c r="AR56" s="108"/>
      <c r="AS56" s="108"/>
      <c r="AT56" s="427" t="s">
        <v>368</v>
      </c>
      <c r="AU56" s="427"/>
      <c r="AV56" s="427"/>
      <c r="AW56" s="427"/>
      <c r="AX56" s="427"/>
      <c r="AY56" s="427"/>
      <c r="AZ56" s="427"/>
      <c r="BA56" s="427"/>
      <c r="BB56" s="427"/>
      <c r="BC56" s="427"/>
      <c r="BD56" s="427"/>
      <c r="BE56" s="427"/>
      <c r="BF56" s="427"/>
      <c r="BG56" s="427"/>
      <c r="BH56" s="427"/>
      <c r="BJ56" s="108"/>
      <c r="BK56" s="108"/>
      <c r="BL56" s="108"/>
      <c r="BM56" s="108"/>
      <c r="BN56" s="298"/>
      <c r="BO56" s="108"/>
    </row>
    <row r="57" spans="5:68" ht="236" x14ac:dyDescent="0.2">
      <c r="E57" s="255"/>
      <c r="F57" s="176" t="s">
        <v>333</v>
      </c>
      <c r="G57" s="176" t="s">
        <v>335</v>
      </c>
      <c r="H57" s="176" t="s">
        <v>336</v>
      </c>
      <c r="I57" s="176" t="s">
        <v>355</v>
      </c>
      <c r="J57" s="176" t="s">
        <v>377</v>
      </c>
      <c r="K57" s="176" t="s">
        <v>466</v>
      </c>
      <c r="L57" s="176" t="s">
        <v>467</v>
      </c>
      <c r="M57" s="176" t="s">
        <v>411</v>
      </c>
      <c r="N57" s="176" t="s">
        <v>459</v>
      </c>
      <c r="O57" s="307" t="s">
        <v>442</v>
      </c>
      <c r="P57" s="308" t="s">
        <v>409</v>
      </c>
      <c r="Q57" s="307" t="s">
        <v>412</v>
      </c>
      <c r="R57" s="308" t="s">
        <v>437</v>
      </c>
      <c r="S57" s="178" t="s">
        <v>430</v>
      </c>
      <c r="T57" s="308" t="s">
        <v>416</v>
      </c>
      <c r="U57" s="307" t="s">
        <v>441</v>
      </c>
      <c r="V57" s="307" t="s">
        <v>436</v>
      </c>
      <c r="W57" s="307" t="s">
        <v>433</v>
      </c>
      <c r="X57" s="307" t="s">
        <v>439</v>
      </c>
      <c r="Y57" s="178" t="s">
        <v>438</v>
      </c>
      <c r="Z57" s="178" t="s">
        <v>424</v>
      </c>
      <c r="AA57" s="178" t="s">
        <v>456</v>
      </c>
      <c r="AB57" s="178" t="s">
        <v>425</v>
      </c>
      <c r="AC57" s="178" t="s">
        <v>427</v>
      </c>
      <c r="AD57" s="178" t="s">
        <v>426</v>
      </c>
      <c r="AE57" s="178" t="s">
        <v>484</v>
      </c>
      <c r="AF57" s="196" t="s">
        <v>422</v>
      </c>
      <c r="AG57" s="196" t="s">
        <v>552</v>
      </c>
      <c r="AH57" s="178" t="s">
        <v>421</v>
      </c>
      <c r="AI57" s="308" t="s">
        <v>423</v>
      </c>
      <c r="AJ57" s="178" t="s">
        <v>515</v>
      </c>
      <c r="AK57" s="178" t="s">
        <v>517</v>
      </c>
      <c r="AL57" s="178" t="s">
        <v>445</v>
      </c>
      <c r="AM57" s="178" t="s">
        <v>446</v>
      </c>
      <c r="AN57" s="178" t="s">
        <v>447</v>
      </c>
      <c r="AO57" s="178" t="s">
        <v>457</v>
      </c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325</v>
      </c>
      <c r="F58" s="195">
        <v>0</v>
      </c>
      <c r="G58" s="195">
        <v>0</v>
      </c>
      <c r="H58" s="195">
        <v>0</v>
      </c>
      <c r="I58" s="195">
        <v>0</v>
      </c>
      <c r="J58" s="195">
        <v>0</v>
      </c>
      <c r="K58" s="195">
        <v>0</v>
      </c>
      <c r="L58" s="195">
        <v>0</v>
      </c>
      <c r="M58" s="195">
        <v>0</v>
      </c>
      <c r="N58" s="195">
        <v>0</v>
      </c>
      <c r="O58" s="195">
        <f>MCC_M_RUVY_matrices_mat_level!L124*MCC_h_RUVY_matrices_mat_level!L123 /MCC_MW_RUVY_matrices_mat_level!O57</f>
        <v>-1777985.4355511186</v>
      </c>
      <c r="P58" s="195">
        <f>MCC_M_RUVY_matrices_mat_level!M124*MCC_h_RUVY_matrices_mat_level!M123 /MCC_MW_RUVY_matrices_mat_level!P57</f>
        <v>-35429.897676176748</v>
      </c>
      <c r="Q58" s="195">
        <v>0</v>
      </c>
      <c r="R58" s="195">
        <v>0</v>
      </c>
      <c r="S58" s="195">
        <v>0</v>
      </c>
      <c r="T58" s="195">
        <v>0</v>
      </c>
      <c r="U58" s="195">
        <v>0</v>
      </c>
      <c r="V58" s="195">
        <v>0</v>
      </c>
      <c r="W58" s="195">
        <v>0</v>
      </c>
      <c r="X58" s="195">
        <v>0</v>
      </c>
      <c r="Y58" s="195">
        <v>0</v>
      </c>
      <c r="Z58" s="195">
        <v>0</v>
      </c>
      <c r="AA58" s="195">
        <v>0</v>
      </c>
      <c r="AB58" s="195">
        <v>0</v>
      </c>
      <c r="AC58" s="195">
        <v>0</v>
      </c>
      <c r="AD58" s="195">
        <v>0</v>
      </c>
      <c r="AE58" s="195">
        <v>0</v>
      </c>
      <c r="AF58" s="195">
        <v>0</v>
      </c>
      <c r="AG58" s="195">
        <v>0</v>
      </c>
      <c r="AH58" s="195">
        <v>0</v>
      </c>
      <c r="AI58" s="195">
        <v>0</v>
      </c>
      <c r="AJ58" s="195">
        <v>0</v>
      </c>
      <c r="AK58" s="195">
        <v>0</v>
      </c>
      <c r="AL58" s="195">
        <v>0</v>
      </c>
      <c r="AM58" s="195">
        <v>0</v>
      </c>
      <c r="AN58" s="195">
        <v>0</v>
      </c>
      <c r="AO58" s="195">
        <v>0</v>
      </c>
      <c r="AP58" s="263">
        <f>SUM(F58:AO58)</f>
        <v>-1813415.3332272954</v>
      </c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</row>
    <row r="59" spans="5:68" x14ac:dyDescent="0.2">
      <c r="E59" s="262" t="s">
        <v>326</v>
      </c>
      <c r="F59" s="195">
        <v>0</v>
      </c>
      <c r="G59" s="195">
        <v>0</v>
      </c>
      <c r="H59" s="195">
        <v>0</v>
      </c>
      <c r="I59" s="195">
        <v>0</v>
      </c>
      <c r="J59" s="195">
        <v>0</v>
      </c>
      <c r="K59" s="195">
        <v>0</v>
      </c>
      <c r="L59" s="195">
        <v>0</v>
      </c>
      <c r="M59" s="195">
        <v>0</v>
      </c>
      <c r="N59" s="195">
        <v>0</v>
      </c>
      <c r="O59" s="195">
        <v>0</v>
      </c>
      <c r="P59" s="195">
        <v>0</v>
      </c>
      <c r="Q59" s="195">
        <f>MCC_M_RUVY_matrices_mat_level!N125*MCC_h_RUVY_matrices_mat_level!N124 /MCC_MW_RUVY_matrices_mat_level!Q58</f>
        <v>-1359457.7959575919</v>
      </c>
      <c r="R59" s="195">
        <f>MCC_M_RUVY_matrices_mat_level!O125*MCC_h_RUVY_matrices_mat_level!O124 /MCC_MW_RUVY_matrices_mat_level!R58</f>
        <v>-106.02767886152715</v>
      </c>
      <c r="S59" s="195">
        <v>0</v>
      </c>
      <c r="T59" s="195">
        <v>0</v>
      </c>
      <c r="U59" s="195">
        <v>0</v>
      </c>
      <c r="V59" s="195">
        <v>0</v>
      </c>
      <c r="W59" s="195">
        <v>0</v>
      </c>
      <c r="X59" s="195">
        <v>0</v>
      </c>
      <c r="Y59" s="195">
        <v>0</v>
      </c>
      <c r="Z59" s="195">
        <v>0</v>
      </c>
      <c r="AA59" s="195">
        <v>0</v>
      </c>
      <c r="AB59" s="195">
        <v>0</v>
      </c>
      <c r="AC59" s="195">
        <v>0</v>
      </c>
      <c r="AD59" s="195">
        <v>0</v>
      </c>
      <c r="AE59" s="195">
        <v>0</v>
      </c>
      <c r="AF59" s="195">
        <v>0</v>
      </c>
      <c r="AG59" s="195">
        <v>0</v>
      </c>
      <c r="AH59" s="195">
        <v>0</v>
      </c>
      <c r="AI59" s="195">
        <v>0</v>
      </c>
      <c r="AJ59" s="195">
        <v>0</v>
      </c>
      <c r="AK59" s="195">
        <v>0</v>
      </c>
      <c r="AL59" s="195">
        <v>0</v>
      </c>
      <c r="AM59" s="195">
        <v>0</v>
      </c>
      <c r="AN59" s="195">
        <v>0</v>
      </c>
      <c r="AO59" s="195">
        <v>0</v>
      </c>
      <c r="AP59" s="263">
        <f t="shared" ref="AP59:AP72" si="3">SUM(F59:AO59)</f>
        <v>-1359563.8236364534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327</v>
      </c>
      <c r="F60" s="195">
        <v>0</v>
      </c>
      <c r="G60" s="195">
        <v>0</v>
      </c>
      <c r="H60" s="195">
        <v>0</v>
      </c>
      <c r="I60" s="195">
        <v>0</v>
      </c>
      <c r="J60" s="195">
        <v>0</v>
      </c>
      <c r="K60" s="195">
        <v>0</v>
      </c>
      <c r="L60" s="195">
        <v>0</v>
      </c>
      <c r="M60" s="195">
        <v>0</v>
      </c>
      <c r="N60" s="195">
        <v>0</v>
      </c>
      <c r="O60" s="195">
        <v>0</v>
      </c>
      <c r="P60" s="195">
        <v>0</v>
      </c>
      <c r="Q60" s="195">
        <v>0</v>
      </c>
      <c r="R60" s="195">
        <v>0</v>
      </c>
      <c r="S60" s="195">
        <f>MCC_M_RUVY_matrices_mat_level!P126*MCC_h_RUVY_matrices_mat_level!P125 /MCC_MW_RUVY_matrices_mat_level!S59</f>
        <v>9126570.1860198174</v>
      </c>
      <c r="T60" s="195">
        <f>MCC_M_RUVY_matrices_mat_level!Q126*MCC_h_RUVY_matrices_mat_level!Q125 /MCC_MW_RUVY_matrices_mat_level!T59</f>
        <v>-8771.8572366008211</v>
      </c>
      <c r="U60" s="195">
        <v>0</v>
      </c>
      <c r="V60" s="195">
        <v>0</v>
      </c>
      <c r="W60" s="195">
        <v>0</v>
      </c>
      <c r="X60" s="195">
        <v>0</v>
      </c>
      <c r="Y60" s="195">
        <v>0</v>
      </c>
      <c r="Z60" s="195">
        <v>0</v>
      </c>
      <c r="AA60" s="195">
        <v>0</v>
      </c>
      <c r="AB60" s="195">
        <v>0</v>
      </c>
      <c r="AC60" s="195">
        <v>0</v>
      </c>
      <c r="AD60" s="195">
        <v>0</v>
      </c>
      <c r="AE60" s="195">
        <v>0</v>
      </c>
      <c r="AF60" s="195">
        <v>0</v>
      </c>
      <c r="AG60" s="195">
        <v>0</v>
      </c>
      <c r="AH60" s="195">
        <v>0</v>
      </c>
      <c r="AI60" s="195">
        <v>0</v>
      </c>
      <c r="AJ60" s="195">
        <v>0</v>
      </c>
      <c r="AK60" s="195">
        <v>0</v>
      </c>
      <c r="AL60" s="195">
        <v>0</v>
      </c>
      <c r="AM60" s="195">
        <v>0</v>
      </c>
      <c r="AN60" s="195">
        <v>0</v>
      </c>
      <c r="AO60" s="195">
        <v>0</v>
      </c>
      <c r="AP60" s="263">
        <f t="shared" si="3"/>
        <v>9117798.328783216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455</v>
      </c>
      <c r="F61" s="195">
        <v>0</v>
      </c>
      <c r="G61" s="195">
        <v>0</v>
      </c>
      <c r="H61" s="195">
        <v>0</v>
      </c>
      <c r="I61" s="195">
        <v>0</v>
      </c>
      <c r="J61" s="195">
        <v>0</v>
      </c>
      <c r="K61" s="195">
        <v>0</v>
      </c>
      <c r="L61" s="195">
        <v>0</v>
      </c>
      <c r="M61" s="195">
        <v>0</v>
      </c>
      <c r="N61" s="195">
        <v>0</v>
      </c>
      <c r="O61" s="195">
        <v>0</v>
      </c>
      <c r="P61" s="195">
        <v>0</v>
      </c>
      <c r="Q61" s="195">
        <v>0</v>
      </c>
      <c r="R61" s="195">
        <v>0</v>
      </c>
      <c r="S61" s="195">
        <v>0</v>
      </c>
      <c r="T61" s="195">
        <v>0</v>
      </c>
      <c r="U61" s="195">
        <f>MCC_M_RUVY_matrices_mat_level!R127*MCC_h_RUVY_matrices_mat_level!R126 /MCC_MW_RUVY_matrices_mat_level!U60</f>
        <v>-1777985.4355511186</v>
      </c>
      <c r="V61" s="195">
        <v>0</v>
      </c>
      <c r="W61" s="195">
        <v>0</v>
      </c>
      <c r="X61" s="195">
        <v>0</v>
      </c>
      <c r="Y61" s="195">
        <v>0</v>
      </c>
      <c r="Z61" s="195">
        <v>0</v>
      </c>
      <c r="AA61" s="195">
        <v>0</v>
      </c>
      <c r="AB61" s="195">
        <v>0</v>
      </c>
      <c r="AC61" s="195">
        <v>0</v>
      </c>
      <c r="AD61" s="195">
        <v>0</v>
      </c>
      <c r="AE61" s="195">
        <v>0</v>
      </c>
      <c r="AF61" s="195">
        <v>0</v>
      </c>
      <c r="AG61" s="195">
        <v>0</v>
      </c>
      <c r="AH61" s="195">
        <v>0</v>
      </c>
      <c r="AI61" s="195">
        <v>0</v>
      </c>
      <c r="AJ61" s="195">
        <v>0</v>
      </c>
      <c r="AK61" s="195">
        <v>0</v>
      </c>
      <c r="AL61" s="195">
        <v>0</v>
      </c>
      <c r="AM61" s="195">
        <v>0</v>
      </c>
      <c r="AN61" s="195">
        <v>0</v>
      </c>
      <c r="AO61" s="195">
        <v>0</v>
      </c>
      <c r="AP61" s="263">
        <f t="shared" si="3"/>
        <v>-1777985.4355511186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435</v>
      </c>
      <c r="F62" s="195">
        <v>0</v>
      </c>
      <c r="G62" s="195">
        <v>0</v>
      </c>
      <c r="H62" s="195">
        <v>0</v>
      </c>
      <c r="I62" s="195">
        <v>0</v>
      </c>
      <c r="J62" s="195">
        <v>0</v>
      </c>
      <c r="K62" s="195">
        <v>0</v>
      </c>
      <c r="L62" s="195">
        <v>0</v>
      </c>
      <c r="M62" s="195">
        <v>0</v>
      </c>
      <c r="N62" s="195">
        <v>0</v>
      </c>
      <c r="O62" s="195">
        <v>0</v>
      </c>
      <c r="P62" s="195">
        <v>0</v>
      </c>
      <c r="Q62" s="195">
        <v>0</v>
      </c>
      <c r="R62" s="195">
        <v>0</v>
      </c>
      <c r="S62" s="195">
        <v>0</v>
      </c>
      <c r="T62" s="195">
        <v>0</v>
      </c>
      <c r="U62" s="195">
        <v>0</v>
      </c>
      <c r="V62" s="195">
        <f>MCC_M_RUVY_matrices_mat_level!S128*MCC_h_RUVY_matrices_mat_level!S127 /MCC_MW_RUVY_matrices_mat_level!V61</f>
        <v>-1359457.7959575919</v>
      </c>
      <c r="W62" s="195">
        <v>0</v>
      </c>
      <c r="X62" s="195">
        <v>0</v>
      </c>
      <c r="Y62" s="195">
        <v>0</v>
      </c>
      <c r="Z62" s="195">
        <v>0</v>
      </c>
      <c r="AA62" s="195">
        <v>0</v>
      </c>
      <c r="AB62" s="195">
        <v>0</v>
      </c>
      <c r="AC62" s="195">
        <v>0</v>
      </c>
      <c r="AD62" s="195">
        <v>0</v>
      </c>
      <c r="AE62" s="195">
        <v>0</v>
      </c>
      <c r="AF62" s="195">
        <v>0</v>
      </c>
      <c r="AG62" s="195">
        <v>0</v>
      </c>
      <c r="AH62" s="195">
        <v>0</v>
      </c>
      <c r="AI62" s="195">
        <v>0</v>
      </c>
      <c r="AJ62" s="195">
        <v>0</v>
      </c>
      <c r="AK62" s="195">
        <v>0</v>
      </c>
      <c r="AL62" s="195">
        <v>0</v>
      </c>
      <c r="AM62" s="195">
        <v>0</v>
      </c>
      <c r="AN62" s="195">
        <v>0</v>
      </c>
      <c r="AO62" s="195">
        <v>0</v>
      </c>
      <c r="AP62" s="263">
        <f t="shared" si="3"/>
        <v>-1359457.7959575919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434</v>
      </c>
      <c r="F63" s="195">
        <v>0</v>
      </c>
      <c r="G63" s="195">
        <v>0</v>
      </c>
      <c r="H63" s="195">
        <v>0</v>
      </c>
      <c r="I63" s="195">
        <v>0</v>
      </c>
      <c r="J63" s="195">
        <v>0</v>
      </c>
      <c r="K63" s="195">
        <v>0</v>
      </c>
      <c r="L63" s="195">
        <v>0</v>
      </c>
      <c r="M63" s="195">
        <v>0</v>
      </c>
      <c r="N63" s="195">
        <v>0</v>
      </c>
      <c r="O63" s="195">
        <v>0</v>
      </c>
      <c r="P63" s="195">
        <v>0</v>
      </c>
      <c r="Q63" s="195">
        <v>0</v>
      </c>
      <c r="R63" s="195">
        <v>0</v>
      </c>
      <c r="S63" s="195">
        <v>0</v>
      </c>
      <c r="T63" s="195">
        <v>0</v>
      </c>
      <c r="U63" s="195">
        <v>0</v>
      </c>
      <c r="V63" s="195">
        <v>0</v>
      </c>
      <c r="W63" s="195">
        <f>MCC_M_RUVY_matrices_mat_level!T129*MCC_h_RUVY_matrices_mat_level!T128 /MCC_MW_RUVY_matrices_mat_level!W62</f>
        <v>9126570.1860198174</v>
      </c>
      <c r="X63" s="195">
        <v>0</v>
      </c>
      <c r="Y63" s="195">
        <v>0</v>
      </c>
      <c r="Z63" s="195">
        <v>0</v>
      </c>
      <c r="AA63" s="195">
        <v>0</v>
      </c>
      <c r="AB63" s="195">
        <v>0</v>
      </c>
      <c r="AC63" s="195">
        <v>0</v>
      </c>
      <c r="AD63" s="195">
        <v>0</v>
      </c>
      <c r="AE63" s="195">
        <v>0</v>
      </c>
      <c r="AF63" s="195">
        <v>0</v>
      </c>
      <c r="AG63" s="195">
        <v>0</v>
      </c>
      <c r="AH63" s="195">
        <v>0</v>
      </c>
      <c r="AI63" s="195">
        <v>0</v>
      </c>
      <c r="AJ63" s="195">
        <v>0</v>
      </c>
      <c r="AK63" s="195">
        <v>0</v>
      </c>
      <c r="AL63" s="195">
        <v>0</v>
      </c>
      <c r="AM63" s="195">
        <v>0</v>
      </c>
      <c r="AN63" s="195">
        <v>0</v>
      </c>
      <c r="AO63" s="195">
        <v>0</v>
      </c>
      <c r="AP63" s="263">
        <f t="shared" si="3"/>
        <v>9126570.1860198174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351</v>
      </c>
      <c r="F64" s="195">
        <v>0</v>
      </c>
      <c r="G64" s="195">
        <v>0</v>
      </c>
      <c r="H64" s="195">
        <v>0</v>
      </c>
      <c r="I64" s="195">
        <v>0</v>
      </c>
      <c r="J64" s="195">
        <v>0</v>
      </c>
      <c r="K64" s="195">
        <v>0</v>
      </c>
      <c r="L64" s="195">
        <v>0</v>
      </c>
      <c r="M64" s="195">
        <v>0</v>
      </c>
      <c r="N64" s="195">
        <v>0</v>
      </c>
      <c r="O64" s="195">
        <v>0</v>
      </c>
      <c r="P64" s="195">
        <v>0</v>
      </c>
      <c r="Q64" s="195">
        <v>0</v>
      </c>
      <c r="R64" s="195">
        <v>0</v>
      </c>
      <c r="S64" s="195">
        <v>0</v>
      </c>
      <c r="T64" s="195">
        <v>0</v>
      </c>
      <c r="U64" s="195">
        <v>0</v>
      </c>
      <c r="V64" s="195">
        <v>0</v>
      </c>
      <c r="W64" s="195">
        <v>0</v>
      </c>
      <c r="X64" s="195">
        <f>MCC_M_RUVY_matrices_mat_level!U130*MCC_h_RUVY_matrices_mat_level!U129 /MCC_MW_RUVY_matrices_mat_level!X63</f>
        <v>-3797055.1820632704</v>
      </c>
      <c r="Y64" s="195">
        <f>MCC_M_RUVY_matrices_mat_level!V130*MCC_h_RUVY_matrices_mat_level!V129 /MCC_MW_RUVY_matrices_mat_level!Y63</f>
        <v>-66021.418271669754</v>
      </c>
      <c r="Z64" s="195">
        <v>0</v>
      </c>
      <c r="AA64" s="195">
        <v>0</v>
      </c>
      <c r="AB64" s="195">
        <v>0</v>
      </c>
      <c r="AC64" s="195">
        <v>0</v>
      </c>
      <c r="AD64" s="195">
        <v>0</v>
      </c>
      <c r="AE64" s="195">
        <v>0</v>
      </c>
      <c r="AF64" s="195">
        <v>0</v>
      </c>
      <c r="AG64" s="195">
        <v>0</v>
      </c>
      <c r="AH64" s="195">
        <v>0</v>
      </c>
      <c r="AI64" s="195">
        <v>0</v>
      </c>
      <c r="AJ64" s="195">
        <v>0</v>
      </c>
      <c r="AK64" s="195">
        <v>0</v>
      </c>
      <c r="AL64" s="195">
        <v>0</v>
      </c>
      <c r="AM64" s="195">
        <v>0</v>
      </c>
      <c r="AN64" s="195">
        <v>0</v>
      </c>
      <c r="AO64" s="195">
        <v>0</v>
      </c>
      <c r="AP64" s="263">
        <f t="shared" si="3"/>
        <v>-3863076.60033494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348</v>
      </c>
      <c r="F65" s="195">
        <v>0</v>
      </c>
      <c r="G65" s="195">
        <v>0</v>
      </c>
      <c r="H65" s="195">
        <v>0</v>
      </c>
      <c r="I65" s="195">
        <v>0</v>
      </c>
      <c r="J65" s="195">
        <v>0</v>
      </c>
      <c r="K65" s="195">
        <v>0</v>
      </c>
      <c r="L65" s="195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f>MCC_M_RUVY_matrices_mat_level!W131*MCC_h_RUVY_matrices_mat_level!W130 /MCC_MW_RUVY_matrices_mat_level!Z64</f>
        <v>-1359457.7959575919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263">
        <f t="shared" si="3"/>
        <v>-1359457.7959575919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362</v>
      </c>
      <c r="F66" s="195">
        <v>0</v>
      </c>
      <c r="G66" s="195">
        <v>0</v>
      </c>
      <c r="H66" s="195">
        <v>0</v>
      </c>
      <c r="I66" s="195">
        <v>0</v>
      </c>
      <c r="J66" s="195">
        <v>0</v>
      </c>
      <c r="K66" s="195">
        <v>0</v>
      </c>
      <c r="L66" s="195">
        <v>0</v>
      </c>
      <c r="M66" s="195">
        <v>0</v>
      </c>
      <c r="N66" s="195">
        <v>0</v>
      </c>
      <c r="O66" s="195">
        <v>0</v>
      </c>
      <c r="P66" s="195">
        <v>0</v>
      </c>
      <c r="Q66" s="195">
        <v>0</v>
      </c>
      <c r="R66" s="195">
        <v>0</v>
      </c>
      <c r="S66" s="195">
        <v>0</v>
      </c>
      <c r="T66" s="195">
        <v>0</v>
      </c>
      <c r="U66" s="195">
        <v>0</v>
      </c>
      <c r="V66" s="195">
        <v>0</v>
      </c>
      <c r="W66" s="195">
        <v>0</v>
      </c>
      <c r="X66" s="195">
        <v>0</v>
      </c>
      <c r="Y66" s="195">
        <v>0</v>
      </c>
      <c r="Z66" s="195">
        <v>0</v>
      </c>
      <c r="AA66" s="195">
        <f>MCC_M_RUVY_matrices_mat_level!X132*MCC_h_RUVY_matrices_mat_level!X131 /MCC_MW_RUVY_matrices_mat_level!AA65</f>
        <v>9126570.1860198174</v>
      </c>
      <c r="AB66" s="195">
        <v>0</v>
      </c>
      <c r="AC66" s="195">
        <v>0</v>
      </c>
      <c r="AD66" s="195">
        <v>0</v>
      </c>
      <c r="AE66" s="195">
        <v>0</v>
      </c>
      <c r="AF66" s="195">
        <v>0</v>
      </c>
      <c r="AG66" s="195">
        <v>0</v>
      </c>
      <c r="AH66" s="195">
        <v>0</v>
      </c>
      <c r="AI66" s="195">
        <v>0</v>
      </c>
      <c r="AJ66" s="195">
        <v>0</v>
      </c>
      <c r="AK66" s="195">
        <v>0</v>
      </c>
      <c r="AL66" s="195">
        <v>0</v>
      </c>
      <c r="AM66" s="195">
        <v>0</v>
      </c>
      <c r="AN66" s="195">
        <v>0</v>
      </c>
      <c r="AO66" s="195">
        <v>0</v>
      </c>
      <c r="AP66" s="263">
        <f t="shared" si="3"/>
        <v>9126570.1860198174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349</v>
      </c>
      <c r="F67" s="195">
        <v>0</v>
      </c>
      <c r="G67" s="195">
        <v>0</v>
      </c>
      <c r="H67" s="195">
        <v>0</v>
      </c>
      <c r="I67" s="195">
        <v>0</v>
      </c>
      <c r="J67" s="195">
        <v>0</v>
      </c>
      <c r="K67" s="195">
        <v>0</v>
      </c>
      <c r="L67" s="195">
        <v>0</v>
      </c>
      <c r="M67" s="195">
        <v>0</v>
      </c>
      <c r="N67" s="195">
        <v>0</v>
      </c>
      <c r="O67" s="195">
        <v>0</v>
      </c>
      <c r="P67" s="195">
        <v>0</v>
      </c>
      <c r="Q67" s="195">
        <v>0</v>
      </c>
      <c r="R67" s="195">
        <v>0</v>
      </c>
      <c r="S67" s="195">
        <v>0</v>
      </c>
      <c r="T67" s="195">
        <v>0</v>
      </c>
      <c r="U67" s="195">
        <v>0</v>
      </c>
      <c r="V67" s="195">
        <v>0</v>
      </c>
      <c r="W67" s="195">
        <v>0</v>
      </c>
      <c r="X67" s="195">
        <v>0</v>
      </c>
      <c r="Y67" s="195">
        <v>0</v>
      </c>
      <c r="Z67" s="195">
        <v>0</v>
      </c>
      <c r="AA67" s="195">
        <v>0</v>
      </c>
      <c r="AB67" s="195">
        <f>MCC_M_RUVY_matrices_mat_level!Y133*MCC_h_RUVY_matrices_mat_level!Y132 /MCC_MW_RUVY_matrices_mat_level!AB66</f>
        <v>-1256817.6045988721</v>
      </c>
      <c r="AC67" s="195">
        <f>MCC_M_RUVY_matrices_mat_level!Z133*MCC_h_RUVY_matrices_mat_level!Z132 /MCC_MW_RUVY_matrices_mat_level!AC66</f>
        <v>-74404.460335125405</v>
      </c>
      <c r="AD67" s="195">
        <f>MCC_M_RUVY_matrices_mat_level!AA133*MCC_h_RUVY_matrices_mat_level!AA132 /MCC_MW_RUVY_matrices_mat_level!AD66</f>
        <v>-1082643.9792420177</v>
      </c>
      <c r="AE67" s="195">
        <v>0</v>
      </c>
      <c r="AF67" s="195">
        <v>0</v>
      </c>
      <c r="AG67" s="195">
        <v>0</v>
      </c>
      <c r="AH67" s="195">
        <v>0</v>
      </c>
      <c r="AI67" s="195">
        <v>0</v>
      </c>
      <c r="AJ67" s="195">
        <v>0</v>
      </c>
      <c r="AK67" s="195">
        <v>0</v>
      </c>
      <c r="AL67" s="195">
        <v>0</v>
      </c>
      <c r="AM67" s="195">
        <v>0</v>
      </c>
      <c r="AN67" s="195">
        <v>0</v>
      </c>
      <c r="AO67" s="195">
        <v>0</v>
      </c>
      <c r="AP67" s="263">
        <f t="shared" si="3"/>
        <v>-2413866.0441760151</v>
      </c>
      <c r="AQ67" s="108"/>
      <c r="AR67" s="108"/>
      <c r="AS67" s="108"/>
      <c r="AT67" s="298"/>
      <c r="AU67" s="298"/>
      <c r="AV67" s="298"/>
      <c r="AW67" s="298"/>
      <c r="AX67" s="298"/>
      <c r="AY67" s="298"/>
      <c r="AZ67" s="298"/>
      <c r="BA67" s="298"/>
      <c r="BB67" s="298"/>
      <c r="BC67" s="298"/>
      <c r="BD67" s="298"/>
      <c r="BE67" s="298"/>
      <c r="BF67" s="298"/>
      <c r="BG67" s="298"/>
      <c r="BH67" s="108"/>
      <c r="BI67" s="108"/>
      <c r="BJ67" s="108"/>
      <c r="BK67" s="108"/>
      <c r="BL67" s="108"/>
      <c r="BM67" s="298"/>
      <c r="BN67" s="298"/>
      <c r="BO67" s="108"/>
    </row>
    <row r="68" spans="5:67" x14ac:dyDescent="0.2">
      <c r="E68" s="262" t="s">
        <v>344</v>
      </c>
      <c r="F68" s="195">
        <v>0</v>
      </c>
      <c r="G68" s="195">
        <v>0</v>
      </c>
      <c r="H68" s="195">
        <v>0</v>
      </c>
      <c r="I68" s="195">
        <v>0</v>
      </c>
      <c r="J68" s="195">
        <v>0</v>
      </c>
      <c r="K68" s="195">
        <v>0</v>
      </c>
      <c r="L68" s="195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f>(MCC_M_RUVY_matrices_mat_level!AB134*MCC_h_RUVY_matrices_mat_level!AB133) /MCC_MW_RUVY_matrices_mat_level!AE67</f>
        <v>6114656.4031687425</v>
      </c>
      <c r="AF68" s="195">
        <f>(MCC_M_RUVY_matrices_mat_level!AC134*MCC_h_RUVY_matrices_mat_level!AC133) /MCC_MW_RUVY_matrices_mat_level!AF67</f>
        <v>-13740.19434752778</v>
      </c>
      <c r="AG68" s="195">
        <f>(MCC_M_RUVY_matrices_mat_level!AD134*MCC_h_RUVY_matrices_mat_level!AD133) /MCC_MW_RUVY_matrices_mat_level!AG67</f>
        <v>-3677.1587424372706</v>
      </c>
      <c r="AH68" s="195">
        <f>(MCC_M_RUVY_matrices_mat_level!AE134*MCC_h_RUVY_matrices_mat_level!AE133) /MCC_MW_RUVY_matrices_mat_level!AH67</f>
        <v>-47920.401977769274</v>
      </c>
      <c r="AI68" s="195">
        <f>(MCC_M_RUVY_matrices_mat_level!AF134*MCC_h_RUVY_matrices_mat_level!AF133) /MCC_MW_RUVY_matrices_mat_level!AI67</f>
        <v>-3678478.5848042481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263">
        <f>SUM(F68:AO68)</f>
        <v>2370840.0632967604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514</v>
      </c>
      <c r="F69" s="195">
        <v>0</v>
      </c>
      <c r="G69" s="195">
        <v>0</v>
      </c>
      <c r="H69" s="195">
        <v>0</v>
      </c>
      <c r="I69" s="195">
        <v>0</v>
      </c>
      <c r="J69" s="195">
        <v>0</v>
      </c>
      <c r="K69" s="195">
        <v>0</v>
      </c>
      <c r="L69" s="195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f>MCC_M_RUVY_matrices_mat_level!AG135*MCC_h_RUVY_matrices_mat_level!AG134 /MCC_MW_RUVY_matrices_mat_level!AJ68</f>
        <v>-13104.628581498642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263">
        <f t="shared" si="3"/>
        <v>-13104.628581498642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516</v>
      </c>
      <c r="F70" s="195">
        <v>0</v>
      </c>
      <c r="G70" s="195">
        <v>0</v>
      </c>
      <c r="H70" s="195">
        <v>0</v>
      </c>
      <c r="I70" s="195">
        <v>0</v>
      </c>
      <c r="J70" s="195">
        <v>0</v>
      </c>
      <c r="K70" s="195">
        <v>0</v>
      </c>
      <c r="L70" s="195">
        <v>0</v>
      </c>
      <c r="M70" s="195">
        <v>0</v>
      </c>
      <c r="N70" s="195">
        <v>0</v>
      </c>
      <c r="O70" s="195">
        <v>0</v>
      </c>
      <c r="P70" s="195">
        <v>0</v>
      </c>
      <c r="Q70" s="195">
        <v>0</v>
      </c>
      <c r="R70" s="195">
        <v>0</v>
      </c>
      <c r="S70" s="195">
        <v>0</v>
      </c>
      <c r="T70" s="195">
        <v>0</v>
      </c>
      <c r="U70" s="195">
        <v>0</v>
      </c>
      <c r="V70" s="195">
        <v>0</v>
      </c>
      <c r="W70" s="195">
        <v>0</v>
      </c>
      <c r="X70" s="195">
        <v>0</v>
      </c>
      <c r="Y70" s="195">
        <v>0</v>
      </c>
      <c r="Z70" s="195">
        <v>0</v>
      </c>
      <c r="AA70" s="195">
        <v>0</v>
      </c>
      <c r="AB70" s="195">
        <v>0</v>
      </c>
      <c r="AC70" s="195">
        <v>0</v>
      </c>
      <c r="AD70" s="195">
        <v>0</v>
      </c>
      <c r="AE70" s="195">
        <v>0</v>
      </c>
      <c r="AF70" s="195">
        <v>0</v>
      </c>
      <c r="AG70" s="195">
        <v>0</v>
      </c>
      <c r="AH70" s="195">
        <v>0</v>
      </c>
      <c r="AI70" s="195">
        <v>0</v>
      </c>
      <c r="AJ70" s="195">
        <v>0</v>
      </c>
      <c r="AK70" s="195">
        <f>MCC_M_RUVY_matrices_mat_level!AH136*MCC_h_RUVY_matrices_mat_level!AH135 /MCC_MW_RUVY_matrices_mat_level!AK69</f>
        <v>-13104.628581498642</v>
      </c>
      <c r="AL70" s="195">
        <v>0</v>
      </c>
      <c r="AM70" s="195">
        <v>0</v>
      </c>
      <c r="AN70" s="195">
        <v>0</v>
      </c>
      <c r="AO70" s="195">
        <v>0</v>
      </c>
      <c r="AP70" s="263">
        <f t="shared" si="3"/>
        <v>-13104.628581498642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76</v>
      </c>
      <c r="F71" s="195">
        <v>0</v>
      </c>
      <c r="G71" s="195">
        <v>0</v>
      </c>
      <c r="H71" s="195">
        <v>0</v>
      </c>
      <c r="I71" s="195">
        <v>0</v>
      </c>
      <c r="J71" s="195">
        <v>0</v>
      </c>
      <c r="K71" s="195">
        <v>0</v>
      </c>
      <c r="L71" s="195">
        <v>0</v>
      </c>
      <c r="M71" s="195">
        <v>0</v>
      </c>
      <c r="N71" s="195">
        <v>0</v>
      </c>
      <c r="O71" s="195">
        <v>0</v>
      </c>
      <c r="P71" s="195">
        <v>0</v>
      </c>
      <c r="Q71" s="195">
        <v>0</v>
      </c>
      <c r="R71" s="195">
        <v>0</v>
      </c>
      <c r="S71" s="195">
        <v>0</v>
      </c>
      <c r="T71" s="195">
        <v>0</v>
      </c>
      <c r="U71" s="195">
        <v>0</v>
      </c>
      <c r="V71" s="195">
        <v>0</v>
      </c>
      <c r="W71" s="195">
        <v>0</v>
      </c>
      <c r="X71" s="195">
        <v>0</v>
      </c>
      <c r="Y71" s="195">
        <v>0</v>
      </c>
      <c r="Z71" s="195">
        <v>0</v>
      </c>
      <c r="AA71" s="195">
        <v>0</v>
      </c>
      <c r="AB71" s="195">
        <v>0</v>
      </c>
      <c r="AC71" s="195">
        <v>0</v>
      </c>
      <c r="AD71" s="195">
        <v>0</v>
      </c>
      <c r="AE71" s="195">
        <v>0</v>
      </c>
      <c r="AF71" s="195">
        <v>0</v>
      </c>
      <c r="AG71" s="195">
        <v>0</v>
      </c>
      <c r="AH71" s="195">
        <v>0</v>
      </c>
      <c r="AI71" s="195">
        <v>0</v>
      </c>
      <c r="AJ71" s="195">
        <v>0</v>
      </c>
      <c r="AK71" s="195">
        <v>0</v>
      </c>
      <c r="AL71" s="195">
        <f>MCC_M_RUVY_matrices_mat_level!AI137*MCC_h_RUVY_matrices_mat_level!AI136 /MCC_MW_RUVY_matrices_mat_level!AL70</f>
        <v>23907.404496491064</v>
      </c>
      <c r="AM71" s="195">
        <v>0</v>
      </c>
      <c r="AN71" s="195">
        <v>0</v>
      </c>
      <c r="AO71" s="195">
        <v>0</v>
      </c>
      <c r="AP71" s="263">
        <f t="shared" si="3"/>
        <v>23907.404496491064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 t="s">
        <v>337</v>
      </c>
      <c r="F72" s="195">
        <v>0</v>
      </c>
      <c r="G72" s="195">
        <v>0</v>
      </c>
      <c r="H72" s="195">
        <v>0</v>
      </c>
      <c r="I72" s="195">
        <v>0</v>
      </c>
      <c r="J72" s="195">
        <v>0</v>
      </c>
      <c r="K72" s="195">
        <v>0</v>
      </c>
      <c r="L72" s="195">
        <v>0</v>
      </c>
      <c r="M72" s="195">
        <v>0</v>
      </c>
      <c r="N72" s="195">
        <v>0</v>
      </c>
      <c r="O72" s="195">
        <v>0</v>
      </c>
      <c r="P72" s="195">
        <v>0</v>
      </c>
      <c r="Q72" s="195">
        <v>0</v>
      </c>
      <c r="R72" s="195">
        <v>0</v>
      </c>
      <c r="S72" s="195">
        <v>0</v>
      </c>
      <c r="T72" s="195">
        <v>0</v>
      </c>
      <c r="U72" s="195">
        <v>0</v>
      </c>
      <c r="V72" s="195">
        <v>0</v>
      </c>
      <c r="W72" s="195">
        <v>0</v>
      </c>
      <c r="X72" s="195">
        <v>0</v>
      </c>
      <c r="Y72" s="195">
        <v>0</v>
      </c>
      <c r="Z72" s="195">
        <v>0</v>
      </c>
      <c r="AA72" s="195">
        <v>0</v>
      </c>
      <c r="AB72" s="195">
        <v>0</v>
      </c>
      <c r="AC72" s="195">
        <v>0</v>
      </c>
      <c r="AD72" s="195">
        <v>0</v>
      </c>
      <c r="AE72" s="195">
        <v>0</v>
      </c>
      <c r="AF72" s="195">
        <v>0</v>
      </c>
      <c r="AG72" s="195">
        <v>0</v>
      </c>
      <c r="AH72" s="195">
        <v>0</v>
      </c>
      <c r="AI72" s="195">
        <v>0</v>
      </c>
      <c r="AJ72" s="195">
        <v>0</v>
      </c>
      <c r="AK72" s="195">
        <v>0</v>
      </c>
      <c r="AL72" s="195">
        <v>0</v>
      </c>
      <c r="AM72" s="195">
        <f>MCC_M_RUVY_matrices_mat_level!AJ138*MCC_h_RUVY_matrices_mat_level!AJ137 /MCC_MW_RUVY_matrices_mat_level!AM71</f>
        <v>0</v>
      </c>
      <c r="AN72" s="195">
        <f>MCC_M_RUVY_matrices_mat_level!AK138*MCC_h_RUVY_matrices_mat_level!AK137 /MCC_MW_RUVY_matrices_mat_level!AN71</f>
        <v>-2788514.0257371739</v>
      </c>
      <c r="AO72" s="195">
        <f>MCC_M_RUVY_matrices_mat_level!AL138*MCC_h_RUVY_matrices_mat_level!AL137 /MCC_MW_RUVY_matrices_mat_level!AO71</f>
        <v>-177387.6603372262</v>
      </c>
      <c r="AP72" s="263">
        <f t="shared" si="3"/>
        <v>-2965901.6860743999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429" t="s">
        <v>329</v>
      </c>
      <c r="G73" s="429"/>
      <c r="H73" s="429"/>
      <c r="I73" s="429"/>
      <c r="J73" s="429"/>
      <c r="K73" s="429"/>
      <c r="L73" s="429"/>
      <c r="M73" s="429"/>
      <c r="N73" s="429"/>
      <c r="O73" s="429"/>
      <c r="P73" s="429"/>
      <c r="Q73" s="429"/>
      <c r="R73" s="429"/>
      <c r="S73" s="429"/>
      <c r="T73" s="429"/>
      <c r="U73" s="429"/>
      <c r="V73" s="429"/>
      <c r="W73" s="429"/>
      <c r="X73" s="429"/>
      <c r="Y73" s="429"/>
      <c r="Z73" s="429"/>
      <c r="AA73" s="429"/>
      <c r="AB73" s="429"/>
      <c r="AC73" s="429"/>
      <c r="AD73" s="429"/>
      <c r="AE73" s="429"/>
      <c r="AF73" s="429"/>
      <c r="AG73" s="429"/>
      <c r="AH73" s="429"/>
      <c r="AI73" s="429"/>
      <c r="AJ73" s="429"/>
      <c r="AK73" s="429"/>
      <c r="AL73" s="429"/>
      <c r="AM73" s="429"/>
      <c r="AN73" s="429"/>
      <c r="AO73" s="429"/>
      <c r="AP73" s="298" t="s">
        <v>365</v>
      </c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263">
        <f>SUM(F58:F72)</f>
        <v>0</v>
      </c>
      <c r="G74" s="263">
        <f t="shared" ref="G74:AO74" si="4">SUM(G58:G72)</f>
        <v>0</v>
      </c>
      <c r="H74" s="263">
        <f t="shared" si="4"/>
        <v>0</v>
      </c>
      <c r="I74" s="263">
        <f t="shared" si="4"/>
        <v>0</v>
      </c>
      <c r="J74" s="263">
        <f t="shared" si="4"/>
        <v>0</v>
      </c>
      <c r="K74" s="263">
        <f t="shared" si="4"/>
        <v>0</v>
      </c>
      <c r="L74" s="263">
        <f t="shared" si="4"/>
        <v>0</v>
      </c>
      <c r="M74" s="263">
        <f t="shared" si="4"/>
        <v>0</v>
      </c>
      <c r="N74" s="263">
        <f t="shared" si="4"/>
        <v>0</v>
      </c>
      <c r="O74" s="263">
        <f t="shared" si="4"/>
        <v>-1777985.4355511186</v>
      </c>
      <c r="P74" s="263">
        <f t="shared" si="4"/>
        <v>-35429.897676176748</v>
      </c>
      <c r="Q74" s="263">
        <f t="shared" si="4"/>
        <v>-1359457.7959575919</v>
      </c>
      <c r="R74" s="263">
        <f t="shared" si="4"/>
        <v>-106.02767886152715</v>
      </c>
      <c r="S74" s="263">
        <f t="shared" si="4"/>
        <v>9126570.1860198174</v>
      </c>
      <c r="T74" s="263">
        <f t="shared" si="4"/>
        <v>-8771.8572366008211</v>
      </c>
      <c r="U74" s="263">
        <f t="shared" si="4"/>
        <v>-1777985.4355511186</v>
      </c>
      <c r="V74" s="263">
        <f t="shared" si="4"/>
        <v>-1359457.7959575919</v>
      </c>
      <c r="W74" s="263">
        <f t="shared" si="4"/>
        <v>9126570.1860198174</v>
      </c>
      <c r="X74" s="263">
        <f t="shared" si="4"/>
        <v>-3797055.1820632704</v>
      </c>
      <c r="Y74" s="263">
        <f t="shared" si="4"/>
        <v>-66021.418271669754</v>
      </c>
      <c r="Z74" s="263">
        <f t="shared" si="4"/>
        <v>-1359457.7959575919</v>
      </c>
      <c r="AA74" s="263">
        <f t="shared" si="4"/>
        <v>9126570.1860198174</v>
      </c>
      <c r="AB74" s="263">
        <f t="shared" si="4"/>
        <v>-1256817.6045988721</v>
      </c>
      <c r="AC74" s="263">
        <f t="shared" si="4"/>
        <v>-74404.460335125405</v>
      </c>
      <c r="AD74" s="263">
        <f t="shared" si="4"/>
        <v>-1082643.9792420177</v>
      </c>
      <c r="AE74" s="263">
        <f t="shared" si="4"/>
        <v>6114656.4031687425</v>
      </c>
      <c r="AF74" s="263">
        <f t="shared" si="4"/>
        <v>-13740.19434752778</v>
      </c>
      <c r="AG74" s="263">
        <f t="shared" si="4"/>
        <v>-3677.1587424372706</v>
      </c>
      <c r="AH74" s="263">
        <f t="shared" si="4"/>
        <v>-47920.401977769274</v>
      </c>
      <c r="AI74" s="263">
        <f t="shared" si="4"/>
        <v>-3678478.5848042481</v>
      </c>
      <c r="AJ74" s="263">
        <f t="shared" si="4"/>
        <v>-13104.628581498642</v>
      </c>
      <c r="AK74" s="263">
        <f t="shared" si="4"/>
        <v>-13104.628581498642</v>
      </c>
      <c r="AL74" s="263">
        <f t="shared" si="4"/>
        <v>23907.404496491064</v>
      </c>
      <c r="AM74" s="263">
        <f t="shared" si="4"/>
        <v>0</v>
      </c>
      <c r="AN74" s="263">
        <f t="shared" si="4"/>
        <v>-2788514.0257371739</v>
      </c>
      <c r="AO74" s="263">
        <f t="shared" si="4"/>
        <v>-177387.6603372262</v>
      </c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429" t="s">
        <v>366</v>
      </c>
      <c r="G75" s="429"/>
      <c r="H75" s="429"/>
      <c r="I75" s="429"/>
      <c r="J75" s="429"/>
      <c r="K75" s="429"/>
      <c r="L75" s="429"/>
      <c r="M75" s="429"/>
      <c r="N75" s="429"/>
      <c r="O75" s="429"/>
      <c r="P75" s="429"/>
      <c r="Q75" s="429"/>
      <c r="R75" s="429"/>
      <c r="S75" s="429"/>
      <c r="T75" s="429"/>
      <c r="U75" s="429"/>
      <c r="V75" s="429"/>
      <c r="W75" s="429"/>
      <c r="X75" s="429"/>
      <c r="Y75" s="429"/>
      <c r="Z75" s="429"/>
      <c r="AA75" s="429"/>
      <c r="AB75" s="429"/>
      <c r="AC75" s="429"/>
      <c r="AD75" s="429"/>
      <c r="AE75" s="429"/>
      <c r="AF75" s="429"/>
      <c r="AG75" s="429"/>
      <c r="AH75" s="429"/>
      <c r="AI75" s="429"/>
      <c r="AJ75" s="429"/>
      <c r="AK75" s="429"/>
      <c r="AL75" s="429"/>
      <c r="AM75" s="429"/>
      <c r="AN75" s="429"/>
      <c r="AO75" s="429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x14ac:dyDescent="0.2">
      <c r="E83" s="262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ht="236" x14ac:dyDescent="0.2">
      <c r="E84" s="262"/>
      <c r="F84" s="308" t="s">
        <v>333</v>
      </c>
      <c r="G84" s="308" t="s">
        <v>335</v>
      </c>
      <c r="H84" s="308" t="s">
        <v>336</v>
      </c>
      <c r="I84" s="308" t="s">
        <v>355</v>
      </c>
      <c r="J84" s="308" t="s">
        <v>377</v>
      </c>
      <c r="K84" s="308" t="s">
        <v>466</v>
      </c>
      <c r="L84" s="308" t="s">
        <v>467</v>
      </c>
      <c r="M84" s="308" t="s">
        <v>411</v>
      </c>
      <c r="N84" s="308" t="s">
        <v>459</v>
      </c>
      <c r="O84" s="307" t="s">
        <v>442</v>
      </c>
      <c r="P84" s="308" t="s">
        <v>409</v>
      </c>
      <c r="Q84" s="307" t="s">
        <v>412</v>
      </c>
      <c r="R84" s="308" t="s">
        <v>437</v>
      </c>
      <c r="S84" s="178" t="s">
        <v>430</v>
      </c>
      <c r="T84" s="308" t="s">
        <v>416</v>
      </c>
      <c r="U84" s="307" t="s">
        <v>441</v>
      </c>
      <c r="V84" s="307" t="s">
        <v>436</v>
      </c>
      <c r="W84" s="307" t="s">
        <v>433</v>
      </c>
      <c r="X84" s="307" t="s">
        <v>439</v>
      </c>
      <c r="Y84" s="178" t="s">
        <v>438</v>
      </c>
      <c r="Z84" s="178" t="s">
        <v>424</v>
      </c>
      <c r="AA84" s="178" t="s">
        <v>456</v>
      </c>
      <c r="AB84" s="178" t="s">
        <v>425</v>
      </c>
      <c r="AC84" s="178" t="s">
        <v>427</v>
      </c>
      <c r="AD84" s="178" t="s">
        <v>426</v>
      </c>
      <c r="AE84" s="178" t="s">
        <v>484</v>
      </c>
      <c r="AF84" s="196" t="s">
        <v>422</v>
      </c>
      <c r="AG84" s="196" t="s">
        <v>552</v>
      </c>
      <c r="AH84" s="178" t="s">
        <v>421</v>
      </c>
      <c r="AI84" s="308" t="s">
        <v>423</v>
      </c>
      <c r="AJ84" s="178" t="s">
        <v>515</v>
      </c>
      <c r="AK84" s="178" t="s">
        <v>517</v>
      </c>
      <c r="AL84" s="178" t="s">
        <v>445</v>
      </c>
      <c r="AM84" s="178" t="s">
        <v>446</v>
      </c>
      <c r="AN84" s="178" t="s">
        <v>447</v>
      </c>
      <c r="AO84" s="178" t="s">
        <v>457</v>
      </c>
      <c r="AP84" s="17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x14ac:dyDescent="0.2">
      <c r="E85" s="262" t="s">
        <v>332</v>
      </c>
      <c r="F85" s="310">
        <f>MCC_M_RUVY_matrices_mat_level!C153*MCC_h_RUVY_matrices_mat_level!C152 / MCC_MW_RUVY_matrices_mat_level!F84</f>
        <v>-1777985.4355511186</v>
      </c>
      <c r="G85" s="310">
        <v>0</v>
      </c>
      <c r="H85" s="310">
        <v>0</v>
      </c>
      <c r="I85" s="310">
        <v>0</v>
      </c>
      <c r="J85" s="310">
        <v>0</v>
      </c>
      <c r="K85" s="310">
        <v>0</v>
      </c>
      <c r="L85" s="310">
        <v>0</v>
      </c>
      <c r="M85" s="310">
        <v>0</v>
      </c>
      <c r="N85" s="310">
        <v>0</v>
      </c>
      <c r="O85" s="310">
        <v>0</v>
      </c>
      <c r="P85" s="310">
        <v>0</v>
      </c>
      <c r="Q85" s="310">
        <v>0</v>
      </c>
      <c r="R85" s="310">
        <v>0</v>
      </c>
      <c r="S85" s="310">
        <v>0</v>
      </c>
      <c r="T85" s="310">
        <v>0</v>
      </c>
      <c r="U85" s="310">
        <v>0</v>
      </c>
      <c r="V85" s="310">
        <v>0</v>
      </c>
      <c r="W85" s="310">
        <v>0</v>
      </c>
      <c r="X85" s="310">
        <v>0</v>
      </c>
      <c r="Y85" s="310">
        <v>0</v>
      </c>
      <c r="Z85" s="310">
        <v>0</v>
      </c>
      <c r="AA85" s="310">
        <v>0</v>
      </c>
      <c r="AB85" s="310">
        <v>0</v>
      </c>
      <c r="AC85" s="310">
        <v>0</v>
      </c>
      <c r="AD85" s="310">
        <v>0</v>
      </c>
      <c r="AE85" s="310">
        <v>0</v>
      </c>
      <c r="AF85" s="310">
        <v>0</v>
      </c>
      <c r="AG85" s="310">
        <v>0</v>
      </c>
      <c r="AH85" s="310">
        <v>0</v>
      </c>
      <c r="AI85" s="310">
        <v>0</v>
      </c>
      <c r="AJ85" s="310">
        <v>0</v>
      </c>
      <c r="AK85" s="310">
        <v>0</v>
      </c>
      <c r="AL85" s="310">
        <v>0</v>
      </c>
      <c r="AM85" s="310">
        <v>0</v>
      </c>
      <c r="AN85" s="310">
        <v>0</v>
      </c>
      <c r="AO85" s="310">
        <v>0</v>
      </c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ht="16" x14ac:dyDescent="0.2">
      <c r="E86" s="294" t="s">
        <v>413</v>
      </c>
      <c r="F86" s="310">
        <v>0</v>
      </c>
      <c r="G86" s="310">
        <f>MCC_M_RUVY_matrices_mat_level!D154*MCC_h_RUVY_matrices_mat_level!D153 / MCC_MW_RUVY_matrices_mat_level!G85</f>
        <v>-1359457.7959575919</v>
      </c>
      <c r="H86" s="310">
        <v>0</v>
      </c>
      <c r="I86" s="310">
        <v>0</v>
      </c>
      <c r="J86" s="310">
        <v>0</v>
      </c>
      <c r="K86" s="310">
        <v>0</v>
      </c>
      <c r="L86" s="310">
        <v>0</v>
      </c>
      <c r="M86" s="310">
        <v>0</v>
      </c>
      <c r="N86" s="310">
        <v>0</v>
      </c>
      <c r="O86" s="310">
        <v>0</v>
      </c>
      <c r="P86" s="310">
        <v>0</v>
      </c>
      <c r="Q86" s="310">
        <v>0</v>
      </c>
      <c r="R86" s="310">
        <v>0</v>
      </c>
      <c r="S86" s="310">
        <v>0</v>
      </c>
      <c r="T86" s="310">
        <v>0</v>
      </c>
      <c r="U86" s="310">
        <v>0</v>
      </c>
      <c r="V86" s="310">
        <v>0</v>
      </c>
      <c r="W86" s="310">
        <v>0</v>
      </c>
      <c r="X86" s="310">
        <v>0</v>
      </c>
      <c r="Y86" s="310">
        <v>0</v>
      </c>
      <c r="Z86" s="310">
        <v>0</v>
      </c>
      <c r="AA86" s="310">
        <v>0</v>
      </c>
      <c r="AB86" s="310">
        <v>0</v>
      </c>
      <c r="AC86" s="310">
        <v>0</v>
      </c>
      <c r="AD86" s="310">
        <v>0</v>
      </c>
      <c r="AE86" s="310">
        <v>0</v>
      </c>
      <c r="AF86" s="310">
        <v>0</v>
      </c>
      <c r="AG86" s="310">
        <v>0</v>
      </c>
      <c r="AH86" s="310">
        <v>0</v>
      </c>
      <c r="AI86" s="310">
        <v>0</v>
      </c>
      <c r="AJ86" s="310">
        <v>0</v>
      </c>
      <c r="AK86" s="310">
        <v>0</v>
      </c>
      <c r="AL86" s="310">
        <v>0</v>
      </c>
      <c r="AM86" s="310">
        <v>0</v>
      </c>
      <c r="AN86" s="310">
        <v>0</v>
      </c>
      <c r="AO86" s="310">
        <v>0</v>
      </c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175" t="s">
        <v>356</v>
      </c>
      <c r="F87" s="310">
        <v>0</v>
      </c>
      <c r="G87" s="310">
        <v>0</v>
      </c>
      <c r="H87" s="310">
        <f>MCC_M_RUVY_matrices_mat_level!E155*MCC_h_RUVY_matrices_mat_level!E154 / MCC_MW_RUVY_matrices_mat_level!H86</f>
        <v>9126570.1860198174</v>
      </c>
      <c r="I87" s="310">
        <v>0</v>
      </c>
      <c r="J87" s="310">
        <v>0</v>
      </c>
      <c r="K87" s="310">
        <v>0</v>
      </c>
      <c r="L87" s="310">
        <v>0</v>
      </c>
      <c r="M87" s="310">
        <v>0</v>
      </c>
      <c r="N87" s="310">
        <v>0</v>
      </c>
      <c r="O87" s="310">
        <v>0</v>
      </c>
      <c r="P87" s="310">
        <v>0</v>
      </c>
      <c r="Q87" s="310">
        <v>0</v>
      </c>
      <c r="R87" s="310">
        <v>0</v>
      </c>
      <c r="S87" s="310">
        <v>0</v>
      </c>
      <c r="T87" s="310">
        <v>0</v>
      </c>
      <c r="U87" s="310">
        <v>0</v>
      </c>
      <c r="V87" s="310">
        <v>0</v>
      </c>
      <c r="W87" s="310">
        <v>0</v>
      </c>
      <c r="X87" s="310">
        <v>0</v>
      </c>
      <c r="Y87" s="310">
        <v>0</v>
      </c>
      <c r="Z87" s="310">
        <v>0</v>
      </c>
      <c r="AA87" s="310">
        <v>0</v>
      </c>
      <c r="AB87" s="310">
        <v>0</v>
      </c>
      <c r="AC87" s="310">
        <v>0</v>
      </c>
      <c r="AD87" s="310">
        <v>0</v>
      </c>
      <c r="AE87" s="310">
        <v>0</v>
      </c>
      <c r="AF87" s="310">
        <v>0</v>
      </c>
      <c r="AG87" s="310">
        <v>0</v>
      </c>
      <c r="AH87" s="310">
        <v>0</v>
      </c>
      <c r="AI87" s="310">
        <v>0</v>
      </c>
      <c r="AJ87" s="310">
        <v>0</v>
      </c>
      <c r="AK87" s="310">
        <v>0</v>
      </c>
      <c r="AL87" s="310">
        <v>0</v>
      </c>
      <c r="AM87" s="310">
        <v>0</v>
      </c>
      <c r="AN87" s="310">
        <v>0</v>
      </c>
      <c r="AO87" s="310">
        <v>0</v>
      </c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x14ac:dyDescent="0.2">
      <c r="E88" s="262" t="s">
        <v>380</v>
      </c>
      <c r="F88" s="310">
        <v>0</v>
      </c>
      <c r="G88" s="310">
        <v>0</v>
      </c>
      <c r="H88" s="310">
        <v>0</v>
      </c>
      <c r="I88" s="310">
        <f>MCC_M_RUVY_matrices_mat_level!F156*MCC_h_RUVY_matrices_mat_level!F155 / MCC_MW_RUVY_matrices_mat_level!I87</f>
        <v>0</v>
      </c>
      <c r="J88" s="310">
        <v>0</v>
      </c>
      <c r="K88" s="310">
        <v>0</v>
      </c>
      <c r="L88" s="310">
        <v>0</v>
      </c>
      <c r="M88" s="310">
        <v>0</v>
      </c>
      <c r="N88" s="310">
        <v>0</v>
      </c>
      <c r="O88" s="310">
        <v>0</v>
      </c>
      <c r="P88" s="310">
        <v>0</v>
      </c>
      <c r="Q88" s="310">
        <v>0</v>
      </c>
      <c r="R88" s="310">
        <v>0</v>
      </c>
      <c r="S88" s="310">
        <v>0</v>
      </c>
      <c r="T88" s="310">
        <v>0</v>
      </c>
      <c r="U88" s="310">
        <v>0</v>
      </c>
      <c r="V88" s="310">
        <v>0</v>
      </c>
      <c r="W88" s="310">
        <v>0</v>
      </c>
      <c r="X88" s="310">
        <v>0</v>
      </c>
      <c r="Y88" s="310">
        <v>0</v>
      </c>
      <c r="Z88" s="310">
        <v>0</v>
      </c>
      <c r="AA88" s="310">
        <v>0</v>
      </c>
      <c r="AB88" s="310">
        <v>0</v>
      </c>
      <c r="AC88" s="310">
        <v>0</v>
      </c>
      <c r="AD88" s="310">
        <v>0</v>
      </c>
      <c r="AE88" s="310">
        <v>0</v>
      </c>
      <c r="AF88" s="310">
        <v>0</v>
      </c>
      <c r="AG88" s="310">
        <v>0</v>
      </c>
      <c r="AH88" s="310">
        <v>0</v>
      </c>
      <c r="AI88" s="310">
        <v>0</v>
      </c>
      <c r="AJ88" s="310">
        <v>0</v>
      </c>
      <c r="AK88" s="310">
        <v>0</v>
      </c>
      <c r="AL88" s="310">
        <v>0</v>
      </c>
      <c r="AM88" s="310">
        <v>0</v>
      </c>
      <c r="AN88" s="310">
        <v>0</v>
      </c>
      <c r="AO88" s="310">
        <v>0</v>
      </c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376</v>
      </c>
      <c r="F89" s="310">
        <v>0</v>
      </c>
      <c r="G89" s="310">
        <v>0</v>
      </c>
      <c r="H89" s="310">
        <v>0</v>
      </c>
      <c r="I89" s="310">
        <v>0</v>
      </c>
      <c r="J89" s="310">
        <f>MCC_M_RUVY_matrices_mat_level!G157*MCC_h_RUVY_matrices_mat_level!G156 / MCC_MW_RUVY_matrices_mat_level!J88</f>
        <v>-1333105.1092348634</v>
      </c>
      <c r="K89" s="310">
        <v>0</v>
      </c>
      <c r="L89" s="310">
        <v>0</v>
      </c>
      <c r="M89" s="310">
        <v>0</v>
      </c>
      <c r="N89" s="310">
        <v>0</v>
      </c>
      <c r="O89" s="310">
        <v>0</v>
      </c>
      <c r="P89" s="310">
        <v>0</v>
      </c>
      <c r="Q89" s="310">
        <v>0</v>
      </c>
      <c r="R89" s="310">
        <v>0</v>
      </c>
      <c r="S89" s="310">
        <v>0</v>
      </c>
      <c r="T89" s="310">
        <v>0</v>
      </c>
      <c r="U89" s="310">
        <v>0</v>
      </c>
      <c r="V89" s="310">
        <v>0</v>
      </c>
      <c r="W89" s="310">
        <v>0</v>
      </c>
      <c r="X89" s="310">
        <v>0</v>
      </c>
      <c r="Y89" s="310">
        <v>0</v>
      </c>
      <c r="Z89" s="310">
        <v>0</v>
      </c>
      <c r="AA89" s="310">
        <v>0</v>
      </c>
      <c r="AB89" s="310">
        <v>0</v>
      </c>
      <c r="AC89" s="310">
        <v>0</v>
      </c>
      <c r="AD89" s="310">
        <v>0</v>
      </c>
      <c r="AE89" s="310">
        <v>0</v>
      </c>
      <c r="AF89" s="310">
        <v>0</v>
      </c>
      <c r="AG89" s="310">
        <v>0</v>
      </c>
      <c r="AH89" s="310">
        <v>0</v>
      </c>
      <c r="AI89" s="310">
        <v>0</v>
      </c>
      <c r="AJ89" s="310">
        <v>0</v>
      </c>
      <c r="AK89" s="310">
        <v>0</v>
      </c>
      <c r="AL89" s="310">
        <v>0</v>
      </c>
      <c r="AM89" s="310">
        <v>0</v>
      </c>
      <c r="AN89" s="310">
        <v>0</v>
      </c>
      <c r="AO89" s="310">
        <v>0</v>
      </c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469</v>
      </c>
      <c r="F90" s="310">
        <v>0</v>
      </c>
      <c r="G90" s="310">
        <v>0</v>
      </c>
      <c r="H90" s="310">
        <v>0</v>
      </c>
      <c r="I90" s="310">
        <v>0</v>
      </c>
      <c r="J90" s="310">
        <v>0</v>
      </c>
      <c r="K90" s="310">
        <f>MCC_M_RUVY_matrices_mat_level!H158*MCC_h_RUVY_matrices_mat_level!H157 / MCC_MW_RUVY_matrices_mat_level!K89</f>
        <v>110229.37028964539</v>
      </c>
      <c r="L90" s="310">
        <v>0</v>
      </c>
      <c r="M90" s="310">
        <v>0</v>
      </c>
      <c r="N90" s="310">
        <v>0</v>
      </c>
      <c r="O90" s="310">
        <v>0</v>
      </c>
      <c r="P90" s="310">
        <v>0</v>
      </c>
      <c r="Q90" s="310">
        <v>0</v>
      </c>
      <c r="R90" s="310">
        <v>0</v>
      </c>
      <c r="S90" s="310">
        <v>0</v>
      </c>
      <c r="T90" s="310">
        <v>0</v>
      </c>
      <c r="U90" s="310">
        <v>0</v>
      </c>
      <c r="V90" s="310">
        <v>0</v>
      </c>
      <c r="W90" s="310">
        <v>0</v>
      </c>
      <c r="X90" s="310">
        <v>0</v>
      </c>
      <c r="Y90" s="310">
        <v>0</v>
      </c>
      <c r="Z90" s="310">
        <v>0</v>
      </c>
      <c r="AA90" s="310">
        <v>0</v>
      </c>
      <c r="AB90" s="310">
        <v>0</v>
      </c>
      <c r="AC90" s="310">
        <v>0</v>
      </c>
      <c r="AD90" s="310">
        <v>0</v>
      </c>
      <c r="AE90" s="310">
        <v>0</v>
      </c>
      <c r="AF90" s="310">
        <v>0</v>
      </c>
      <c r="AG90" s="310">
        <v>0</v>
      </c>
      <c r="AH90" s="310">
        <v>0</v>
      </c>
      <c r="AI90" s="310">
        <v>0</v>
      </c>
      <c r="AJ90" s="310">
        <v>0</v>
      </c>
      <c r="AK90" s="310">
        <v>0</v>
      </c>
      <c r="AL90" s="310">
        <v>0</v>
      </c>
      <c r="AM90" s="310">
        <v>0</v>
      </c>
      <c r="AN90" s="310">
        <v>0</v>
      </c>
      <c r="AO90" s="310">
        <v>0</v>
      </c>
      <c r="AP90" s="108"/>
      <c r="AQ90" s="108"/>
      <c r="AR90" s="108"/>
      <c r="AS90" s="108"/>
      <c r="AT90" s="196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468</v>
      </c>
      <c r="F91" s="310">
        <v>0</v>
      </c>
      <c r="G91" s="310">
        <v>0</v>
      </c>
      <c r="H91" s="310">
        <v>0</v>
      </c>
      <c r="I91" s="310">
        <v>0</v>
      </c>
      <c r="J91" s="310">
        <v>0</v>
      </c>
      <c r="K91" s="310">
        <v>0</v>
      </c>
      <c r="L91" s="310">
        <f>MCC_M_RUVY_matrices_mat_level!I159*MCC_h_RUVY_matrices_mat_level!I158 / MCC_MW_RUVY_matrices_mat_level!L90</f>
        <v>-1.1322425723331082</v>
      </c>
      <c r="M91" s="310">
        <v>0</v>
      </c>
      <c r="N91" s="310">
        <v>0</v>
      </c>
      <c r="O91" s="310">
        <v>0</v>
      </c>
      <c r="P91" s="310">
        <v>0</v>
      </c>
      <c r="Q91" s="310">
        <v>0</v>
      </c>
      <c r="R91" s="310">
        <v>0</v>
      </c>
      <c r="S91" s="310">
        <v>0</v>
      </c>
      <c r="T91" s="310">
        <v>0</v>
      </c>
      <c r="U91" s="310">
        <v>0</v>
      </c>
      <c r="V91" s="310">
        <v>0</v>
      </c>
      <c r="W91" s="310">
        <v>0</v>
      </c>
      <c r="X91" s="310">
        <v>0</v>
      </c>
      <c r="Y91" s="310">
        <v>0</v>
      </c>
      <c r="Z91" s="310">
        <v>0</v>
      </c>
      <c r="AA91" s="310">
        <v>0</v>
      </c>
      <c r="AB91" s="310">
        <v>0</v>
      </c>
      <c r="AC91" s="310">
        <v>0</v>
      </c>
      <c r="AD91" s="310">
        <v>0</v>
      </c>
      <c r="AE91" s="310">
        <v>0</v>
      </c>
      <c r="AF91" s="310">
        <v>0</v>
      </c>
      <c r="AG91" s="310">
        <v>0</v>
      </c>
      <c r="AH91" s="310">
        <v>0</v>
      </c>
      <c r="AI91" s="310">
        <v>0</v>
      </c>
      <c r="AJ91" s="310">
        <v>0</v>
      </c>
      <c r="AK91" s="310">
        <v>0</v>
      </c>
      <c r="AL91" s="310">
        <v>0</v>
      </c>
      <c r="AM91" s="310">
        <v>0</v>
      </c>
      <c r="AN91" s="310">
        <v>0</v>
      </c>
      <c r="AO91" s="310">
        <v>0</v>
      </c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410</v>
      </c>
      <c r="F92" s="310">
        <v>0</v>
      </c>
      <c r="G92" s="310">
        <v>0</v>
      </c>
      <c r="H92" s="310">
        <v>0</v>
      </c>
      <c r="I92" s="310">
        <v>0</v>
      </c>
      <c r="J92" s="310">
        <v>0</v>
      </c>
      <c r="K92" s="310">
        <v>0</v>
      </c>
      <c r="L92" s="310">
        <v>0</v>
      </c>
      <c r="M92" s="310">
        <f>MCC_M_RUVY_matrices_mat_level!J160*MCC_h_RUVY_matrices_mat_level!J159 / MCC_MW_RUVY_matrices_mat_level!M91</f>
        <v>194131.36779323625</v>
      </c>
      <c r="N92" s="310">
        <v>0</v>
      </c>
      <c r="O92" s="310">
        <v>0</v>
      </c>
      <c r="P92" s="310">
        <v>0</v>
      </c>
      <c r="Q92" s="310">
        <v>0</v>
      </c>
      <c r="R92" s="310">
        <v>0</v>
      </c>
      <c r="S92" s="310">
        <v>0</v>
      </c>
      <c r="T92" s="310">
        <v>0</v>
      </c>
      <c r="U92" s="310">
        <v>0</v>
      </c>
      <c r="V92" s="310">
        <v>0</v>
      </c>
      <c r="W92" s="310">
        <v>0</v>
      </c>
      <c r="X92" s="310">
        <v>0</v>
      </c>
      <c r="Y92" s="310">
        <v>0</v>
      </c>
      <c r="Z92" s="310">
        <v>0</v>
      </c>
      <c r="AA92" s="310">
        <v>0</v>
      </c>
      <c r="AB92" s="310">
        <v>0</v>
      </c>
      <c r="AC92" s="310">
        <v>0</v>
      </c>
      <c r="AD92" s="310">
        <v>0</v>
      </c>
      <c r="AE92" s="310">
        <v>0</v>
      </c>
      <c r="AF92" s="310">
        <v>0</v>
      </c>
      <c r="AG92" s="310">
        <v>0</v>
      </c>
      <c r="AH92" s="310">
        <v>0</v>
      </c>
      <c r="AI92" s="310">
        <v>0</v>
      </c>
      <c r="AJ92" s="310">
        <v>0</v>
      </c>
      <c r="AK92" s="310">
        <v>0</v>
      </c>
      <c r="AL92" s="310">
        <v>0</v>
      </c>
      <c r="AM92" s="310">
        <v>0</v>
      </c>
      <c r="AN92" s="310">
        <v>0</v>
      </c>
      <c r="AO92" s="310">
        <v>0</v>
      </c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262" t="s">
        <v>458</v>
      </c>
      <c r="F93" s="310">
        <v>0</v>
      </c>
      <c r="G93" s="310">
        <v>0</v>
      </c>
      <c r="H93" s="310">
        <v>0</v>
      </c>
      <c r="I93" s="310">
        <v>0</v>
      </c>
      <c r="J93" s="310">
        <v>0</v>
      </c>
      <c r="K93" s="310">
        <v>0</v>
      </c>
      <c r="L93" s="310">
        <v>0</v>
      </c>
      <c r="M93" s="310">
        <v>0</v>
      </c>
      <c r="N93" s="310">
        <v>0</v>
      </c>
      <c r="O93" s="310">
        <v>0</v>
      </c>
      <c r="P93" s="310">
        <v>0</v>
      </c>
      <c r="Q93" s="310">
        <v>0</v>
      </c>
      <c r="R93" s="310">
        <v>0</v>
      </c>
      <c r="S93" s="310">
        <v>0</v>
      </c>
      <c r="T93" s="310">
        <v>0</v>
      </c>
      <c r="U93" s="310">
        <v>0</v>
      </c>
      <c r="V93" s="310">
        <v>0</v>
      </c>
      <c r="W93" s="310">
        <v>0</v>
      </c>
      <c r="X93" s="310">
        <v>0</v>
      </c>
      <c r="Y93" s="310">
        <v>0</v>
      </c>
      <c r="Z93" s="310">
        <v>0</v>
      </c>
      <c r="AA93" s="310">
        <v>0</v>
      </c>
      <c r="AB93" s="310">
        <v>0</v>
      </c>
      <c r="AC93" s="310">
        <v>0</v>
      </c>
      <c r="AD93" s="310">
        <v>0</v>
      </c>
      <c r="AE93" s="310">
        <v>0</v>
      </c>
      <c r="AF93" s="310">
        <v>0</v>
      </c>
      <c r="AG93" s="310">
        <v>0</v>
      </c>
      <c r="AH93" s="310">
        <v>0</v>
      </c>
      <c r="AI93" s="310">
        <v>0</v>
      </c>
      <c r="AJ93" s="310">
        <v>0</v>
      </c>
      <c r="AK93" s="310">
        <v>0</v>
      </c>
      <c r="AL93" s="310">
        <v>0</v>
      </c>
      <c r="AM93" s="310">
        <v>0</v>
      </c>
      <c r="AN93" s="310">
        <v>0</v>
      </c>
      <c r="AO93" s="310">
        <v>0</v>
      </c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429" t="s">
        <v>56</v>
      </c>
      <c r="G94" s="429"/>
      <c r="H94" s="429"/>
      <c r="I94" s="429"/>
      <c r="J94" s="429"/>
      <c r="K94" s="429"/>
      <c r="L94" s="429"/>
      <c r="M94" s="429"/>
      <c r="N94" s="429"/>
      <c r="O94" s="429"/>
      <c r="P94" s="429"/>
      <c r="Q94" s="429"/>
      <c r="R94" s="429"/>
      <c r="S94" s="429"/>
      <c r="T94" s="429"/>
      <c r="U94" s="429"/>
      <c r="V94" s="429"/>
      <c r="W94" s="429"/>
      <c r="X94" s="429"/>
      <c r="Y94" s="429"/>
      <c r="Z94" s="429"/>
      <c r="AA94" s="429"/>
      <c r="AB94" s="429"/>
      <c r="AC94" s="429"/>
      <c r="AD94" s="429"/>
      <c r="AE94" s="429"/>
      <c r="AF94" s="429"/>
      <c r="AG94" s="429"/>
      <c r="AH94" s="429"/>
      <c r="AI94" s="429"/>
      <c r="AJ94" s="429"/>
      <c r="AK94" s="429"/>
      <c r="AL94" s="429"/>
      <c r="AM94" s="429"/>
      <c r="AN94" s="429"/>
      <c r="AO94" s="429"/>
      <c r="AP94" s="29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E95" s="108"/>
      <c r="F95" s="263">
        <f>SUM(F85:F93)</f>
        <v>-1777985.4355511186</v>
      </c>
      <c r="G95" s="263">
        <f t="shared" ref="G95:N95" si="5">SUM(G85:G93)</f>
        <v>-1359457.7959575919</v>
      </c>
      <c r="H95" s="263">
        <f t="shared" si="5"/>
        <v>9126570.1860198174</v>
      </c>
      <c r="I95" s="263">
        <f t="shared" si="5"/>
        <v>0</v>
      </c>
      <c r="J95" s="263">
        <f t="shared" si="5"/>
        <v>-1333105.1092348634</v>
      </c>
      <c r="K95" s="263">
        <f t="shared" si="5"/>
        <v>110229.37028964539</v>
      </c>
      <c r="L95" s="263">
        <f t="shared" si="5"/>
        <v>-1.1322425723331082</v>
      </c>
      <c r="M95" s="263">
        <f t="shared" si="5"/>
        <v>194131.36779323625</v>
      </c>
      <c r="N95" s="263">
        <f t="shared" si="5"/>
        <v>0</v>
      </c>
      <c r="O95" s="263">
        <v>0</v>
      </c>
      <c r="P95" s="263">
        <v>0</v>
      </c>
      <c r="Q95" s="263">
        <v>0</v>
      </c>
      <c r="R95" s="263">
        <v>0</v>
      </c>
      <c r="S95" s="263">
        <v>0</v>
      </c>
      <c r="T95" s="263">
        <v>0</v>
      </c>
      <c r="U95" s="263">
        <v>0</v>
      </c>
      <c r="V95" s="263">
        <v>0</v>
      </c>
      <c r="W95" s="263">
        <v>0</v>
      </c>
      <c r="X95" s="263">
        <v>0</v>
      </c>
      <c r="Y95" s="263">
        <v>0</v>
      </c>
      <c r="Z95" s="263">
        <v>0</v>
      </c>
      <c r="AA95" s="263">
        <v>0</v>
      </c>
      <c r="AB95" s="263">
        <v>0</v>
      </c>
      <c r="AC95" s="263">
        <v>0</v>
      </c>
      <c r="AD95" s="263">
        <v>0</v>
      </c>
      <c r="AE95" s="263">
        <v>0</v>
      </c>
      <c r="AF95" s="263">
        <v>0</v>
      </c>
      <c r="AG95" s="263">
        <v>0</v>
      </c>
      <c r="AH95" s="263">
        <v>0</v>
      </c>
      <c r="AI95" s="263">
        <v>0</v>
      </c>
      <c r="AJ95" s="263">
        <v>0</v>
      </c>
      <c r="AK95" s="263">
        <v>0</v>
      </c>
      <c r="AL95" s="263">
        <v>0</v>
      </c>
      <c r="AM95" s="263">
        <v>0</v>
      </c>
      <c r="AN95" s="263">
        <v>0</v>
      </c>
      <c r="AO95" s="263">
        <v>0</v>
      </c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</row>
    <row r="96" spans="5:67" x14ac:dyDescent="0.2">
      <c r="F96" s="427" t="s">
        <v>367</v>
      </c>
      <c r="G96" s="427"/>
      <c r="H96" s="427"/>
      <c r="I96" s="427"/>
      <c r="J96" s="427"/>
      <c r="K96" s="427"/>
      <c r="L96" s="427"/>
      <c r="M96" s="427"/>
      <c r="N96" s="427"/>
      <c r="O96" s="427"/>
      <c r="P96" s="427"/>
      <c r="Q96" s="427"/>
      <c r="R96" s="427"/>
      <c r="S96" s="427"/>
      <c r="T96" s="427"/>
      <c r="U96" s="427"/>
      <c r="V96" s="427"/>
      <c r="W96" s="427"/>
      <c r="X96" s="427"/>
      <c r="Y96" s="427"/>
      <c r="Z96" s="427"/>
      <c r="AA96" s="427"/>
      <c r="AB96" s="427"/>
      <c r="AC96" s="427"/>
      <c r="AD96" s="427"/>
      <c r="AE96" s="427"/>
      <c r="AF96" s="427"/>
      <c r="AG96" s="427"/>
      <c r="AH96" s="427"/>
      <c r="AI96" s="427"/>
      <c r="AJ96" s="427"/>
      <c r="AK96" s="427"/>
      <c r="AL96" s="427"/>
      <c r="AM96" s="427"/>
      <c r="AN96" s="427"/>
      <c r="AO96" s="427"/>
    </row>
    <row r="99" spans="5:14" x14ac:dyDescent="0.2">
      <c r="E99" s="3"/>
      <c r="F99" s="427" t="s">
        <v>512</v>
      </c>
      <c r="G99" s="427"/>
      <c r="H99" s="427"/>
      <c r="I99" s="427"/>
      <c r="J99" s="427"/>
      <c r="K99" s="427"/>
      <c r="L99" s="427"/>
      <c r="M99" s="427"/>
      <c r="N99" s="427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73" t="s">
        <v>333</v>
      </c>
      <c r="F102" s="214" cm="1">
        <f t="array" ref="F102:F137">TRANSPOSE(F95:AO95)</f>
        <v>-1777985.4355511186</v>
      </c>
      <c r="G102" s="3"/>
      <c r="H102" s="214" cm="1">
        <f t="array" ref="H102:H137">TRANSPOSE(F74:AO74)</f>
        <v>0</v>
      </c>
      <c r="I102" s="3"/>
      <c r="J102" s="214">
        <f t="shared" ref="J102:J137" si="6">BI18</f>
        <v>-1777985.4355511186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-1359457.7959575919</v>
      </c>
      <c r="G103" s="3"/>
      <c r="H103" s="214">
        <v>0</v>
      </c>
      <c r="I103" s="3"/>
      <c r="J103" s="214">
        <f t="shared" si="6"/>
        <v>-1359457.7959575919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9126570.1860198174</v>
      </c>
      <c r="G104" s="3"/>
      <c r="H104" s="214">
        <v>0</v>
      </c>
      <c r="I104" s="3"/>
      <c r="J104" s="214">
        <f t="shared" si="6"/>
        <v>9126570.1860198174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0</v>
      </c>
      <c r="G105" s="3"/>
      <c r="H105" s="214">
        <v>0</v>
      </c>
      <c r="I105" s="3"/>
      <c r="J105" s="214">
        <f t="shared" si="6"/>
        <v>0</v>
      </c>
      <c r="K105" s="3"/>
      <c r="L105" s="214">
        <v>0</v>
      </c>
      <c r="M105" s="3"/>
      <c r="N105" s="257">
        <f t="shared" si="7"/>
        <v>0</v>
      </c>
    </row>
    <row r="106" spans="5:14" x14ac:dyDescent="0.2">
      <c r="E106" s="173" t="s">
        <v>377</v>
      </c>
      <c r="F106" s="214">
        <v>-1333105.1092348634</v>
      </c>
      <c r="G106" s="3"/>
      <c r="H106" s="214">
        <v>0</v>
      </c>
      <c r="I106" s="3"/>
      <c r="J106" s="214">
        <f t="shared" si="6"/>
        <v>-1333105.1092348634</v>
      </c>
      <c r="K106" s="3"/>
      <c r="L106" s="214">
        <v>0</v>
      </c>
      <c r="M106" s="3"/>
      <c r="N106" s="257">
        <f t="shared" si="7"/>
        <v>0</v>
      </c>
    </row>
    <row r="107" spans="5:14" x14ac:dyDescent="0.2">
      <c r="E107" s="173" t="s">
        <v>407</v>
      </c>
      <c r="F107" s="214">
        <v>110229.37028964539</v>
      </c>
      <c r="G107" s="3"/>
      <c r="H107" s="214">
        <v>0</v>
      </c>
      <c r="I107" s="3"/>
      <c r="J107" s="214">
        <f t="shared" si="6"/>
        <v>110229.37028964538</v>
      </c>
      <c r="K107" s="3"/>
      <c r="L107" s="214">
        <v>0</v>
      </c>
      <c r="M107" s="3"/>
      <c r="N107" s="257">
        <f>ROUND(F107+H107-J107-L107, 10)</f>
        <v>0</v>
      </c>
    </row>
    <row r="108" spans="5:14" x14ac:dyDescent="0.2">
      <c r="E108" s="173" t="s">
        <v>408</v>
      </c>
      <c r="F108" s="214">
        <v>-1.1322425723331082</v>
      </c>
      <c r="G108" s="3"/>
      <c r="H108" s="214">
        <v>0</v>
      </c>
      <c r="I108" s="3"/>
      <c r="J108" s="214">
        <f t="shared" si="6"/>
        <v>-1.1322425723331082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194131.36779323625</v>
      </c>
      <c r="G109" s="3"/>
      <c r="H109" s="214">
        <v>0</v>
      </c>
      <c r="I109" s="3"/>
      <c r="J109" s="214">
        <f t="shared" si="6"/>
        <v>194131.36779323625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-1777985.4355511186</v>
      </c>
      <c r="I111" s="3"/>
      <c r="J111" s="214">
        <f t="shared" si="6"/>
        <v>-1777985.4355511186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-35429.897676176748</v>
      </c>
      <c r="I112" s="3"/>
      <c r="J112" s="214">
        <f t="shared" si="6"/>
        <v>0</v>
      </c>
      <c r="K112" s="3"/>
      <c r="L112" s="214">
        <v>-35429.897676176748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-1359457.7959575919</v>
      </c>
      <c r="I113" s="3"/>
      <c r="J113" s="214">
        <f t="shared" si="6"/>
        <v>-1359457.7959575919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-106.02767886152715</v>
      </c>
      <c r="I114" s="3"/>
      <c r="J114" s="214">
        <f t="shared" si="6"/>
        <v>0</v>
      </c>
      <c r="K114" s="3"/>
      <c r="L114" s="214">
        <v>-106.02767886152715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9126570.1860198174</v>
      </c>
      <c r="I115" s="142" t="s">
        <v>373</v>
      </c>
      <c r="J115" s="214">
        <f t="shared" si="6"/>
        <v>9126570.1860198174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-8771.8572366008211</v>
      </c>
      <c r="I116" s="3"/>
      <c r="J116" s="214">
        <f t="shared" si="6"/>
        <v>0</v>
      </c>
      <c r="K116" s="3"/>
      <c r="L116" s="214">
        <v>-8771.8572366008211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-1777985.4355511186</v>
      </c>
      <c r="I117" s="3"/>
      <c r="J117" s="214">
        <f t="shared" si="6"/>
        <v>-1777985.4355511186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-1359457.7959575919</v>
      </c>
      <c r="I118" s="3"/>
      <c r="J118" s="214">
        <f t="shared" si="6"/>
        <v>-1359457.7959575919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9126570.1860198174</v>
      </c>
      <c r="I119" s="3"/>
      <c r="J119" s="214">
        <f t="shared" si="6"/>
        <v>9126570.1860198174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-3797055.1820632704</v>
      </c>
      <c r="I120" s="3"/>
      <c r="J120" s="214">
        <f t="shared" si="6"/>
        <v>-3797055.1820632704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-66021.418271669754</v>
      </c>
      <c r="I121" s="3"/>
      <c r="J121" s="214">
        <f t="shared" si="6"/>
        <v>0</v>
      </c>
      <c r="K121" s="3"/>
      <c r="L121" s="214">
        <v>-66021.418271669754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-1359457.7959575919</v>
      </c>
      <c r="I122" s="3"/>
      <c r="J122" s="214">
        <f t="shared" si="6"/>
        <v>-1359457.7959575919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9126570.1860198174</v>
      </c>
      <c r="I123" s="3"/>
      <c r="J123" s="214">
        <f t="shared" si="6"/>
        <v>9126570.1860198174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-1256817.6045988721</v>
      </c>
      <c r="I124" s="3"/>
      <c r="J124" s="214">
        <f t="shared" si="6"/>
        <v>-1256817.6045988721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-74404.460335125405</v>
      </c>
      <c r="I125" s="3"/>
      <c r="J125" s="214">
        <f t="shared" si="6"/>
        <v>0</v>
      </c>
      <c r="K125" s="3"/>
      <c r="L125" s="214">
        <v>-74404.460335125405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-1082643.9792420177</v>
      </c>
      <c r="I126" s="3"/>
      <c r="J126" s="214">
        <f t="shared" si="6"/>
        <v>0</v>
      </c>
      <c r="K126" s="3"/>
      <c r="L126" s="214">
        <v>-1082643.9792420177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6114656.4031687425</v>
      </c>
      <c r="I127" s="3"/>
      <c r="J127" s="214">
        <f t="shared" si="6"/>
        <v>6114656.4031687425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-13740.19434752778</v>
      </c>
      <c r="I128" s="3"/>
      <c r="J128" s="214">
        <f t="shared" si="6"/>
        <v>-13740.19434752778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-3677.1587424372706</v>
      </c>
      <c r="I129" s="3"/>
      <c r="J129" s="214">
        <f t="shared" si="6"/>
        <v>0</v>
      </c>
      <c r="K129" s="3"/>
      <c r="L129" s="214">
        <v>-3677.1587424372706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-47920.401977769274</v>
      </c>
      <c r="I130" s="3"/>
      <c r="J130" s="214">
        <f t="shared" si="6"/>
        <v>0</v>
      </c>
      <c r="K130" s="3"/>
      <c r="L130" s="214">
        <v>-47920.401977769274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-3678478.5848042481</v>
      </c>
      <c r="I131" s="3"/>
      <c r="J131" s="214">
        <f t="shared" si="6"/>
        <v>0</v>
      </c>
      <c r="K131" s="3"/>
      <c r="L131" s="214">
        <v>-3678478.5848042481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-13104.628581498642</v>
      </c>
      <c r="I132" s="3"/>
      <c r="J132" s="214">
        <f t="shared" si="6"/>
        <v>-13104.628581498642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-13104.628581498642</v>
      </c>
      <c r="I133" s="3"/>
      <c r="J133" s="214">
        <f t="shared" si="6"/>
        <v>-9173.2400070490494</v>
      </c>
      <c r="K133" s="3"/>
      <c r="L133" s="214">
        <v>-3931.3885744495929</v>
      </c>
      <c r="M133" s="3"/>
      <c r="N133" s="257">
        <f t="shared" si="7"/>
        <v>0</v>
      </c>
    </row>
    <row r="134" spans="5:14" x14ac:dyDescent="0.2">
      <c r="E134" s="175" t="s">
        <v>445</v>
      </c>
      <c r="F134" s="214">
        <v>0</v>
      </c>
      <c r="G134" s="3"/>
      <c r="H134" s="214">
        <v>23907.404496491064</v>
      </c>
      <c r="I134" s="3"/>
      <c r="J134" s="214">
        <f t="shared" si="6"/>
        <v>23907.404496491064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0</v>
      </c>
      <c r="I135" s="3"/>
      <c r="J135" s="214">
        <f t="shared" si="6"/>
        <v>0</v>
      </c>
      <c r="K135" s="3"/>
      <c r="L135" s="214">
        <v>0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-2788514.0257371739</v>
      </c>
      <c r="I136" s="3"/>
      <c r="J136" s="214">
        <f t="shared" si="6"/>
        <v>0</v>
      </c>
      <c r="K136" s="3"/>
      <c r="L136" s="214">
        <v>-2788514.0257371739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-177387.6603372262</v>
      </c>
      <c r="I137" s="3"/>
      <c r="J137" s="214">
        <f t="shared" si="6"/>
        <v>0</v>
      </c>
      <c r="K137" s="3"/>
      <c r="L137" s="214">
        <v>-177387.6603372262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  <row r="142" spans="5:14" x14ac:dyDescent="0.2">
      <c r="E142" s="108"/>
      <c r="F142" s="429" t="s">
        <v>576</v>
      </c>
      <c r="G142" s="429"/>
      <c r="H142" s="429"/>
      <c r="I142" s="429"/>
      <c r="J142" s="429"/>
      <c r="K142" s="429"/>
      <c r="L142" s="429"/>
    </row>
    <row r="143" spans="5:14" x14ac:dyDescent="0.2">
      <c r="E143" s="108"/>
      <c r="F143" s="108"/>
      <c r="G143" s="108"/>
      <c r="H143" s="108"/>
      <c r="I143" s="108"/>
      <c r="J143" s="108"/>
      <c r="K143" s="108"/>
      <c r="L143" s="108"/>
    </row>
    <row r="144" spans="5:14" x14ac:dyDescent="0.2">
      <c r="E144" s="108"/>
      <c r="F144" s="108"/>
      <c r="G144" s="108"/>
      <c r="H144" s="108"/>
      <c r="I144" s="108"/>
      <c r="J144" s="108"/>
      <c r="K144" s="108"/>
      <c r="L144" s="108"/>
    </row>
    <row r="145" spans="5:12" x14ac:dyDescent="0.2">
      <c r="E145" s="262" t="s">
        <v>325</v>
      </c>
      <c r="F145" s="263" cm="1">
        <f t="array" ref="F145:F159">TRANSPOSE(AT55:BH55)</f>
        <v>-1689824.7786463453</v>
      </c>
      <c r="G145" s="314"/>
      <c r="H145" s="263">
        <v>0</v>
      </c>
      <c r="I145" s="108"/>
      <c r="J145" s="263">
        <f>AP58</f>
        <v>-1813415.3332272954</v>
      </c>
      <c r="K145" s="108"/>
      <c r="L145" s="313">
        <f>F145+H145-J145</f>
        <v>123590.55458095018</v>
      </c>
    </row>
    <row r="146" spans="5:12" x14ac:dyDescent="0.2">
      <c r="E146" s="262" t="s">
        <v>326</v>
      </c>
      <c r="F146" s="263">
        <v>-1359217.3367370586</v>
      </c>
      <c r="G146" s="314"/>
      <c r="H146" s="263">
        <v>0</v>
      </c>
      <c r="I146" s="108"/>
      <c r="J146" s="263">
        <f t="shared" ref="J146:J159" si="8">AP59</f>
        <v>-1359563.8236364534</v>
      </c>
      <c r="K146" s="108"/>
      <c r="L146" s="313">
        <f t="shared" ref="L146:L159" si="9">F146+H146-J146</f>
        <v>346.48689939477481</v>
      </c>
    </row>
    <row r="147" spans="5:12" x14ac:dyDescent="0.2">
      <c r="E147" s="262" t="s">
        <v>327</v>
      </c>
      <c r="F147" s="263">
        <v>9148397.3079415839</v>
      </c>
      <c r="G147" s="314"/>
      <c r="H147" s="263">
        <f>Ore_to_PI!AC195</f>
        <v>80616.370239891301</v>
      </c>
      <c r="I147" s="108"/>
      <c r="J147" s="263">
        <f t="shared" si="8"/>
        <v>9117798.328783216</v>
      </c>
      <c r="K147" s="108"/>
      <c r="L147" s="313">
        <f t="shared" si="9"/>
        <v>111215.34939825907</v>
      </c>
    </row>
    <row r="148" spans="5:12" x14ac:dyDescent="0.2">
      <c r="E148" s="262" t="s">
        <v>455</v>
      </c>
      <c r="F148" s="263">
        <v>-1777985.4355511186</v>
      </c>
      <c r="G148" s="314"/>
      <c r="H148" s="263">
        <f>Ore_to_PI!AU28</f>
        <v>609792.2517593482</v>
      </c>
      <c r="I148" s="315"/>
      <c r="J148" s="263">
        <f t="shared" si="8"/>
        <v>-1777985.4355511186</v>
      </c>
      <c r="K148" s="315"/>
      <c r="L148" s="313">
        <f t="shared" si="9"/>
        <v>609792.2517593482</v>
      </c>
    </row>
    <row r="149" spans="5:12" x14ac:dyDescent="0.2">
      <c r="E149" s="262" t="s">
        <v>435</v>
      </c>
      <c r="F149" s="263">
        <v>-1359457.7959575919</v>
      </c>
      <c r="G149" s="314"/>
      <c r="H149" s="263">
        <f>Ore_to_PI!AU113</f>
        <v>2824.8856477449194</v>
      </c>
      <c r="I149" s="108"/>
      <c r="J149" s="263">
        <f t="shared" si="8"/>
        <v>-1359457.7959575919</v>
      </c>
      <c r="K149" s="108"/>
      <c r="L149" s="313">
        <f t="shared" si="9"/>
        <v>2824.8856477448717</v>
      </c>
    </row>
    <row r="150" spans="5:12" x14ac:dyDescent="0.2">
      <c r="E150" s="262" t="s">
        <v>434</v>
      </c>
      <c r="F150" s="263">
        <v>9126570.1860198174</v>
      </c>
      <c r="G150" s="314"/>
      <c r="H150" s="263">
        <f>Ore_to_PI!AU190</f>
        <v>282.1287710315147</v>
      </c>
      <c r="I150" s="108"/>
      <c r="J150" s="263">
        <f t="shared" si="8"/>
        <v>9126570.1860198174</v>
      </c>
      <c r="K150" s="108"/>
      <c r="L150" s="313">
        <f t="shared" si="9"/>
        <v>282.12877103127539</v>
      </c>
    </row>
    <row r="151" spans="5:12" x14ac:dyDescent="0.2">
      <c r="E151" s="262" t="s">
        <v>351</v>
      </c>
      <c r="F151" s="263">
        <v>-1777985.4355511186</v>
      </c>
      <c r="G151" s="314"/>
      <c r="H151" s="263">
        <f>Ore_to_PI!BN35</f>
        <v>12626.098826338684</v>
      </c>
      <c r="I151" s="108"/>
      <c r="J151" s="263">
        <f t="shared" si="8"/>
        <v>-3863076.60033494</v>
      </c>
      <c r="K151" s="108"/>
      <c r="L151" s="313">
        <f t="shared" si="9"/>
        <v>2097717.26361016</v>
      </c>
    </row>
    <row r="152" spans="5:12" x14ac:dyDescent="0.2">
      <c r="E152" s="262" t="s">
        <v>348</v>
      </c>
      <c r="F152" s="263">
        <v>-1359457.7959575919</v>
      </c>
      <c r="G152" s="314" t="s">
        <v>371</v>
      </c>
      <c r="H152" s="263">
        <f>Ore_to_PI!BM116</f>
        <v>34.678095164114971</v>
      </c>
      <c r="I152" s="264" t="s">
        <v>378</v>
      </c>
      <c r="J152" s="263">
        <f t="shared" si="8"/>
        <v>-1359457.7959575919</v>
      </c>
      <c r="K152" s="264" t="s">
        <v>374</v>
      </c>
      <c r="L152" s="313">
        <f t="shared" si="9"/>
        <v>34.678095164010301</v>
      </c>
    </row>
    <row r="153" spans="5:12" x14ac:dyDescent="0.2">
      <c r="E153" s="262" t="s">
        <v>362</v>
      </c>
      <c r="F153" s="263">
        <v>9126570.1860198174</v>
      </c>
      <c r="G153" s="314"/>
      <c r="H153" s="263">
        <f>Ore_to_PI!BM195</f>
        <v>50.358084153937838</v>
      </c>
      <c r="I153" s="108"/>
      <c r="J153" s="263">
        <f t="shared" si="8"/>
        <v>9126570.1860198174</v>
      </c>
      <c r="K153" s="108"/>
      <c r="L153" s="313">
        <f t="shared" si="9"/>
        <v>50.35808415338397</v>
      </c>
    </row>
    <row r="154" spans="5:12" x14ac:dyDescent="0.2">
      <c r="E154" s="262" t="s">
        <v>349</v>
      </c>
      <c r="F154" s="263">
        <v>-1534440.1295455615</v>
      </c>
      <c r="G154" s="314"/>
      <c r="H154" s="263">
        <v>0</v>
      </c>
      <c r="I154" s="108"/>
      <c r="J154" s="263">
        <f t="shared" si="8"/>
        <v>-2413866.0441760151</v>
      </c>
      <c r="K154" s="108"/>
      <c r="L154" s="313">
        <f t="shared" si="9"/>
        <v>879425.91463045357</v>
      </c>
    </row>
    <row r="155" spans="5:12" x14ac:dyDescent="0.2">
      <c r="E155" s="262" t="s">
        <v>344</v>
      </c>
      <c r="F155" s="263">
        <v>8177363.7605391415</v>
      </c>
      <c r="G155" s="314"/>
      <c r="H155" s="263">
        <v>0</v>
      </c>
      <c r="I155" s="108"/>
      <c r="J155" s="263">
        <f t="shared" si="8"/>
        <v>2370840.0632967604</v>
      </c>
      <c r="K155" s="108"/>
      <c r="L155" s="313">
        <f t="shared" si="9"/>
        <v>5806523.6972423811</v>
      </c>
    </row>
    <row r="156" spans="5:12" x14ac:dyDescent="0.2">
      <c r="E156" s="173" t="s">
        <v>514</v>
      </c>
      <c r="F156" s="263">
        <v>-13740.19434752778</v>
      </c>
      <c r="G156" s="314"/>
      <c r="H156" s="263">
        <f>Ore_to_PI!DD229</f>
        <v>33191.859393697465</v>
      </c>
      <c r="I156" s="108"/>
      <c r="J156" s="263">
        <f t="shared" si="8"/>
        <v>-13104.628581498642</v>
      </c>
      <c r="K156" s="108"/>
      <c r="L156" s="313">
        <f t="shared" si="9"/>
        <v>32556.293627668325</v>
      </c>
    </row>
    <row r="157" spans="5:12" x14ac:dyDescent="0.2">
      <c r="E157" s="173" t="s">
        <v>516</v>
      </c>
      <c r="F157" s="263">
        <v>-13104.628581498642</v>
      </c>
      <c r="G157" s="314"/>
      <c r="H157" s="263">
        <v>0</v>
      </c>
      <c r="I157" s="108"/>
      <c r="J157" s="263">
        <f t="shared" si="8"/>
        <v>-13104.628581498642</v>
      </c>
      <c r="K157" s="108"/>
      <c r="L157" s="313">
        <f t="shared" si="9"/>
        <v>0</v>
      </c>
    </row>
    <row r="158" spans="5:12" x14ac:dyDescent="0.2">
      <c r="E158" s="173" t="s">
        <v>76</v>
      </c>
      <c r="F158" s="263">
        <v>1060783.6165065998</v>
      </c>
      <c r="G158" s="314"/>
      <c r="H158" s="263">
        <v>0</v>
      </c>
      <c r="I158" s="108"/>
      <c r="J158" s="263">
        <f t="shared" si="8"/>
        <v>23907.404496491064</v>
      </c>
      <c r="K158" s="108"/>
      <c r="L158" s="313">
        <f t="shared" si="9"/>
        <v>1036876.2120101087</v>
      </c>
    </row>
    <row r="159" spans="5:12" x14ac:dyDescent="0.2">
      <c r="E159" s="173" t="s">
        <v>337</v>
      </c>
      <c r="F159" s="263">
        <v>-50.81788353988668</v>
      </c>
      <c r="G159" s="314"/>
      <c r="H159" s="265">
        <f>Ore_to_PI!EU117</f>
        <v>318930.1042317453</v>
      </c>
      <c r="I159" s="264"/>
      <c r="J159" s="263">
        <f t="shared" si="8"/>
        <v>-2965901.6860743999</v>
      </c>
      <c r="K159" s="108"/>
      <c r="L159" s="313">
        <f t="shared" si="9"/>
        <v>3284780.9724226054</v>
      </c>
    </row>
    <row r="160" spans="5:12" ht="17" x14ac:dyDescent="0.2">
      <c r="F160" s="108" t="s">
        <v>577</v>
      </c>
      <c r="G160" s="264"/>
      <c r="H160" s="264" t="s">
        <v>196</v>
      </c>
      <c r="I160" s="264"/>
      <c r="J160" s="305" t="s">
        <v>365</v>
      </c>
      <c r="K160" s="108"/>
      <c r="L160" s="264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5" sqref="T5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5" t="s">
        <v>279</v>
      </c>
      <c r="F3" s="435"/>
      <c r="G3" s="435"/>
      <c r="H3"/>
      <c r="I3"/>
      <c r="L3" s="427" t="s">
        <v>354</v>
      </c>
      <c r="M3" s="427"/>
      <c r="N3" s="427"/>
      <c r="P3"/>
      <c r="T3" s="142" t="s">
        <v>353</v>
      </c>
    </row>
    <row r="4" spans="3:20" ht="16" thickBot="1" x14ac:dyDescent="0.25">
      <c r="E4" s="433" t="s">
        <v>10</v>
      </c>
      <c r="F4" s="433"/>
      <c r="G4" s="433"/>
      <c r="H4"/>
      <c r="I4"/>
      <c r="L4" s="433" t="s">
        <v>47</v>
      </c>
      <c r="M4" s="433"/>
      <c r="N4" s="433"/>
      <c r="P4"/>
      <c r="T4" s="3" t="s">
        <v>47</v>
      </c>
    </row>
    <row r="5" spans="3:20" ht="14.5" customHeight="1" thickBot="1" x14ac:dyDescent="0.25">
      <c r="C5" s="436" t="s">
        <v>4</v>
      </c>
      <c r="E5" s="126" t="s">
        <v>275</v>
      </c>
      <c r="F5" s="127" t="s">
        <v>76</v>
      </c>
      <c r="G5" s="128" t="s">
        <v>277</v>
      </c>
      <c r="L5" s="165" t="s">
        <v>137</v>
      </c>
      <c r="M5" s="165" t="s">
        <v>129</v>
      </c>
      <c r="N5" s="165" t="s">
        <v>275</v>
      </c>
      <c r="T5" s="194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36"/>
      <c r="D6" s="129" t="s">
        <v>280</v>
      </c>
      <c r="E6" s="3">
        <f>Beneficiation_Iron_waste</f>
        <v>11.767466001905108</v>
      </c>
      <c r="F6" s="3" t="s">
        <v>91</v>
      </c>
      <c r="G6" s="3">
        <f>BF_SolidWaste</f>
        <v>229.94813284002646</v>
      </c>
      <c r="K6" s="191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36"/>
      <c r="D7" s="129" t="s">
        <v>22</v>
      </c>
      <c r="E7" s="3">
        <f>0</f>
        <v>0</v>
      </c>
      <c r="F7" s="3" t="s">
        <v>91</v>
      </c>
      <c r="G7" s="3">
        <f>BF_CO2Waste</f>
        <v>894.77425815618358</v>
      </c>
    </row>
    <row r="8" spans="3:20" x14ac:dyDescent="0.2">
      <c r="D8" s="3" t="s">
        <v>18</v>
      </c>
      <c r="E8" s="13">
        <f>SUM(E6:E7)</f>
        <v>11.767466001905108</v>
      </c>
      <c r="F8" s="13">
        <f t="shared" ref="F8:G8" si="0">SUM(F6:F7)</f>
        <v>0</v>
      </c>
      <c r="G8" s="13">
        <f t="shared" si="0"/>
        <v>1124.7223909962099</v>
      </c>
    </row>
    <row r="9" spans="3:20" ht="17" x14ac:dyDescent="0.25">
      <c r="L9" s="427" t="s">
        <v>354</v>
      </c>
      <c r="M9" s="427"/>
      <c r="N9" s="427"/>
      <c r="O9" s="427"/>
    </row>
    <row r="10" spans="3:20" x14ac:dyDescent="0.2">
      <c r="E10" s="435" t="s">
        <v>279</v>
      </c>
      <c r="F10" s="435"/>
      <c r="L10" s="433" t="s">
        <v>47</v>
      </c>
      <c r="M10" s="433"/>
      <c r="N10" s="433"/>
      <c r="O10" s="433"/>
    </row>
    <row r="11" spans="3:20" x14ac:dyDescent="0.2">
      <c r="E11" s="433" t="s">
        <v>10</v>
      </c>
      <c r="F11" s="433"/>
      <c r="L11" s="166" t="s">
        <v>137</v>
      </c>
      <c r="M11" s="166" t="s">
        <v>129</v>
      </c>
      <c r="N11" s="166" t="s">
        <v>275</v>
      </c>
      <c r="O11" s="166" t="s">
        <v>276</v>
      </c>
      <c r="P11"/>
    </row>
    <row r="12" spans="3:20" x14ac:dyDescent="0.2">
      <c r="C12" s="437" t="s">
        <v>19</v>
      </c>
      <c r="E12" s="124" t="s">
        <v>275</v>
      </c>
      <c r="F12" s="125" t="s">
        <v>276</v>
      </c>
      <c r="K12" s="192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37"/>
      <c r="D13" s="129" t="s">
        <v>280</v>
      </c>
      <c r="E13" s="3" t="s">
        <v>91</v>
      </c>
      <c r="F13" s="3">
        <f>Kiln_SolidWaste</f>
        <v>4.9847525450981189</v>
      </c>
    </row>
    <row r="14" spans="3:20" ht="17" customHeight="1" x14ac:dyDescent="0.25">
      <c r="C14" s="437"/>
      <c r="D14" s="129" t="s">
        <v>22</v>
      </c>
      <c r="E14" s="3" t="s">
        <v>91</v>
      </c>
      <c r="F14" s="3">
        <f>Kiln_H2OWaste</f>
        <v>84.513558569455128</v>
      </c>
      <c r="L14" s="427" t="s">
        <v>354</v>
      </c>
      <c r="M14" s="427"/>
      <c r="N14" s="427"/>
    </row>
    <row r="15" spans="3:20" x14ac:dyDescent="0.2">
      <c r="C15" s="437"/>
      <c r="D15" s="3" t="s">
        <v>18</v>
      </c>
      <c r="E15" s="13">
        <f>SUM(E13:E14)</f>
        <v>0</v>
      </c>
      <c r="F15" s="13">
        <f>SUM(F13:F14)</f>
        <v>89.498311114553246</v>
      </c>
      <c r="L15" s="433" t="s">
        <v>47</v>
      </c>
      <c r="M15" s="433"/>
      <c r="N15" s="433"/>
    </row>
    <row r="16" spans="3:20" x14ac:dyDescent="0.2">
      <c r="L16" s="130" t="s">
        <v>137</v>
      </c>
      <c r="M16" s="130" t="s">
        <v>129</v>
      </c>
      <c r="N16" s="130" t="s">
        <v>296</v>
      </c>
    </row>
    <row r="17" spans="3:16" x14ac:dyDescent="0.2">
      <c r="K17" s="193" t="s">
        <v>278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42" t="s">
        <v>279</v>
      </c>
    </row>
    <row r="19" spans="3:16" ht="17" x14ac:dyDescent="0.25">
      <c r="E19" s="23" t="s">
        <v>10</v>
      </c>
      <c r="L19" s="427" t="s">
        <v>354</v>
      </c>
      <c r="M19" s="427"/>
    </row>
    <row r="20" spans="3:16" x14ac:dyDescent="0.2">
      <c r="C20" s="434" t="s">
        <v>278</v>
      </c>
      <c r="E20" s="130" t="s">
        <v>275</v>
      </c>
      <c r="L20" s="433" t="s">
        <v>47</v>
      </c>
      <c r="M20" s="433"/>
    </row>
    <row r="21" spans="3:16" ht="14.5" customHeight="1" x14ac:dyDescent="0.2">
      <c r="C21" s="434"/>
      <c r="D21" s="129" t="s">
        <v>280</v>
      </c>
      <c r="E21" s="3">
        <f>Beneficiation_CoalWaste</f>
        <v>25.253201846716312</v>
      </c>
      <c r="L21" s="164" t="s">
        <v>76</v>
      </c>
      <c r="M21" s="164" t="s">
        <v>277</v>
      </c>
      <c r="P21"/>
    </row>
    <row r="22" spans="3:16" ht="17" customHeight="1" x14ac:dyDescent="0.25">
      <c r="C22" s="434"/>
      <c r="D22" s="129" t="s">
        <v>22</v>
      </c>
      <c r="E22" s="3" t="s">
        <v>91</v>
      </c>
      <c r="K22" s="190" t="s">
        <v>315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4"/>
      <c r="D23" s="3" t="s">
        <v>18</v>
      </c>
      <c r="E23" s="13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H111"/>
  <sheetViews>
    <sheetView tabSelected="1" topLeftCell="A21" zoomScale="91" workbookViewId="0">
      <selection activeCell="M51" sqref="M5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x14ac:dyDescent="0.25">
      <c r="K1" s="317"/>
      <c r="AC1" s="317"/>
      <c r="AE1" t="s">
        <v>31</v>
      </c>
      <c r="AF1" t="s">
        <v>38</v>
      </c>
      <c r="AG1" t="s">
        <v>621</v>
      </c>
      <c r="AH1" t="s">
        <v>622</v>
      </c>
    </row>
    <row r="2" spans="1:34" x14ac:dyDescent="0.2">
      <c r="B2" s="137"/>
      <c r="C2" s="137"/>
      <c r="D2" s="137"/>
      <c r="E2" s="137"/>
      <c r="F2" s="137"/>
      <c r="G2" s="137"/>
      <c r="H2" s="137"/>
      <c r="I2" s="137"/>
      <c r="K2" s="317"/>
      <c r="AC2" s="317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137"/>
      <c r="B3" s="137"/>
      <c r="C3" s="137"/>
      <c r="D3" s="137"/>
      <c r="E3" s="137"/>
      <c r="F3" s="137"/>
      <c r="G3" s="137"/>
      <c r="H3" s="137"/>
      <c r="I3" s="137"/>
      <c r="K3" s="317"/>
      <c r="AC3" s="317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137"/>
      <c r="B4" s="139"/>
      <c r="C4" s="139"/>
      <c r="D4" s="347" t="s">
        <v>245</v>
      </c>
      <c r="E4" s="347"/>
      <c r="F4" s="347"/>
      <c r="G4" s="347"/>
      <c r="H4" s="137"/>
      <c r="I4" s="137"/>
      <c r="K4" s="317"/>
      <c r="S4" s="435" t="s">
        <v>605</v>
      </c>
      <c r="T4" s="435"/>
      <c r="U4" s="435"/>
      <c r="AC4" s="317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137"/>
      <c r="B5" s="139"/>
      <c r="C5" s="139"/>
      <c r="D5" s="433" t="s">
        <v>77</v>
      </c>
      <c r="E5" s="433"/>
      <c r="F5" s="433"/>
      <c r="G5" s="433"/>
      <c r="H5" s="137"/>
      <c r="I5" s="137"/>
      <c r="K5" s="31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C5" s="317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137"/>
      <c r="B6" s="436" t="s">
        <v>4</v>
      </c>
      <c r="C6" s="3"/>
      <c r="D6" s="165" t="s">
        <v>285</v>
      </c>
      <c r="E6" s="165" t="s">
        <v>137</v>
      </c>
      <c r="F6" s="165" t="s">
        <v>129</v>
      </c>
      <c r="G6" s="165" t="s">
        <v>275</v>
      </c>
      <c r="H6" s="137"/>
      <c r="I6" s="137"/>
      <c r="K6" s="31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C6" s="317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137"/>
      <c r="B7" s="436"/>
      <c r="C7" s="121" t="s">
        <v>266</v>
      </c>
      <c r="D7" s="3">
        <f>Bejan_MEROI_Iron</f>
        <v>0.7073466118498688</v>
      </c>
      <c r="E7" s="3" t="e">
        <f>Bejan_IronExtraction</f>
        <v>#REF!</v>
      </c>
      <c r="F7" s="3" t="e">
        <f>Bejan_IronHauling</f>
        <v>#REF!</v>
      </c>
      <c r="G7" s="3" t="e">
        <f>Bejan_IronBeneficiation</f>
        <v>#REF!</v>
      </c>
      <c r="H7" s="137"/>
      <c r="I7" s="137"/>
      <c r="K7" s="31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C7" s="317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137"/>
      <c r="B8" s="436"/>
      <c r="C8" s="123" t="s">
        <v>267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37"/>
      <c r="I8" s="137"/>
      <c r="K8" s="31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C8" s="317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137"/>
      <c r="B9" s="436"/>
      <c r="C9" s="122" t="s">
        <v>318</v>
      </c>
      <c r="D9" s="136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37"/>
      <c r="I9" s="137"/>
      <c r="K9" s="31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C9" s="317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137"/>
      <c r="C10" s="108"/>
      <c r="D10" s="137"/>
      <c r="E10" s="171"/>
      <c r="F10" s="171"/>
      <c r="G10" s="171"/>
      <c r="H10" s="139"/>
      <c r="I10" s="137"/>
      <c r="K10" s="31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C10" s="317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137"/>
      <c r="B11" s="137"/>
      <c r="C11" s="137"/>
      <c r="D11" s="137"/>
      <c r="E11" s="139"/>
      <c r="F11" s="139"/>
      <c r="G11" s="139"/>
      <c r="H11" s="139"/>
      <c r="I11" s="137"/>
      <c r="K11" s="317"/>
      <c r="M11" s="137"/>
      <c r="N11" s="137"/>
      <c r="O11" s="137"/>
      <c r="P11" s="438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C11" s="317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137"/>
      <c r="B12" s="137"/>
      <c r="C12" s="137"/>
      <c r="D12" s="137"/>
      <c r="E12" s="137"/>
      <c r="F12" s="137"/>
      <c r="G12" s="137"/>
      <c r="H12" s="137"/>
      <c r="I12" s="137"/>
      <c r="K12" s="317"/>
      <c r="M12" s="137"/>
      <c r="N12" s="137"/>
      <c r="O12" s="137"/>
      <c r="P12" s="438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C12" s="317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137"/>
      <c r="B13" s="139"/>
      <c r="C13" s="139"/>
      <c r="D13" s="347" t="s">
        <v>245</v>
      </c>
      <c r="E13" s="347"/>
      <c r="F13" s="347"/>
      <c r="G13" s="347"/>
      <c r="H13" s="347"/>
      <c r="I13" s="137"/>
      <c r="K13" s="317"/>
      <c r="M13" s="137"/>
      <c r="N13" s="137"/>
      <c r="O13" s="137"/>
      <c r="P13" s="137"/>
      <c r="Q13" s="137"/>
      <c r="R13" s="137"/>
      <c r="S13" s="137"/>
      <c r="T13" s="438" t="s">
        <v>166</v>
      </c>
      <c r="U13" s="137"/>
      <c r="V13" s="137"/>
      <c r="W13" s="137"/>
      <c r="X13" s="137"/>
      <c r="Y13" s="137"/>
      <c r="Z13" s="137"/>
      <c r="AA13" s="137"/>
      <c r="AC13" s="317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137"/>
      <c r="B14" s="139"/>
      <c r="C14" s="139"/>
      <c r="D14" s="433" t="s">
        <v>77</v>
      </c>
      <c r="E14" s="433"/>
      <c r="F14" s="433"/>
      <c r="G14" s="433"/>
      <c r="H14" s="433"/>
      <c r="I14" s="137"/>
      <c r="K14" s="317"/>
      <c r="M14" s="137"/>
      <c r="N14" s="137"/>
      <c r="O14" s="137"/>
      <c r="P14" s="137"/>
      <c r="Q14" s="137"/>
      <c r="R14" s="137"/>
      <c r="S14" s="137"/>
      <c r="T14" s="438"/>
      <c r="U14" s="137"/>
      <c r="V14" s="137"/>
      <c r="W14" s="137"/>
      <c r="X14" s="137"/>
      <c r="Y14" s="137"/>
      <c r="Z14" s="137"/>
      <c r="AA14" s="137"/>
      <c r="AC14" s="317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137"/>
      <c r="B15" s="437" t="s">
        <v>19</v>
      </c>
      <c r="C15" s="3"/>
      <c r="D15" s="166" t="s">
        <v>285</v>
      </c>
      <c r="E15" s="166" t="s">
        <v>137</v>
      </c>
      <c r="F15" s="166" t="s">
        <v>129</v>
      </c>
      <c r="G15" s="166" t="s">
        <v>275</v>
      </c>
      <c r="H15" s="166" t="s">
        <v>276</v>
      </c>
      <c r="I15" s="137"/>
      <c r="K15" s="31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C15" s="317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137"/>
      <c r="B16" s="437"/>
      <c r="C16" s="121" t="s">
        <v>266</v>
      </c>
      <c r="D16" s="3">
        <f>Bejan_MEROI_Limestone</f>
        <v>20693.323881806569</v>
      </c>
      <c r="E16" s="3" t="e">
        <f>Bejan_LimeExtraction</f>
        <v>#REF!</v>
      </c>
      <c r="F16" s="3" t="e">
        <f>Bejan_LimeHauling</f>
        <v>#REF!</v>
      </c>
      <c r="G16" s="3" t="e">
        <f>Bejan_LimeBeneficiation</f>
        <v>#REF!</v>
      </c>
      <c r="H16" s="3" t="s">
        <v>91</v>
      </c>
      <c r="I16" s="137"/>
      <c r="K16" s="31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C16" s="317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137"/>
      <c r="B17" s="437"/>
      <c r="C17" s="123" t="s">
        <v>267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37"/>
      <c r="K17" s="31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C17" s="317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137"/>
      <c r="B18" s="437"/>
      <c r="C18" s="122" t="s">
        <v>318</v>
      </c>
      <c r="D18" s="136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37"/>
      <c r="K18" s="31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C18" s="317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137"/>
      <c r="C19" s="108"/>
      <c r="D19" s="137"/>
      <c r="E19" s="171"/>
      <c r="F19" s="171"/>
      <c r="G19" s="171"/>
      <c r="H19" s="171"/>
      <c r="I19" s="137"/>
      <c r="K19" s="317"/>
      <c r="L19" t="s">
        <v>357</v>
      </c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341"/>
      <c r="X19" s="137"/>
      <c r="Y19" s="137"/>
      <c r="Z19" s="137"/>
      <c r="AA19" s="137"/>
      <c r="AC19" s="317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137"/>
      <c r="B20" s="137"/>
      <c r="C20" s="137"/>
      <c r="D20" s="137"/>
      <c r="E20" s="137"/>
      <c r="F20" s="137"/>
      <c r="G20" s="137"/>
      <c r="H20" s="137"/>
      <c r="I20" s="137"/>
      <c r="K20" s="317"/>
      <c r="M20" s="137"/>
      <c r="N20" s="137"/>
      <c r="O20" s="137"/>
      <c r="Q20" s="341"/>
      <c r="R20" s="137"/>
      <c r="S20" s="137"/>
      <c r="T20" s="137"/>
      <c r="U20" s="137"/>
      <c r="V20" s="137"/>
      <c r="X20" s="137"/>
      <c r="Y20" s="137"/>
      <c r="Z20" s="137"/>
      <c r="AA20" s="137"/>
      <c r="AC20" s="317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137"/>
      <c r="B21" s="139"/>
      <c r="C21" s="139"/>
      <c r="D21" s="347" t="s">
        <v>245</v>
      </c>
      <c r="E21" s="347"/>
      <c r="F21" s="347"/>
      <c r="G21" s="347"/>
      <c r="H21" s="137"/>
      <c r="I21" s="137"/>
      <c r="K21" s="317"/>
      <c r="M21" s="137"/>
      <c r="N21" s="137"/>
      <c r="O21" s="137"/>
      <c r="P21" s="438" t="s">
        <v>56</v>
      </c>
      <c r="Q21" s="341"/>
      <c r="R21" s="137"/>
      <c r="S21" s="439" t="s">
        <v>604</v>
      </c>
      <c r="T21" s="439"/>
      <c r="U21" s="439"/>
      <c r="V21" s="137"/>
      <c r="W21" s="137"/>
      <c r="X21" s="438" t="s">
        <v>134</v>
      </c>
      <c r="Z21" s="137"/>
      <c r="AA21" s="137"/>
      <c r="AC21" s="317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137"/>
      <c r="B22" s="139"/>
      <c r="C22" s="139"/>
      <c r="D22" s="433" t="s">
        <v>77</v>
      </c>
      <c r="E22" s="433"/>
      <c r="F22" s="433"/>
      <c r="G22" s="433"/>
      <c r="H22" s="137"/>
      <c r="I22" s="137"/>
      <c r="K22" s="317"/>
      <c r="M22" s="137"/>
      <c r="N22" s="137"/>
      <c r="O22" s="137"/>
      <c r="P22" s="438"/>
      <c r="Q22" s="341"/>
      <c r="R22" s="137"/>
      <c r="S22" s="439"/>
      <c r="T22" s="439"/>
      <c r="U22" s="439"/>
      <c r="V22" s="137"/>
      <c r="X22" s="438"/>
      <c r="Y22" s="137"/>
      <c r="Z22" s="137"/>
      <c r="AA22" s="137"/>
      <c r="AC22" s="317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137"/>
      <c r="B23" s="434" t="s">
        <v>278</v>
      </c>
      <c r="C23" s="3"/>
      <c r="D23" s="130" t="s">
        <v>285</v>
      </c>
      <c r="E23" s="130" t="s">
        <v>137</v>
      </c>
      <c r="F23" s="130" t="s">
        <v>129</v>
      </c>
      <c r="G23" s="130" t="s">
        <v>296</v>
      </c>
      <c r="H23" s="137"/>
      <c r="I23" s="137"/>
      <c r="K23" s="317"/>
      <c r="M23" s="137"/>
      <c r="N23" s="137"/>
      <c r="O23" s="137"/>
      <c r="P23" s="137"/>
      <c r="Q23" s="137"/>
      <c r="R23" s="137"/>
      <c r="S23" s="439"/>
      <c r="T23" s="439"/>
      <c r="U23" s="439"/>
      <c r="V23" s="137"/>
      <c r="W23" s="137"/>
      <c r="X23" s="341"/>
      <c r="Z23" s="137"/>
      <c r="AA23" s="137"/>
      <c r="AC23" s="317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137"/>
      <c r="B24" s="434"/>
      <c r="C24" s="121" t="s">
        <v>266</v>
      </c>
      <c r="D24" s="3">
        <f>Bejan_MEROI_Coal</f>
        <v>109.11201209723454</v>
      </c>
      <c r="E24" s="3" t="e">
        <f>Bejan_CoalExtraction</f>
        <v>#REF!</v>
      </c>
      <c r="F24" s="3" t="e">
        <f>Bejan_CoalHauling</f>
        <v>#REF!</v>
      </c>
      <c r="G24" s="3" t="e">
        <f>Bejan_Cokeoven</f>
        <v>#REF!</v>
      </c>
      <c r="H24" s="137"/>
      <c r="I24" s="137"/>
      <c r="K24" s="31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C24" s="317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137"/>
      <c r="B25" s="434"/>
      <c r="C25" s="123" t="s">
        <v>267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37"/>
      <c r="I25" s="137"/>
      <c r="K25" s="31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C25" s="317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137"/>
      <c r="B26" s="434"/>
      <c r="C26" s="122" t="s">
        <v>318</v>
      </c>
      <c r="D26" s="136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37"/>
      <c r="K26" s="31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C26" s="317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137"/>
      <c r="B27" s="137"/>
      <c r="C27" s="172"/>
      <c r="D27" s="137"/>
      <c r="E27" s="171"/>
      <c r="F27" s="171"/>
      <c r="G27" s="171"/>
      <c r="H27" s="139"/>
      <c r="I27" s="137"/>
      <c r="K27" s="31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C27" s="317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137"/>
      <c r="B28" s="137"/>
      <c r="C28" s="137"/>
      <c r="D28" s="137"/>
      <c r="E28" s="137"/>
      <c r="F28" s="137"/>
      <c r="G28" s="137"/>
      <c r="H28" s="137"/>
      <c r="I28" s="137"/>
      <c r="K28" s="31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Y28" s="137"/>
      <c r="Z28" s="137"/>
      <c r="AA28" s="137"/>
      <c r="AC28" s="317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137"/>
      <c r="B29" s="137"/>
      <c r="C29" s="137"/>
      <c r="D29" s="137"/>
      <c r="E29" s="137"/>
      <c r="F29" s="137"/>
      <c r="G29" s="137"/>
      <c r="H29" s="137"/>
      <c r="I29" s="137"/>
      <c r="K29" s="31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AA29" s="137"/>
      <c r="AC29" s="317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137"/>
      <c r="B30" s="137"/>
      <c r="C30" s="137"/>
      <c r="D30" s="137"/>
      <c r="E30" s="137"/>
      <c r="F30" s="137"/>
      <c r="G30" s="137"/>
      <c r="H30" s="137"/>
      <c r="I30" s="137"/>
      <c r="K30" s="317"/>
      <c r="M30" s="137"/>
      <c r="N30" s="137"/>
      <c r="O30" s="137"/>
      <c r="P30" s="438"/>
      <c r="Q30" s="137"/>
      <c r="R30" s="137"/>
      <c r="S30" s="137"/>
      <c r="T30" s="438" t="s">
        <v>620</v>
      </c>
      <c r="U30" s="137"/>
      <c r="V30" s="137"/>
      <c r="W30" s="137"/>
      <c r="X30" s="137"/>
      <c r="Y30" s="137"/>
      <c r="Z30" s="137"/>
      <c r="AA30" s="137"/>
      <c r="AC30" s="317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137"/>
      <c r="B31" s="137"/>
      <c r="C31" s="137"/>
      <c r="D31" s="137"/>
      <c r="E31" s="137"/>
      <c r="F31" s="137"/>
      <c r="G31" s="137"/>
      <c r="H31" s="137"/>
      <c r="I31" s="137"/>
      <c r="K31" s="317"/>
      <c r="M31" s="137"/>
      <c r="N31" s="137"/>
      <c r="O31" s="137"/>
      <c r="P31" s="438"/>
      <c r="Q31" s="137"/>
      <c r="R31" s="137"/>
      <c r="S31" s="137"/>
      <c r="T31" s="438"/>
      <c r="U31" s="137"/>
      <c r="V31" s="137"/>
      <c r="W31" s="137"/>
      <c r="X31" s="137"/>
      <c r="Y31" s="137"/>
      <c r="Z31" s="137"/>
      <c r="AA31" s="137"/>
      <c r="AC31" s="317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137"/>
      <c r="B32" s="440" t="s">
        <v>315</v>
      </c>
      <c r="D32" s="164" t="s">
        <v>76</v>
      </c>
      <c r="E32" s="164" t="s">
        <v>277</v>
      </c>
      <c r="F32" s="137"/>
      <c r="G32" s="137"/>
      <c r="H32" s="137"/>
      <c r="I32" s="137"/>
      <c r="K32" s="31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C32" s="317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137"/>
      <c r="B33" s="440"/>
      <c r="C33" s="121" t="s">
        <v>266</v>
      </c>
      <c r="D33" s="3" t="s">
        <v>91</v>
      </c>
      <c r="E33" s="3" t="e">
        <f>Bejan_BF</f>
        <v>#REF!</v>
      </c>
      <c r="F33" s="137"/>
      <c r="G33" s="137"/>
      <c r="H33" s="137"/>
      <c r="I33" s="137"/>
      <c r="K33" s="31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C33" s="317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137"/>
      <c r="B34" s="440"/>
      <c r="C34" s="123" t="s">
        <v>267</v>
      </c>
      <c r="D34" s="3">
        <f>Rational_mixer</f>
        <v>0.99174963463121601</v>
      </c>
      <c r="E34" s="3">
        <f>Rational_BF</f>
        <v>0.37943022424115741</v>
      </c>
      <c r="F34" s="137"/>
      <c r="G34" s="137"/>
      <c r="H34" s="137"/>
      <c r="I34" s="137"/>
      <c r="K34" s="31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C34" s="317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137"/>
      <c r="B35" s="440"/>
      <c r="C35" s="122" t="s">
        <v>318</v>
      </c>
      <c r="D35" s="3">
        <f>Resource_Mixer</f>
        <v>1.0976920273227081E-2</v>
      </c>
      <c r="E35" s="3">
        <f>Resource_BF</f>
        <v>0.34074255379728524</v>
      </c>
      <c r="F35" s="137"/>
      <c r="G35" s="137"/>
      <c r="H35" s="137"/>
      <c r="I35" s="137"/>
      <c r="K35" s="31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C35" s="317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137"/>
      <c r="B36" s="137"/>
      <c r="C36" s="172"/>
      <c r="D36" s="139"/>
      <c r="E36" s="139"/>
      <c r="F36" s="137"/>
      <c r="G36" s="137"/>
      <c r="H36" s="137"/>
      <c r="I36" s="137"/>
      <c r="K36" s="31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C36" s="317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K37" s="31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C37" s="317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137"/>
      <c r="B38" s="137"/>
      <c r="C38" s="137"/>
      <c r="D38" s="137"/>
      <c r="E38" s="137"/>
      <c r="F38" s="137"/>
      <c r="G38" s="137"/>
      <c r="H38" s="137"/>
      <c r="I38" s="137"/>
      <c r="K38" s="31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C38" s="317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31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C39" s="317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31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C40" s="317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x14ac:dyDescent="0.25">
      <c r="C41" s="3" t="s">
        <v>488</v>
      </c>
      <c r="K41" s="31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C41" s="317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x14ac:dyDescent="0.25">
      <c r="B42" s="256" t="s">
        <v>487</v>
      </c>
      <c r="C42" s="3">
        <f>E_tot/(Ore_to_PI!FL126/1000)</f>
        <v>25472106.046493623</v>
      </c>
      <c r="K42" s="31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C42" s="317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K43" s="317"/>
      <c r="AC43" s="317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K44" s="317"/>
      <c r="AC44" s="317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K45" s="342"/>
      <c r="L45" s="343"/>
      <c r="M45" s="343"/>
      <c r="N45" s="343"/>
      <c r="O45" s="343"/>
      <c r="P45" s="343"/>
      <c r="Q45" s="343"/>
      <c r="R45" s="343"/>
      <c r="S45" s="343"/>
      <c r="T45" s="343"/>
      <c r="U45" s="343"/>
      <c r="V45" s="343"/>
      <c r="W45" s="343"/>
      <c r="X45" s="343"/>
      <c r="Y45" s="343"/>
      <c r="Z45" s="343"/>
      <c r="AA45" s="343"/>
      <c r="AB45" s="344"/>
      <c r="AC45" s="317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K46" s="317"/>
      <c r="AC46" s="317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K47" s="317"/>
      <c r="AC47" s="317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K48" s="317"/>
      <c r="AC48" s="317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56"/>
      <c r="E49" s="256"/>
      <c r="K49" s="317"/>
      <c r="AC49" s="317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73" t="s">
        <v>585</v>
      </c>
      <c r="D50" s="173" t="s">
        <v>586</v>
      </c>
      <c r="K50" s="317"/>
      <c r="M50" s="442" t="s">
        <v>625</v>
      </c>
      <c r="N50" s="3" t="s">
        <v>624</v>
      </c>
      <c r="AC50" s="317"/>
      <c r="AE50">
        <v>48</v>
      </c>
      <c r="AF50">
        <f t="shared" si="1"/>
        <v>2.0833333333333332E-2</v>
      </c>
      <c r="AG50">
        <f t="shared" si="2"/>
        <v>-8.0650021060581056E-2</v>
      </c>
      <c r="AH50">
        <f t="shared" si="3"/>
        <v>-9.5911792309970831</v>
      </c>
    </row>
    <row r="51" spans="2:34" x14ac:dyDescent="0.2">
      <c r="B51" s="173" t="s">
        <v>325</v>
      </c>
      <c r="C51" s="3">
        <f>Rational_IronExtraction</f>
        <v>0.54544989987759507</v>
      </c>
      <c r="D51" s="3">
        <f>Resource_IronExtraction</f>
        <v>0.45121172554462574</v>
      </c>
      <c r="K51" s="317"/>
      <c r="L51" s="173" t="s">
        <v>325</v>
      </c>
      <c r="M51" s="3">
        <f>MCC_B_RUVY_matrices_mat_level!J216</f>
        <v>92026.437429115918</v>
      </c>
      <c r="N51" s="3">
        <f>'MCC_hM_RUVY_matrices_mat_level '!L145</f>
        <v>123590.55458095018</v>
      </c>
      <c r="AC51" s="317"/>
      <c r="AE51">
        <v>49</v>
      </c>
      <c r="AF51">
        <f t="shared" si="1"/>
        <v>2.0408163265306121E-2</v>
      </c>
      <c r="AG51">
        <f t="shared" si="2"/>
        <v>-7.9424904043074007E-2</v>
      </c>
      <c r="AH51">
        <f t="shared" si="3"/>
        <v>-9.642264999630541</v>
      </c>
    </row>
    <row r="52" spans="2:34" x14ac:dyDescent="0.2">
      <c r="B52" s="173" t="s">
        <v>326</v>
      </c>
      <c r="C52" s="3">
        <f>Rational_LimeExtraction</f>
        <v>0.98922076974338935</v>
      </c>
      <c r="D52" s="3">
        <f>Resource_LimeExtraction</f>
        <v>0.85952404667389759</v>
      </c>
      <c r="K52" s="317"/>
      <c r="L52" s="173" t="s">
        <v>326</v>
      </c>
      <c r="M52" s="3">
        <f>MCC_B_RUVY_matrices_mat_level!J217</f>
        <v>275.72728743553671</v>
      </c>
      <c r="N52" s="3">
        <f>'MCC_hM_RUVY_matrices_mat_level '!L146</f>
        <v>346.48689939477481</v>
      </c>
      <c r="AC52" s="317"/>
      <c r="AE52">
        <v>50</v>
      </c>
      <c r="AF52">
        <f t="shared" si="1"/>
        <v>0.02</v>
      </c>
      <c r="AG52">
        <f t="shared" si="2"/>
        <v>-7.824046010856292E-2</v>
      </c>
      <c r="AH52">
        <f t="shared" si="3"/>
        <v>-9.692318661604622</v>
      </c>
    </row>
    <row r="53" spans="2:34" x14ac:dyDescent="0.2">
      <c r="B53" s="173" t="s">
        <v>327</v>
      </c>
      <c r="C53" s="3">
        <f>Rational_CoalExtraction</f>
        <v>0.98899070789782728</v>
      </c>
      <c r="D53" s="3">
        <f>Resource_CoalExtraction</f>
        <v>0.98839112692609699</v>
      </c>
      <c r="K53" s="317"/>
      <c r="L53" s="173" t="s">
        <v>327</v>
      </c>
      <c r="M53" s="3">
        <f>MCC_B_RUVY_matrices_mat_level!J218</f>
        <v>98587.635320095345</v>
      </c>
      <c r="N53" s="3">
        <f>'MCC_hM_RUVY_matrices_mat_level '!L147</f>
        <v>111215.34939825907</v>
      </c>
      <c r="AC53" s="317"/>
      <c r="AE53">
        <v>51</v>
      </c>
      <c r="AF53">
        <f t="shared" si="1"/>
        <v>1.9607843137254902E-2</v>
      </c>
      <c r="AG53">
        <f t="shared" si="2"/>
        <v>-7.7094620249496579E-2</v>
      </c>
      <c r="AH53">
        <f t="shared" si="3"/>
        <v>-9.7413810965200724</v>
      </c>
    </row>
    <row r="54" spans="2:34" x14ac:dyDescent="0.2">
      <c r="B54" s="173" t="s">
        <v>455</v>
      </c>
      <c r="C54" s="3">
        <f>Rational_IronHauling</f>
        <v>0.15068009543796188</v>
      </c>
      <c r="D54" s="3">
        <f>Resource_IronHauling</f>
        <v>0.12723325256465715</v>
      </c>
      <c r="K54" s="317"/>
      <c r="L54" s="173" t="s">
        <v>455</v>
      </c>
      <c r="M54" s="3">
        <f>MCC_B_RUVY_matrices_mat_level!J219</f>
        <v>609792.2517593482</v>
      </c>
      <c r="N54" s="3">
        <f>'MCC_hM_RUVY_matrices_mat_level '!L148</f>
        <v>609792.2517593482</v>
      </c>
      <c r="AC54" s="317"/>
      <c r="AE54">
        <v>52</v>
      </c>
      <c r="AF54">
        <f t="shared" si="1"/>
        <v>1.9230769230769232E-2</v>
      </c>
      <c r="AG54">
        <f t="shared" si="2"/>
        <v>-7.5985456126565903E-2</v>
      </c>
      <c r="AH54">
        <f t="shared" si="3"/>
        <v>-9.7894908023332228</v>
      </c>
    </row>
    <row r="55" spans="2:34" x14ac:dyDescent="0.2">
      <c r="B55" s="173" t="s">
        <v>435</v>
      </c>
      <c r="C55" s="3">
        <f>Rational_LimeHauling</f>
        <v>0.89954868347015648</v>
      </c>
      <c r="D55" s="3">
        <f>Resource_LimeHauling</f>
        <v>0.78181642740498758</v>
      </c>
      <c r="K55" s="317"/>
      <c r="L55" s="173" t="s">
        <v>435</v>
      </c>
      <c r="M55" s="3">
        <f>MCC_B_RUVY_matrices_mat_level!J220</f>
        <v>2824.885647744919</v>
      </c>
      <c r="N55" s="3">
        <f>'MCC_hM_RUVY_matrices_mat_level '!L149</f>
        <v>2824.8856477448717</v>
      </c>
      <c r="AC55" s="317"/>
      <c r="AE55">
        <v>53</v>
      </c>
      <c r="AF55">
        <f t="shared" si="1"/>
        <v>1.8867924528301886E-2</v>
      </c>
      <c r="AG55">
        <f t="shared" si="2"/>
        <v>-7.4911168180228707E-2</v>
      </c>
      <c r="AH55">
        <f t="shared" si="3"/>
        <v>-9.8366840768431576</v>
      </c>
    </row>
    <row r="56" spans="2:34" x14ac:dyDescent="0.2">
      <c r="B56" s="173" t="s">
        <v>434</v>
      </c>
      <c r="C56" s="3">
        <f>Rational_CoalHauling</f>
        <v>0.99996814295200787</v>
      </c>
      <c r="D56" s="3">
        <f>Resource_CoalHauling</f>
        <v>0.9994246250143145</v>
      </c>
      <c r="K56" s="317"/>
      <c r="L56" s="173" t="s">
        <v>434</v>
      </c>
      <c r="M56" s="3">
        <f>MCC_B_RUVY_matrices_mat_level!J221</f>
        <v>282.12877103127539</v>
      </c>
      <c r="N56" s="3">
        <f>'MCC_hM_RUVY_matrices_mat_level '!L150</f>
        <v>282.12877103127539</v>
      </c>
      <c r="AC56" s="317"/>
      <c r="AE56">
        <v>54</v>
      </c>
      <c r="AF56">
        <f t="shared" si="1"/>
        <v>1.8518518518518517E-2</v>
      </c>
      <c r="AG56">
        <f t="shared" si="2"/>
        <v>-7.3870074936375443E-2</v>
      </c>
      <c r="AH56">
        <f t="shared" si="3"/>
        <v>-9.8829951822143407</v>
      </c>
    </row>
    <row r="57" spans="2:34" x14ac:dyDescent="0.2">
      <c r="B57" s="173" t="s">
        <v>351</v>
      </c>
      <c r="C57" s="3">
        <f>Rational_IronBeneficiation</f>
        <v>0.90881323958376325</v>
      </c>
      <c r="D57" s="3">
        <f>Resource_IronBeneficiation</f>
        <v>0.75805897444773263</v>
      </c>
      <c r="K57" s="317"/>
      <c r="L57" s="173" t="s">
        <v>351</v>
      </c>
      <c r="M57" s="3">
        <f>MCC_B_RUVY_matrices_mat_level!J222</f>
        <v>11016.359928324207</v>
      </c>
      <c r="N57" s="3">
        <f>'MCC_hM_RUVY_matrices_mat_level '!L151</f>
        <v>2097717.26361016</v>
      </c>
      <c r="AC57" s="317"/>
      <c r="AE57">
        <v>55</v>
      </c>
      <c r="AF57">
        <f t="shared" si="1"/>
        <v>1.8181818181818181E-2</v>
      </c>
      <c r="AG57">
        <f t="shared" si="2"/>
        <v>-7.2860603367863111E-2</v>
      </c>
      <c r="AH57">
        <f t="shared" si="3"/>
        <v>-9.9284564944027842</v>
      </c>
    </row>
    <row r="58" spans="2:34" x14ac:dyDescent="0.2">
      <c r="B58" s="173" t="s">
        <v>348</v>
      </c>
      <c r="C58" s="3">
        <f>Rational_LimeBeneficiation</f>
        <v>0.99884664645418608</v>
      </c>
      <c r="D58" s="3">
        <f>Resource_LimeBeneficiation</f>
        <v>0.86811834757376105</v>
      </c>
      <c r="K58" s="317"/>
      <c r="L58" s="173" t="s">
        <v>348</v>
      </c>
      <c r="M58" s="3">
        <f>MCC_B_RUVY_matrices_mat_level!J223</f>
        <v>34.678095164115803</v>
      </c>
      <c r="N58" s="3">
        <f>'MCC_hM_RUVY_matrices_mat_level '!L152</f>
        <v>34.678095164010301</v>
      </c>
      <c r="AC58" s="317"/>
      <c r="AE58">
        <v>56</v>
      </c>
      <c r="AF58">
        <f t="shared" si="1"/>
        <v>1.7857142857142856E-2</v>
      </c>
      <c r="AG58">
        <f t="shared" si="2"/>
        <v>-7.1881280191699093E-2</v>
      </c>
      <c r="AH58">
        <f t="shared" si="3"/>
        <v>-9.9730986391180654</v>
      </c>
    </row>
    <row r="59" spans="2:34" x14ac:dyDescent="0.2">
      <c r="B59" s="173" t="s">
        <v>362</v>
      </c>
      <c r="C59" s="3">
        <f>Rational_Coalbeneficiation</f>
        <v>0.99999431358282376</v>
      </c>
      <c r="D59" s="3">
        <f>Resource_Coalbeneficiation</f>
        <v>0.99945078142046995</v>
      </c>
      <c r="K59" s="317"/>
      <c r="L59" s="173" t="s">
        <v>362</v>
      </c>
      <c r="M59" s="3">
        <f>MCC_B_RUVY_matrices_mat_level!J224</f>
        <v>50.35808415338397</v>
      </c>
      <c r="N59" s="3">
        <f>'MCC_hM_RUVY_matrices_mat_level '!L153</f>
        <v>50.35808415338397</v>
      </c>
      <c r="AC59" s="317"/>
      <c r="AE59">
        <v>57</v>
      </c>
      <c r="AF59">
        <f t="shared" si="1"/>
        <v>1.7543859649122806E-2</v>
      </c>
      <c r="AG59">
        <f t="shared" si="2"/>
        <v>-7.0930723997097364E-2</v>
      </c>
      <c r="AH59">
        <f t="shared" si="3"/>
        <v>-10.01695061575138</v>
      </c>
    </row>
    <row r="60" spans="2:34" x14ac:dyDescent="0.2">
      <c r="B60" s="173" t="s">
        <v>349</v>
      </c>
      <c r="C60" s="3">
        <f>Rational_Kiln</f>
        <v>0.17027276068302746</v>
      </c>
      <c r="D60" s="3">
        <f>Resource_Kiln</f>
        <v>0.1222893219234706</v>
      </c>
      <c r="K60" s="317"/>
      <c r="L60" s="173" t="s">
        <v>349</v>
      </c>
      <c r="M60" s="3">
        <f>MCC_B_RUVY_matrices_mat_level!J225</f>
        <v>1642067.5780806448</v>
      </c>
      <c r="N60" s="3">
        <f>'MCC_hM_RUVY_matrices_mat_level '!L154</f>
        <v>879425.91463045357</v>
      </c>
      <c r="AC60" s="317"/>
      <c r="AE60">
        <v>58</v>
      </c>
      <c r="AF60">
        <f t="shared" si="1"/>
        <v>1.7241379310344827E-2</v>
      </c>
      <c r="AG60">
        <f t="shared" si="2"/>
        <v>-7.0007638112869294E-2</v>
      </c>
      <c r="AH60">
        <f t="shared" si="3"/>
        <v>-10.060039910525512</v>
      </c>
    </row>
    <row r="61" spans="2:34" x14ac:dyDescent="0.2">
      <c r="B61" s="173" t="s">
        <v>344</v>
      </c>
      <c r="C61" s="3">
        <f>Rational_Cokeoven</f>
        <v>0.60155306227269634</v>
      </c>
      <c r="D61" s="3">
        <f>Resource_Cokeoven</f>
        <v>0.32940597812032246</v>
      </c>
      <c r="K61" s="317"/>
      <c r="L61" s="173" t="s">
        <v>344</v>
      </c>
      <c r="M61" s="3">
        <f>MCC_B_RUVY_matrices_mat_level!J226</f>
        <v>7751416.6310380641</v>
      </c>
      <c r="N61" s="3">
        <f>'MCC_hM_RUVY_matrices_mat_level '!L155</f>
        <v>5806523.6972423811</v>
      </c>
      <c r="AC61" s="317"/>
      <c r="AE61">
        <v>59</v>
      </c>
      <c r="AF61">
        <f t="shared" si="1"/>
        <v>1.6949152542372881E-2</v>
      </c>
      <c r="AG61">
        <f t="shared" si="2"/>
        <v>-6.9110804133995243E-2</v>
      </c>
      <c r="AH61">
        <f t="shared" si="3"/>
        <v>-10.102392599972381</v>
      </c>
    </row>
    <row r="62" spans="2:34" x14ac:dyDescent="0.2">
      <c r="B62" s="173" t="s">
        <v>514</v>
      </c>
      <c r="C62" s="3">
        <f>Rational_COGtreatment</f>
        <v>0.9960578434433518</v>
      </c>
      <c r="D62" s="3">
        <f>Resource_COGtreatment</f>
        <v>0.18236833377116268</v>
      </c>
      <c r="K62" s="317"/>
      <c r="L62" s="173" t="s">
        <v>514</v>
      </c>
      <c r="M62" s="3">
        <f>MCC_B_RUVY_matrices_mat_level!J227</f>
        <v>16002.672043499071</v>
      </c>
      <c r="N62" s="3">
        <f>'MCC_hM_RUVY_matrices_mat_level '!L156</f>
        <v>32556.293627668325</v>
      </c>
      <c r="AC62" s="317"/>
      <c r="AE62">
        <v>60</v>
      </c>
      <c r="AF62">
        <f t="shared" si="1"/>
        <v>1.6666666666666666E-2</v>
      </c>
      <c r="AG62">
        <f t="shared" si="2"/>
        <v>-6.823907603703501E-2</v>
      </c>
      <c r="AH62">
        <f t="shared" si="3"/>
        <v>-10.144033445713733</v>
      </c>
    </row>
    <row r="63" spans="2:34" x14ac:dyDescent="0.2">
      <c r="B63" s="173" t="s">
        <v>516</v>
      </c>
      <c r="C63" s="3">
        <f>Rational_COGdistribution</f>
        <v>1</v>
      </c>
      <c r="D63" s="3">
        <f>Resource_COGdistribution</f>
        <v>1</v>
      </c>
      <c r="K63" s="317"/>
      <c r="L63" s="173" t="s">
        <v>516</v>
      </c>
      <c r="M63" s="3">
        <f>MCC_B_RUVY_matrices_mat_level!J228</f>
        <v>0</v>
      </c>
      <c r="N63" s="3">
        <f>'MCC_hM_RUVY_matrices_mat_level '!L157</f>
        <v>0</v>
      </c>
      <c r="AC63" s="317"/>
      <c r="AE63">
        <v>61</v>
      </c>
      <c r="AF63">
        <f t="shared" si="1"/>
        <v>1.6393442622950821E-2</v>
      </c>
      <c r="AG63">
        <f t="shared" si="2"/>
        <v>-6.7391374822513297E-2</v>
      </c>
      <c r="AH63">
        <f t="shared" si="3"/>
        <v>-10.184985981407598</v>
      </c>
    </row>
    <row r="64" spans="2:34" x14ac:dyDescent="0.2">
      <c r="B64" s="173" t="s">
        <v>76</v>
      </c>
      <c r="C64" s="3">
        <f>Rational_mixer</f>
        <v>0.99174963463121601</v>
      </c>
      <c r="D64" s="3">
        <f>Resource_Mixer</f>
        <v>1.0976920273227081E-2</v>
      </c>
      <c r="K64" s="317"/>
      <c r="L64" s="173" t="s">
        <v>76</v>
      </c>
      <c r="M64" s="3">
        <f>MCC_B_RUVY_matrices_mat_level!J229</f>
        <v>55594.067320963368</v>
      </c>
      <c r="N64" s="3">
        <f>'MCC_hM_RUVY_matrices_mat_level '!L158</f>
        <v>1036876.2120101087</v>
      </c>
      <c r="AC64" s="317"/>
      <c r="AE64">
        <v>62</v>
      </c>
      <c r="AF64">
        <f t="shared" si="1"/>
        <v>1.6129032258064516E-2</v>
      </c>
      <c r="AG64">
        <f t="shared" si="2"/>
        <v>-6.6566683629759538E-2</v>
      </c>
      <c r="AH64">
        <f t="shared" si="3"/>
        <v>-10.225272592624938</v>
      </c>
    </row>
    <row r="65" spans="2:34" x14ac:dyDescent="0.2">
      <c r="B65" s="173" t="s">
        <v>337</v>
      </c>
      <c r="C65" s="3">
        <f>Rational_BF</f>
        <v>0.37943022424115741</v>
      </c>
      <c r="D65" s="3">
        <f>Resource_BF</f>
        <v>0.34074255379728524</v>
      </c>
      <c r="K65" s="317"/>
      <c r="L65" s="173" t="s">
        <v>337</v>
      </c>
      <c r="M65" s="3">
        <f>MCC_B_RUVY_matrices_mat_level!J230</f>
        <v>7572474.0694727181</v>
      </c>
      <c r="N65" s="3">
        <f>'MCC_hM_RUVY_matrices_mat_level '!L159</f>
        <v>3284780.9724226054</v>
      </c>
      <c r="AC65" s="317"/>
      <c r="AE65">
        <v>63</v>
      </c>
      <c r="AF65">
        <f t="shared" si="1"/>
        <v>1.5873015873015872E-2</v>
      </c>
      <c r="AG65">
        <f t="shared" si="2"/>
        <v>-6.5764043276056075E-2</v>
      </c>
      <c r="AH65">
        <f t="shared" si="3"/>
        <v>-10.264914590335321</v>
      </c>
    </row>
    <row r="66" spans="2:34" x14ac:dyDescent="0.2">
      <c r="K66" s="317"/>
      <c r="AC66" s="317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317"/>
      <c r="AC67" s="317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4">AE67*RT0*AG67</f>
        <v>-10.342345017049873</v>
      </c>
    </row>
    <row r="68" spans="2:34" x14ac:dyDescent="0.2">
      <c r="K68" s="317"/>
      <c r="AC68" s="317"/>
      <c r="AE68">
        <v>66</v>
      </c>
      <c r="AF68">
        <f t="shared" ref="AF68:AF111" si="5">1/AE68</f>
        <v>1.5151515151515152E-2</v>
      </c>
      <c r="AG68">
        <f t="shared" ref="AG68:AG111" si="6">AF68*LN(AF68)</f>
        <v>-6.3479617303430685E-2</v>
      </c>
      <c r="AH68">
        <f t="shared" si="4"/>
        <v>-10.380171278511893</v>
      </c>
    </row>
    <row r="69" spans="2:34" x14ac:dyDescent="0.2">
      <c r="AC69" s="317"/>
      <c r="AE69">
        <v>67</v>
      </c>
      <c r="AF69">
        <f t="shared" si="5"/>
        <v>1.4925373134328358E-2</v>
      </c>
      <c r="AG69">
        <f t="shared" si="6"/>
        <v>-6.2756606259566652E-2</v>
      </c>
      <c r="AH69">
        <f t="shared" si="4"/>
        <v>-10.417428702409714</v>
      </c>
    </row>
    <row r="70" spans="2:34" x14ac:dyDescent="0.2">
      <c r="AC70" s="317"/>
      <c r="AE70">
        <v>68</v>
      </c>
      <c r="AF70">
        <f t="shared" si="5"/>
        <v>1.4705882352941176E-2</v>
      </c>
      <c r="AG70">
        <f t="shared" si="6"/>
        <v>-6.2051583899648634E-2</v>
      </c>
      <c r="AH70">
        <f t="shared" si="4"/>
        <v>-10.454134144128577</v>
      </c>
    </row>
    <row r="71" spans="2:34" x14ac:dyDescent="0.2">
      <c r="AC71" s="317"/>
      <c r="AE71">
        <v>69</v>
      </c>
      <c r="AF71">
        <f t="shared" si="5"/>
        <v>1.4492753623188406E-2</v>
      </c>
      <c r="AG71">
        <f t="shared" si="6"/>
        <v>-6.1363862385467531E-2</v>
      </c>
      <c r="AH71">
        <f t="shared" si="4"/>
        <v>-10.49030372080804</v>
      </c>
    </row>
    <row r="72" spans="2:34" x14ac:dyDescent="0.2">
      <c r="AC72" s="317"/>
      <c r="AE72">
        <v>70</v>
      </c>
      <c r="AF72">
        <f t="shared" si="5"/>
        <v>1.4285714285714285E-2</v>
      </c>
      <c r="AG72">
        <f t="shared" si="6"/>
        <v>-6.06927891721337E-2</v>
      </c>
      <c r="AH72">
        <f t="shared" si="4"/>
        <v>-10.525952853834713</v>
      </c>
    </row>
    <row r="73" spans="2:34" x14ac:dyDescent="0.2">
      <c r="AE73">
        <v>71</v>
      </c>
      <c r="AF73">
        <f t="shared" si="5"/>
        <v>1.4084507042253521E-2</v>
      </c>
      <c r="AG73">
        <f t="shared" si="6"/>
        <v>-6.0037744747060785E-2</v>
      </c>
      <c r="AH73">
        <f t="shared" si="4"/>
        <v>-10.561096308321007</v>
      </c>
    </row>
    <row r="74" spans="2:34" x14ac:dyDescent="0.2">
      <c r="AE74">
        <v>72</v>
      </c>
      <c r="AF74">
        <f t="shared" si="5"/>
        <v>1.3888888888888888E-2</v>
      </c>
      <c r="AG74">
        <f t="shared" si="6"/>
        <v>-5.9398140541889653E-2</v>
      </c>
      <c r="AH74">
        <f t="shared" si="4"/>
        <v>-10.595748229822844</v>
      </c>
    </row>
    <row r="75" spans="2:34" x14ac:dyDescent="0.2">
      <c r="AE75">
        <v>73</v>
      </c>
      <c r="AF75">
        <f t="shared" si="5"/>
        <v>1.3698630136986301E-2</v>
      </c>
      <c r="AG75">
        <f t="shared" si="6"/>
        <v>-5.877341700203275E-2</v>
      </c>
      <c r="AH75">
        <f t="shared" si="4"/>
        <v>-10.6299221785249</v>
      </c>
    </row>
    <row r="76" spans="2:34" x14ac:dyDescent="0.2">
      <c r="AE76">
        <v>74</v>
      </c>
      <c r="AF76">
        <f t="shared" si="5"/>
        <v>1.3513513513513514E-2</v>
      </c>
      <c r="AG76">
        <f t="shared" si="6"/>
        <v>-5.8163041800056346E-2</v>
      </c>
      <c r="AH76">
        <f t="shared" si="4"/>
        <v>-10.663631161100041</v>
      </c>
    </row>
    <row r="77" spans="2:34" x14ac:dyDescent="0.2">
      <c r="AE77">
        <v>75</v>
      </c>
      <c r="AF77">
        <f t="shared" si="5"/>
        <v>1.3333333333333334E-2</v>
      </c>
      <c r="AG77">
        <f t="shared" si="6"/>
        <v>-5.7566508180484137E-2</v>
      </c>
      <c r="AH77">
        <f t="shared" si="4"/>
        <v>-10.696887660430383</v>
      </c>
    </row>
    <row r="78" spans="2:34" x14ac:dyDescent="0.2">
      <c r="AE78">
        <v>76</v>
      </c>
      <c r="AF78">
        <f t="shared" si="5"/>
        <v>1.3157894736842105E-2</v>
      </c>
      <c r="AG78">
        <f t="shared" si="6"/>
        <v>-5.6983333424820141E-2</v>
      </c>
      <c r="AH78">
        <f t="shared" si="4"/>
        <v>-10.729703663359885</v>
      </c>
    </row>
    <row r="79" spans="2:34" x14ac:dyDescent="0.2">
      <c r="AE79">
        <v>77</v>
      </c>
      <c r="AF79">
        <f t="shared" si="5"/>
        <v>1.2987012987012988E-2</v>
      </c>
      <c r="AG79">
        <f t="shared" si="6"/>
        <v>-5.6413057426671229E-2</v>
      </c>
      <c r="AH79">
        <f t="shared" si="4"/>
        <v>-10.762090686632877</v>
      </c>
    </row>
    <row r="80" spans="2:34" x14ac:dyDescent="0.2">
      <c r="AE80">
        <v>78</v>
      </c>
      <c r="AF80">
        <f t="shared" si="5"/>
        <v>1.282051282051282E-2</v>
      </c>
      <c r="AG80">
        <f t="shared" si="6"/>
        <v>-5.5855241367815278E-2</v>
      </c>
      <c r="AH80">
        <f t="shared" si="4"/>
        <v>-10.794059801158983</v>
      </c>
    </row>
    <row r="81" spans="31:34" x14ac:dyDescent="0.2">
      <c r="AE81">
        <v>79</v>
      </c>
      <c r="AF81">
        <f t="shared" si="5"/>
        <v>1.2658227848101266E-2</v>
      </c>
      <c r="AG81">
        <f t="shared" si="6"/>
        <v>-5.5309466486924322E-2</v>
      </c>
      <c r="AH81">
        <f t="shared" si="4"/>
        <v>-10.825621654732423</v>
      </c>
    </row>
    <row r="82" spans="31:34" x14ac:dyDescent="0.2">
      <c r="AE82">
        <v>80</v>
      </c>
      <c r="AF82">
        <f t="shared" si="5"/>
        <v>1.2500000000000001E-2</v>
      </c>
      <c r="AG82">
        <f t="shared" si="6"/>
        <v>-5.4775332933423515E-2</v>
      </c>
      <c r="AH82">
        <f t="shared" si="4"/>
        <v>-10.856786493322238</v>
      </c>
    </row>
    <row r="83" spans="31:34" x14ac:dyDescent="0.2">
      <c r="AE83">
        <v>81</v>
      </c>
      <c r="AF83">
        <f t="shared" si="5"/>
        <v>1.2345679012345678E-2</v>
      </c>
      <c r="AG83">
        <f t="shared" si="6"/>
        <v>-5.4252458699659736E-2</v>
      </c>
      <c r="AH83">
        <f t="shared" si="4"/>
        <v>-10.887564181040101</v>
      </c>
    </row>
    <row r="84" spans="31:34" x14ac:dyDescent="0.2">
      <c r="AE84">
        <v>82</v>
      </c>
      <c r="AF84">
        <f t="shared" si="5"/>
        <v>1.2195121951219513E-2</v>
      </c>
      <c r="AG84">
        <f t="shared" si="6"/>
        <v>-5.3740478625173824E-2</v>
      </c>
      <c r="AH84">
        <f t="shared" si="4"/>
        <v>-10.917964218882991</v>
      </c>
    </row>
    <row r="85" spans="31:34" x14ac:dyDescent="0.2">
      <c r="AE85">
        <v>83</v>
      </c>
      <c r="AF85">
        <f t="shared" si="5"/>
        <v>1.2048192771084338E-2</v>
      </c>
      <c r="AG85">
        <f t="shared" si="6"/>
        <v>-5.3239043467428901E-2</v>
      </c>
      <c r="AH85">
        <f t="shared" si="4"/>
        <v>-10.947995762339835</v>
      </c>
    </row>
    <row r="86" spans="31:34" x14ac:dyDescent="0.2">
      <c r="AE86">
        <v>84</v>
      </c>
      <c r="AF86">
        <f t="shared" si="5"/>
        <v>1.1904761904761904E-2</v>
      </c>
      <c r="AG86">
        <f t="shared" si="6"/>
        <v>-5.2747819033848967E-2</v>
      </c>
      <c r="AH86">
        <f t="shared" si="4"/>
        <v>-10.977667637943824</v>
      </c>
    </row>
    <row r="87" spans="31:34" x14ac:dyDescent="0.2">
      <c r="AE87">
        <v>85</v>
      </c>
      <c r="AF87">
        <f t="shared" si="5"/>
        <v>1.1764705882352941E-2</v>
      </c>
      <c r="AG87">
        <f t="shared" si="6"/>
        <v>-5.2266485370474312E-2</v>
      </c>
      <c r="AH87">
        <f t="shared" si="4"/>
        <v>-11.006988358845225</v>
      </c>
    </row>
    <row r="88" spans="31:34" x14ac:dyDescent="0.2">
      <c r="AE88">
        <v>86</v>
      </c>
      <c r="AF88">
        <f t="shared" si="5"/>
        <v>1.1627906976744186E-2</v>
      </c>
      <c r="AG88">
        <f t="shared" si="6"/>
        <v>-5.1794736002947761E-2</v>
      </c>
      <c r="AH88">
        <f t="shared" si="4"/>
        <v>-11.035966139473395</v>
      </c>
    </row>
    <row r="89" spans="31:34" x14ac:dyDescent="0.2">
      <c r="AE89">
        <v>87</v>
      </c>
      <c r="AF89">
        <f t="shared" si="5"/>
        <v>1.1494252873563218E-2</v>
      </c>
      <c r="AG89">
        <f t="shared" si="6"/>
        <v>-5.1332277225914755E-2</v>
      </c>
      <c r="AH89">
        <f t="shared" si="4"/>
        <v>-11.064608909351273</v>
      </c>
    </row>
    <row r="90" spans="31:34" x14ac:dyDescent="0.2">
      <c r="AE90">
        <v>88</v>
      </c>
      <c r="AF90">
        <f t="shared" si="5"/>
        <v>1.1363636363636364E-2</v>
      </c>
      <c r="AG90">
        <f t="shared" si="6"/>
        <v>-5.0878827437252354E-2</v>
      </c>
      <c r="AH90">
        <f t="shared" si="4"/>
        <v>-11.0929243261204</v>
      </c>
    </row>
    <row r="91" spans="31:34" x14ac:dyDescent="0.2">
      <c r="AE91">
        <v>89</v>
      </c>
      <c r="AF91">
        <f t="shared" si="5"/>
        <v>1.1235955056179775E-2</v>
      </c>
      <c r="AG91">
        <f t="shared" si="6"/>
        <v>-5.0434116513844267E-2</v>
      </c>
      <c r="AH91">
        <f t="shared" si="4"/>
        <v>-11.120919787829997</v>
      </c>
    </row>
    <row r="92" spans="31:34" x14ac:dyDescent="0.2">
      <c r="AE92">
        <v>90</v>
      </c>
      <c r="AF92">
        <f t="shared" si="5"/>
        <v>1.1111111111111112E-2</v>
      </c>
      <c r="AG92">
        <f t="shared" si="6"/>
        <v>-4.9997885225891839E-2</v>
      </c>
      <c r="AH92">
        <f t="shared" si="4"/>
        <v>-11.148602444539495</v>
      </c>
    </row>
    <row r="93" spans="31:34" x14ac:dyDescent="0.2">
      <c r="AE93">
        <v>91</v>
      </c>
      <c r="AF93">
        <f t="shared" si="5"/>
        <v>1.098901098901099E-2</v>
      </c>
      <c r="AG93">
        <f t="shared" si="6"/>
        <v>-4.9569884686998356E-2</v>
      </c>
      <c r="AH93">
        <f t="shared" si="4"/>
        <v>-11.175979209279966</v>
      </c>
    </row>
    <row r="94" spans="31:34" x14ac:dyDescent="0.2">
      <c r="AE94">
        <v>92</v>
      </c>
      <c r="AF94">
        <f t="shared" si="5"/>
        <v>1.0869565217391304E-2</v>
      </c>
      <c r="AG94">
        <f t="shared" si="6"/>
        <v>-4.9149875837489566E-2</v>
      </c>
      <c r="AH94">
        <f t="shared" si="4"/>
        <v>-11.203056768416545</v>
      </c>
    </row>
    <row r="95" spans="31:34" x14ac:dyDescent="0.2">
      <c r="AE95">
        <v>93</v>
      </c>
      <c r="AF95">
        <f t="shared" si="5"/>
        <v>1.0752688172043012E-2</v>
      </c>
      <c r="AG95">
        <f t="shared" si="6"/>
        <v>-4.8737628958637168E-2</v>
      </c>
      <c r="AH95">
        <f t="shared" si="4"/>
        <v>-11.229841591450699</v>
      </c>
    </row>
    <row r="96" spans="31:34" x14ac:dyDescent="0.2">
      <c r="AE96">
        <v>94</v>
      </c>
      <c r="AF96">
        <f t="shared" si="5"/>
        <v>1.0638297872340425E-2</v>
      </c>
      <c r="AG96">
        <f t="shared" si="6"/>
        <v>-4.833292321563834E-2</v>
      </c>
      <c r="AH96">
        <f t="shared" si="4"/>
        <v>-11.256339940298258</v>
      </c>
    </row>
    <row r="97" spans="31:34" x14ac:dyDescent="0.2">
      <c r="AE97">
        <v>95</v>
      </c>
      <c r="AF97">
        <f t="shared" si="5"/>
        <v>1.0526315789473684E-2</v>
      </c>
      <c r="AG97">
        <f t="shared" si="6"/>
        <v>-4.7935546227374115E-2</v>
      </c>
      <c r="AH97">
        <f t="shared" si="4"/>
        <v>-11.282557878076535</v>
      </c>
    </row>
    <row r="98" spans="31:34" x14ac:dyDescent="0.2">
      <c r="AE98">
        <v>96</v>
      </c>
      <c r="AF98">
        <f t="shared" si="5"/>
        <v>1.0416666666666666E-2</v>
      </c>
      <c r="AG98">
        <f t="shared" si="6"/>
        <v>-4.754529366112329E-2</v>
      </c>
      <c r="AH98">
        <f t="shared" si="4"/>
        <v>-11.308501277431349</v>
      </c>
    </row>
    <row r="99" spans="31:34" x14ac:dyDescent="0.2">
      <c r="AE99">
        <v>97</v>
      </c>
      <c r="AF99">
        <f t="shared" si="5"/>
        <v>1.0309278350515464E-2</v>
      </c>
      <c r="AG99">
        <f t="shared" si="6"/>
        <v>-4.7161968850550337E-2</v>
      </c>
      <c r="AH99">
        <f t="shared" ref="AH99:AH111" si="7">AE99*RT0*AG99</f>
        <v>-11.334175828432581</v>
      </c>
    </row>
    <row r="100" spans="31:34" x14ac:dyDescent="0.2">
      <c r="AE100">
        <v>98</v>
      </c>
      <c r="AF100">
        <f t="shared" si="5"/>
        <v>1.020408163265306E-2</v>
      </c>
      <c r="AG100">
        <f t="shared" si="6"/>
        <v>-4.6785382435413997E-2</v>
      </c>
      <c r="AH100">
        <f t="shared" si="7"/>
        <v>-11.359587046064805</v>
      </c>
    </row>
    <row r="101" spans="31:34" x14ac:dyDescent="0.2">
      <c r="AE101">
        <v>99</v>
      </c>
      <c r="AF101">
        <f t="shared" si="5"/>
        <v>1.0101010101010102E-2</v>
      </c>
      <c r="AG101">
        <f t="shared" si="6"/>
        <v>-4.6415352021561516E-2</v>
      </c>
      <c r="AH101">
        <f t="shared" si="7"/>
        <v>-11.384740277337658</v>
      </c>
    </row>
    <row r="102" spans="31:34" x14ac:dyDescent="0.2">
      <c r="AE102">
        <v>100</v>
      </c>
      <c r="AF102">
        <f t="shared" si="5"/>
        <v>0.01</v>
      </c>
      <c r="AG102">
        <f t="shared" si="6"/>
        <v>-4.605170185988091E-2</v>
      </c>
      <c r="AH102">
        <f t="shared" si="7"/>
        <v>-11.409640708038886</v>
      </c>
    </row>
    <row r="103" spans="31:34" x14ac:dyDescent="0.2">
      <c r="AE103">
        <v>150</v>
      </c>
      <c r="AF103">
        <f t="shared" si="5"/>
        <v>6.6666666666666671E-3</v>
      </c>
      <c r="AG103">
        <f t="shared" si="6"/>
        <v>-3.3404235293975036E-2</v>
      </c>
      <c r="AH103">
        <f t="shared" si="7"/>
        <v>-12.414209706864646</v>
      </c>
    </row>
    <row r="104" spans="31:34" x14ac:dyDescent="0.2">
      <c r="AE104">
        <v>200</v>
      </c>
      <c r="AF104">
        <f t="shared" si="5"/>
        <v>5.0000000000000001E-3</v>
      </c>
      <c r="AG104">
        <f t="shared" si="6"/>
        <v>-2.6491586832740183E-2</v>
      </c>
      <c r="AH104">
        <f t="shared" si="7"/>
        <v>-13.126962754473151</v>
      </c>
    </row>
    <row r="105" spans="31:34" x14ac:dyDescent="0.2">
      <c r="AE105">
        <v>300</v>
      </c>
      <c r="AF105">
        <f t="shared" si="5"/>
        <v>3.3333333333333335E-3</v>
      </c>
      <c r="AG105">
        <f t="shared" si="6"/>
        <v>-1.9012608248854004E-2</v>
      </c>
      <c r="AH105">
        <f t="shared" si="7"/>
        <v>-14.131531753298912</v>
      </c>
    </row>
    <row r="106" spans="31:34" x14ac:dyDescent="0.2">
      <c r="AE106">
        <v>500</v>
      </c>
      <c r="AF106">
        <f t="shared" si="5"/>
        <v>2E-3</v>
      </c>
      <c r="AG106">
        <f t="shared" si="6"/>
        <v>-1.2429216196844383E-2</v>
      </c>
      <c r="AH106">
        <f t="shared" si="7"/>
        <v>-15.397139015624063</v>
      </c>
    </row>
    <row r="107" spans="31:34" x14ac:dyDescent="0.2">
      <c r="AE107">
        <v>700</v>
      </c>
      <c r="AF107">
        <f t="shared" si="5"/>
        <v>1.4285714285714286E-3</v>
      </c>
      <c r="AG107">
        <f t="shared" si="6"/>
        <v>-9.3586861929191491E-3</v>
      </c>
      <c r="AH107">
        <f t="shared" si="7"/>
        <v>-16.230773207854156</v>
      </c>
    </row>
    <row r="108" spans="31:34" x14ac:dyDescent="0.2">
      <c r="AE108">
        <v>1000</v>
      </c>
      <c r="AF108">
        <f t="shared" si="5"/>
        <v>1E-3</v>
      </c>
      <c r="AG108">
        <f t="shared" si="6"/>
        <v>-6.9077552789821367E-3</v>
      </c>
      <c r="AH108">
        <f t="shared" si="7"/>
        <v>-17.114461062058329</v>
      </c>
    </row>
    <row r="109" spans="31:34" x14ac:dyDescent="0.2">
      <c r="AE109">
        <v>2000</v>
      </c>
      <c r="AF109">
        <f t="shared" si="5"/>
        <v>5.0000000000000001E-4</v>
      </c>
      <c r="AG109">
        <f t="shared" si="6"/>
        <v>-3.800451229771041E-3</v>
      </c>
      <c r="AH109">
        <f t="shared" si="7"/>
        <v>-18.831783108492594</v>
      </c>
    </row>
    <row r="110" spans="31:34" x14ac:dyDescent="0.2">
      <c r="AE110">
        <v>5000</v>
      </c>
      <c r="AF110">
        <f t="shared" si="5"/>
        <v>2.0000000000000001E-4</v>
      </c>
      <c r="AG110">
        <f t="shared" si="6"/>
        <v>-1.7034386382832477E-3</v>
      </c>
      <c r="AH110">
        <f t="shared" si="7"/>
        <v>-21.101959369643509</v>
      </c>
    </row>
    <row r="111" spans="31:34" x14ac:dyDescent="0.2">
      <c r="AE111">
        <v>10000</v>
      </c>
      <c r="AF111">
        <f t="shared" si="5"/>
        <v>1E-4</v>
      </c>
      <c r="AG111">
        <f t="shared" si="6"/>
        <v>-9.2103403719761819E-4</v>
      </c>
      <c r="AH111">
        <f t="shared" si="7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12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5" t="s">
        <v>616</v>
      </c>
      <c r="D2" s="435"/>
      <c r="E2" s="435"/>
      <c r="F2" s="435"/>
      <c r="G2" s="435"/>
      <c r="H2" s="435"/>
      <c r="I2" s="435"/>
      <c r="J2" s="435"/>
      <c r="K2" s="435"/>
      <c r="L2" s="435"/>
      <c r="M2" s="435"/>
      <c r="N2" s="435"/>
    </row>
    <row r="3" spans="2:22" ht="18" x14ac:dyDescent="0.25">
      <c r="B3" s="4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x14ac:dyDescent="0.25">
      <c r="B4" s="4" t="s">
        <v>40</v>
      </c>
      <c r="C4" s="1" t="s">
        <v>82</v>
      </c>
      <c r="D4" s="4" t="s">
        <v>213</v>
      </c>
      <c r="E4" s="2" t="s">
        <v>84</v>
      </c>
      <c r="F4" s="2" t="s">
        <v>80</v>
      </c>
      <c r="G4" s="1" t="s">
        <v>89</v>
      </c>
      <c r="H4" s="2" t="s">
        <v>89</v>
      </c>
      <c r="I4" s="2" t="s">
        <v>24</v>
      </c>
      <c r="J4" s="2" t="s">
        <v>91</v>
      </c>
      <c r="K4" s="2" t="s">
        <v>89</v>
      </c>
      <c r="L4" s="2" t="s">
        <v>89</v>
      </c>
      <c r="M4" s="2" t="s">
        <v>88</v>
      </c>
      <c r="N4" s="2" t="s">
        <v>86</v>
      </c>
      <c r="R4" s="406" t="s">
        <v>349</v>
      </c>
      <c r="S4" s="406"/>
      <c r="T4" s="406"/>
      <c r="U4" s="406"/>
      <c r="V4" s="406"/>
    </row>
    <row r="5" spans="2:22" ht="19" thickBot="1" x14ac:dyDescent="0.3">
      <c r="B5" s="22" t="s">
        <v>254</v>
      </c>
      <c r="C5" s="22">
        <f>Limestone_for_BF</f>
        <v>198.12782320839224</v>
      </c>
      <c r="D5" s="22">
        <v>0.95</v>
      </c>
      <c r="E5" s="22">
        <f>MW_CaCO3</f>
        <v>0.1000872</v>
      </c>
      <c r="F5" s="22">
        <f>C5/E5</f>
        <v>1979.5520626852608</v>
      </c>
      <c r="G5" s="22">
        <f>h_CaCO3</f>
        <v>-1207.5999999999999</v>
      </c>
      <c r="H5" s="22">
        <f>b_ch_CaCO3</f>
        <v>11.256799999999885</v>
      </c>
      <c r="I5" s="22">
        <f>F5/F7</f>
        <v>0.94119632891260407</v>
      </c>
      <c r="J5" s="22">
        <f>LN(I5)</f>
        <v>-6.0603522569383693E-2</v>
      </c>
      <c r="K5" s="22">
        <f>RT0*J5</f>
        <v>-0.15014959061927308</v>
      </c>
      <c r="L5" s="22">
        <f>K5+H5</f>
        <v>11.106650409380611</v>
      </c>
      <c r="M5" s="22">
        <f>L5*I5</f>
        <v>10.453538591824703</v>
      </c>
      <c r="N5" s="22">
        <f>M5*F7</f>
        <v>21986.192727413487</v>
      </c>
      <c r="R5" s="406"/>
      <c r="S5" s="406"/>
      <c r="T5" s="406"/>
      <c r="U5" s="406"/>
      <c r="V5" s="406"/>
    </row>
    <row r="6" spans="2:22" ht="18" x14ac:dyDescent="0.25">
      <c r="B6" s="5" t="s">
        <v>257</v>
      </c>
      <c r="C6" s="5">
        <f>(C5*D6)/D5</f>
        <v>10.427780168862752</v>
      </c>
      <c r="D6" s="5">
        <v>0.05</v>
      </c>
      <c r="E6" s="5">
        <f>MW_MgCO3</f>
        <v>8.4314200000000006E-2</v>
      </c>
      <c r="F6" s="5">
        <f>C6/E6</f>
        <v>123.6776268868441</v>
      </c>
      <c r="G6" s="5">
        <f>h_MgCO3</f>
        <v>-1095.8</v>
      </c>
      <c r="H6" s="5">
        <f>b_ch_MgCO3</f>
        <v>33.790400000000034</v>
      </c>
      <c r="I6" s="5">
        <f>F6/F7</f>
        <v>5.880367108739603E-2</v>
      </c>
      <c r="J6" s="5">
        <f>LN(I6)</f>
        <v>-2.8335509925673268</v>
      </c>
      <c r="K6" s="5">
        <f>RT0*J6</f>
        <v>-7.0203265997570163</v>
      </c>
      <c r="L6" s="5">
        <f>K6+H6</f>
        <v>26.770073400243017</v>
      </c>
      <c r="M6" s="5">
        <f>L6*I6</f>
        <v>1.5741785912133399</v>
      </c>
      <c r="N6" s="5">
        <f>M6*F7</f>
        <v>3310.8591497286861</v>
      </c>
      <c r="T6" s="86" t="s">
        <v>265</v>
      </c>
    </row>
    <row r="7" spans="2:22" ht="16" x14ac:dyDescent="0.2">
      <c r="B7" s="22" t="s">
        <v>18</v>
      </c>
      <c r="C7" s="22">
        <f>SUM(C5:C6)</f>
        <v>208.55560337725498</v>
      </c>
      <c r="D7" s="22">
        <f>SUM(D5:D6)</f>
        <v>1</v>
      </c>
      <c r="E7" s="22">
        <f>SUM(E5:E6)</f>
        <v>0.18440139999999999</v>
      </c>
      <c r="F7" s="22">
        <f>SUM(F5:F6)</f>
        <v>2103.2296895721047</v>
      </c>
      <c r="G7" s="13" cm="1">
        <f t="array" ref="G7">SUM(C5:C6*G5:G6) / C7</f>
        <v>-1202.01</v>
      </c>
      <c r="H7" s="22"/>
      <c r="I7" s="22">
        <f>SUM(I5:I6)</f>
        <v>1</v>
      </c>
      <c r="J7" s="102"/>
      <c r="K7" s="102"/>
      <c r="L7" s="102"/>
      <c r="M7" s="22">
        <f>SUM(M5:M6)</f>
        <v>12.027717183038042</v>
      </c>
      <c r="N7" s="22">
        <f>SUM(N5:N6)</f>
        <v>25297.051877142174</v>
      </c>
      <c r="T7" s="109" t="s">
        <v>62</v>
      </c>
    </row>
    <row r="8" spans="2:22" ht="19" thickBot="1" x14ac:dyDescent="0.3">
      <c r="B8" s="5"/>
      <c r="C8" s="5" t="s">
        <v>252</v>
      </c>
      <c r="D8" s="5"/>
      <c r="E8" s="89" t="s">
        <v>258</v>
      </c>
      <c r="F8" s="89" t="s">
        <v>259</v>
      </c>
      <c r="G8" s="1" t="s">
        <v>510</v>
      </c>
      <c r="H8" s="5"/>
      <c r="I8" s="5"/>
      <c r="J8" s="89"/>
      <c r="K8" s="89"/>
      <c r="L8" s="89"/>
      <c r="M8" s="89" t="s">
        <v>260</v>
      </c>
      <c r="N8" s="5" t="s">
        <v>253</v>
      </c>
      <c r="T8" s="110">
        <v>1173.1500000000001</v>
      </c>
    </row>
    <row r="15" spans="2:22" ht="21" x14ac:dyDescent="0.3">
      <c r="C15" s="441" t="s">
        <v>615</v>
      </c>
      <c r="D15" s="441"/>
      <c r="E15" s="441"/>
      <c r="F15" s="441"/>
    </row>
    <row r="16" spans="2:22" ht="18" x14ac:dyDescent="0.25">
      <c r="B16" s="3"/>
      <c r="C16" s="254" t="s">
        <v>581</v>
      </c>
      <c r="D16" s="254" t="s">
        <v>582</v>
      </c>
      <c r="E16" s="3" t="s">
        <v>583</v>
      </c>
      <c r="F16" s="1" t="s">
        <v>584</v>
      </c>
    </row>
    <row r="17" spans="2:9" ht="17" x14ac:dyDescent="0.2">
      <c r="B17" s="3"/>
      <c r="C17" s="254" t="s">
        <v>57</v>
      </c>
      <c r="D17" s="254" t="s">
        <v>57</v>
      </c>
      <c r="E17" s="3" t="s">
        <v>62</v>
      </c>
      <c r="F17" s="254" t="s">
        <v>57</v>
      </c>
    </row>
    <row r="18" spans="2:9" ht="18" x14ac:dyDescent="0.25">
      <c r="B18" s="22" t="s">
        <v>254</v>
      </c>
      <c r="C18" s="13">
        <f>cp_CaCO3*(T8-Constants!N5)</f>
        <v>66.569397940800016</v>
      </c>
      <c r="D18" s="13">
        <f>cp_CaCO3*LN(T8/T_0)</f>
        <v>0.10423773768759552</v>
      </c>
      <c r="E18" s="13">
        <f>T_0</f>
        <v>298</v>
      </c>
      <c r="F18" s="13">
        <f>C18- D18*E18</f>
        <v>35.506552109896546</v>
      </c>
    </row>
    <row r="19" spans="2:9" ht="18" x14ac:dyDescent="0.25">
      <c r="B19" s="5" t="s">
        <v>257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16"/>
      <c r="C20" s="316"/>
      <c r="D20" s="316"/>
      <c r="E20" s="316"/>
      <c r="F20" s="316"/>
    </row>
    <row r="22" spans="2:9" ht="21" x14ac:dyDescent="0.3">
      <c r="C22" s="339" t="s">
        <v>614</v>
      </c>
    </row>
    <row r="23" spans="2:9" ht="18" x14ac:dyDescent="0.25">
      <c r="C23" s="2" t="s">
        <v>89</v>
      </c>
    </row>
    <row r="24" spans="2:9" ht="18" x14ac:dyDescent="0.25">
      <c r="B24" s="22" t="s">
        <v>254</v>
      </c>
      <c r="C24" s="22">
        <f>b_ch_CaCO3</f>
        <v>11.256799999999885</v>
      </c>
    </row>
    <row r="25" spans="2:9" ht="18" x14ac:dyDescent="0.25">
      <c r="B25" s="5" t="s">
        <v>257</v>
      </c>
      <c r="C25" s="5">
        <f>b_ch_MgCO3</f>
        <v>33.790400000000034</v>
      </c>
    </row>
    <row r="26" spans="2:9" x14ac:dyDescent="0.2">
      <c r="B26" s="316"/>
      <c r="C26" s="316"/>
    </row>
    <row r="28" spans="2:9" ht="21" x14ac:dyDescent="0.3">
      <c r="C28" s="441" t="s">
        <v>617</v>
      </c>
      <c r="D28" s="441"/>
      <c r="E28" s="441"/>
      <c r="F28" s="441"/>
      <c r="G28" s="441"/>
      <c r="H28" s="441"/>
      <c r="I28" s="441"/>
    </row>
    <row r="29" spans="2:9" ht="18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82</v>
      </c>
      <c r="D30" s="4" t="s">
        <v>213</v>
      </c>
      <c r="E30" s="2" t="s">
        <v>84</v>
      </c>
      <c r="F30" s="2" t="s">
        <v>80</v>
      </c>
      <c r="G30" s="2" t="s">
        <v>24</v>
      </c>
      <c r="H30" s="2" t="s">
        <v>91</v>
      </c>
      <c r="I30" s="2" t="s">
        <v>89</v>
      </c>
    </row>
    <row r="31" spans="2:9" ht="18" x14ac:dyDescent="0.25">
      <c r="B31" s="22" t="s">
        <v>254</v>
      </c>
      <c r="C31" s="22">
        <f>Limestone_for_BF</f>
        <v>198.12782320839224</v>
      </c>
      <c r="D31" s="22">
        <v>0.95</v>
      </c>
      <c r="E31" s="22">
        <f>MW_CaCO3</f>
        <v>0.1000872</v>
      </c>
      <c r="F31" s="22">
        <f>C31/E31</f>
        <v>1979.5520626852608</v>
      </c>
      <c r="G31" s="22">
        <f>D31/D33</f>
        <v>0.95</v>
      </c>
      <c r="H31" s="22">
        <f>LN(G31)</f>
        <v>-5.1293294387550578E-2</v>
      </c>
      <c r="I31" s="22">
        <f>RT0*H31</f>
        <v>-0.12708282996235246</v>
      </c>
    </row>
    <row r="32" spans="2:9" ht="18" x14ac:dyDescent="0.25">
      <c r="B32" s="5" t="s">
        <v>257</v>
      </c>
      <c r="C32" s="5">
        <f>(C31*D32)/D31</f>
        <v>10.427780168862752</v>
      </c>
      <c r="D32" s="5">
        <v>0.05</v>
      </c>
      <c r="E32" s="5">
        <f>MW_MgCO3</f>
        <v>8.4314200000000006E-2</v>
      </c>
      <c r="F32" s="5">
        <f>C32/E32</f>
        <v>123.6776268868441</v>
      </c>
      <c r="G32" s="5">
        <f>D32/D33</f>
        <v>0.05</v>
      </c>
      <c r="H32" s="5">
        <f>LN(G32)</f>
        <v>-2.9957322735539909</v>
      </c>
      <c r="I32" s="5">
        <f>RT0*H32</f>
        <v>-7.4221424004537075</v>
      </c>
    </row>
    <row r="33" spans="2:9" ht="16" x14ac:dyDescent="0.2">
      <c r="B33" s="316"/>
      <c r="C33" s="22">
        <f>SUM(C31:C32)</f>
        <v>208.55560337725498</v>
      </c>
      <c r="D33" s="22">
        <f>SUM(D31:D32)</f>
        <v>1</v>
      </c>
      <c r="E33" s="22">
        <f>SUM(E31:E32)</f>
        <v>0.18440139999999999</v>
      </c>
      <c r="F33" s="22">
        <f>SUM(F31:F32)</f>
        <v>2103.2296895721047</v>
      </c>
      <c r="G33" s="22">
        <f>SUM(G31:G32)</f>
        <v>1</v>
      </c>
      <c r="H33" s="102"/>
      <c r="I33" s="102"/>
    </row>
    <row r="34" spans="2:9" ht="18" x14ac:dyDescent="0.25">
      <c r="C34" s="5" t="s">
        <v>252</v>
      </c>
      <c r="D34" s="5"/>
      <c r="E34" s="89" t="s">
        <v>258</v>
      </c>
      <c r="F34" s="89" t="s">
        <v>259</v>
      </c>
    </row>
    <row r="40" spans="2:9" ht="21" x14ac:dyDescent="0.3">
      <c r="C40" s="441" t="s">
        <v>618</v>
      </c>
      <c r="D40" s="441"/>
      <c r="E40" s="441"/>
      <c r="F40" s="441"/>
      <c r="G40" s="441"/>
      <c r="H40" s="441"/>
      <c r="I40" s="441"/>
    </row>
    <row r="41" spans="2:9" ht="17" x14ac:dyDescent="0.25">
      <c r="B41" s="3"/>
      <c r="C41" s="3" t="s">
        <v>587</v>
      </c>
      <c r="D41" s="3" t="s">
        <v>589</v>
      </c>
      <c r="E41" s="3" t="s">
        <v>590</v>
      </c>
      <c r="F41" s="3" t="s">
        <v>593</v>
      </c>
      <c r="G41" s="3" t="s">
        <v>593</v>
      </c>
      <c r="H41" s="3" t="s">
        <v>592</v>
      </c>
      <c r="I41" s="3" t="s">
        <v>592</v>
      </c>
    </row>
    <row r="42" spans="2:9" ht="18" x14ac:dyDescent="0.25">
      <c r="B42" s="3"/>
      <c r="C42" s="3" t="s">
        <v>91</v>
      </c>
      <c r="D42" s="3" t="s">
        <v>595</v>
      </c>
      <c r="E42" s="3" t="s">
        <v>588</v>
      </c>
      <c r="F42" s="3" t="s">
        <v>591</v>
      </c>
      <c r="G42" s="3" t="s">
        <v>594</v>
      </c>
      <c r="H42" s="3" t="s">
        <v>271</v>
      </c>
      <c r="I42" s="1" t="s">
        <v>89</v>
      </c>
    </row>
    <row r="43" spans="2:9" ht="18" x14ac:dyDescent="0.25">
      <c r="B43" s="22" t="s">
        <v>254</v>
      </c>
      <c r="C43" s="13">
        <v>1.373</v>
      </c>
      <c r="D43" s="13">
        <f>0.025*0.001</f>
        <v>2.5000000000000001E-5</v>
      </c>
      <c r="E43" s="13">
        <v>6</v>
      </c>
      <c r="F43" s="13">
        <v>1E-3</v>
      </c>
      <c r="G43" s="13">
        <f>1/1000</f>
        <v>1E-3</v>
      </c>
      <c r="H43" s="13">
        <f>((E43*C43)/D43)*F43*G43</f>
        <v>0.32951999999999992</v>
      </c>
      <c r="I43" s="13">
        <f>H43*MW_CaCO3</f>
        <v>3.298073414399999E-2</v>
      </c>
    </row>
    <row r="44" spans="2:9" ht="18" x14ac:dyDescent="0.25">
      <c r="B44" s="5" t="s">
        <v>257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3"/>
      <c r="C45" s="13"/>
      <c r="D45" s="13"/>
      <c r="E45" s="13"/>
      <c r="F45" s="13"/>
      <c r="G45" s="13"/>
      <c r="H45" s="13"/>
      <c r="I45" s="13"/>
    </row>
    <row r="48" spans="2:9" ht="21" x14ac:dyDescent="0.3">
      <c r="C48" s="441" t="s">
        <v>619</v>
      </c>
      <c r="D48" s="441"/>
      <c r="E48" s="441"/>
      <c r="F48" s="441"/>
      <c r="G48" s="441"/>
      <c r="H48" s="441"/>
      <c r="I48" s="340"/>
    </row>
    <row r="49" spans="2:8" ht="18" x14ac:dyDescent="0.25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spans="2:8" ht="18" x14ac:dyDescent="0.25">
      <c r="C50" s="2" t="s">
        <v>24</v>
      </c>
      <c r="D50" s="2" t="s">
        <v>88</v>
      </c>
      <c r="E50" s="2" t="s">
        <v>88</v>
      </c>
      <c r="F50" s="2" t="s">
        <v>88</v>
      </c>
      <c r="G50" s="2" t="s">
        <v>88</v>
      </c>
      <c r="H50" s="2" t="s">
        <v>88</v>
      </c>
    </row>
    <row r="51" spans="2:8" ht="18" x14ac:dyDescent="0.25">
      <c r="B51" s="22" t="s">
        <v>254</v>
      </c>
      <c r="C51" s="22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5" t="s">
        <v>257</v>
      </c>
      <c r="C52" s="5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16"/>
      <c r="C53" s="22">
        <f>SUM(C51:C52)</f>
        <v>1</v>
      </c>
      <c r="D53" s="22">
        <f t="shared" ref="D53:F53" si="0">SUM(D51:D52)</f>
        <v>35.506552109896553</v>
      </c>
      <c r="E53" s="22">
        <f t="shared" si="0"/>
        <v>12.581858402814841</v>
      </c>
      <c r="F53" s="22">
        <f t="shared" si="0"/>
        <v>-0.55605911350848669</v>
      </c>
      <c r="G53" s="316">
        <f>G51+G52</f>
        <v>3.1067739359130622E-2</v>
      </c>
      <c r="H53" s="316">
        <f>H51+H52</f>
        <v>47.563419138562033</v>
      </c>
    </row>
    <row r="55" spans="2:8" x14ac:dyDescent="0.2">
      <c r="C55" s="347"/>
      <c r="D55" s="347"/>
      <c r="E55" s="347"/>
    </row>
    <row r="56" spans="2:8" ht="18" x14ac:dyDescent="0.25">
      <c r="C56" s="1" t="s">
        <v>602</v>
      </c>
      <c r="D56" s="1" t="s">
        <v>600</v>
      </c>
      <c r="E56" s="1" t="s">
        <v>601</v>
      </c>
    </row>
    <row r="57" spans="2:8" ht="18" x14ac:dyDescent="0.25">
      <c r="C57" s="2" t="s">
        <v>88</v>
      </c>
      <c r="D57" s="2" t="s">
        <v>88</v>
      </c>
      <c r="E57" s="3" t="s">
        <v>603</v>
      </c>
    </row>
    <row r="58" spans="2:8" x14ac:dyDescent="0.2">
      <c r="B58" s="72" t="s">
        <v>19</v>
      </c>
      <c r="C58" s="3">
        <f>G53</f>
        <v>3.1067739359130622E-2</v>
      </c>
      <c r="D58" s="3">
        <f>H53</f>
        <v>47.563419138562033</v>
      </c>
      <c r="E58" s="72">
        <f>(C58/D58)*100</f>
        <v>6.531855766849709E-2</v>
      </c>
    </row>
    <row r="59" spans="2:8" x14ac:dyDescent="0.2">
      <c r="C59" s="316"/>
      <c r="D59" s="316"/>
      <c r="E59" s="316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388</vt:i4>
      </vt:variant>
    </vt:vector>
  </HeadingPairs>
  <TitlesOfParts>
    <vt:vector size="400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BX_across_industry_balance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2025-07-31T17:49:05Z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