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60B11408-A6A7-D443-92B5-CAEE7510E623}" xr6:coauthVersionLast="47" xr6:coauthVersionMax="47" xr10:uidLastSave="{00000000-0000-0000-0000-000000000000}"/>
  <bookViews>
    <workbookView xWindow="3540" yWindow="540" windowWidth="43460" windowHeight="27700" activeTab="3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Energy RUVY matrices" sheetId="18" r:id="rId11"/>
    <sheet name="Efficiencies" sheetId="12" r:id="rId12"/>
    <sheet name="Waste" sheetId="13" r:id="rId13"/>
    <sheet name="Methane Combustion - EES" sheetId="8" r:id="rId14"/>
    <sheet name="Tables for Paper" sheetId="14" r:id="rId15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Constants!$V$15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R248" i="9" l="1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BP35" i="24" l="1"/>
  <c r="BP48" i="24"/>
  <c r="AH3" i="3" l="1"/>
  <c r="D50" i="3"/>
  <c r="G50" i="3" s="1"/>
  <c r="E50" i="3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O193" i="11"/>
  <c r="E194" i="11"/>
  <c r="E193" i="11"/>
  <c r="E192" i="11"/>
  <c r="E191" i="11"/>
  <c r="E190" i="11"/>
  <c r="E195" i="11" s="1"/>
  <c r="D190" i="11"/>
  <c r="CW199" i="11"/>
  <c r="E163" i="11"/>
  <c r="E166" i="11"/>
  <c r="FF147" i="9"/>
  <c r="M166" i="11"/>
  <c r="E49" i="3"/>
  <c r="FG147" i="9" s="1"/>
  <c r="EF133" i="9"/>
  <c r="ED159" i="9"/>
  <c r="EF159" i="9"/>
  <c r="EX240" i="9"/>
  <c r="EZ240" i="9"/>
  <c r="EE240" i="9"/>
  <c r="DJ240" i="9"/>
  <c r="EC240" i="9"/>
  <c r="DH240" i="9"/>
  <c r="DH237" i="9"/>
  <c r="AJ109" i="11"/>
  <c r="AJ106" i="11"/>
  <c r="AB109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I212" i="9"/>
  <c r="AJ211" i="9"/>
  <c r="AI211" i="9"/>
  <c r="AG211" i="9"/>
  <c r="BC217" i="9"/>
  <c r="BB217" i="9"/>
  <c r="AZ217" i="9"/>
  <c r="O190" i="11"/>
  <c r="E199" i="11"/>
  <c r="CG204" i="11"/>
  <c r="AA80" i="11"/>
  <c r="AB76" i="11"/>
  <c r="AB75" i="11"/>
  <c r="CN280" i="9"/>
  <c r="CN279" i="9"/>
  <c r="CN278" i="9"/>
  <c r="CM272" i="9"/>
  <c r="CM273" i="9"/>
  <c r="CM274" i="9"/>
  <c r="CM275" i="9"/>
  <c r="CM276" i="9"/>
  <c r="CM277" i="9"/>
  <c r="CM271" i="9"/>
  <c r="D42" i="3"/>
  <c r="CN271" i="9" s="1"/>
  <c r="D89" i="11"/>
  <c r="D94" i="11" s="1"/>
  <c r="CL236" i="11"/>
  <c r="CV199" i="11" l="1"/>
  <c r="CQ281" i="9"/>
  <c r="CQ280" i="9"/>
  <c r="CQ279" i="9"/>
  <c r="CQ278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V217" i="9"/>
  <c r="BU217" i="9"/>
  <c r="BS217" i="9"/>
  <c r="CQ242" i="9"/>
  <c r="CP242" i="9"/>
  <c r="CP241" i="9"/>
  <c r="CP240" i="9"/>
  <c r="CP239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CN277" i="9" s="1"/>
  <c r="D47" i="3"/>
  <c r="CN276" i="9" s="1"/>
  <c r="D46" i="3"/>
  <c r="G46" i="3" s="1"/>
  <c r="D45" i="3"/>
  <c r="CN274" i="9" s="1"/>
  <c r="D44" i="3"/>
  <c r="CN273" i="9" s="1"/>
  <c r="D43" i="3"/>
  <c r="D107" i="11"/>
  <c r="G107" i="11"/>
  <c r="F114" i="11" s="1"/>
  <c r="CM278" i="9" s="1"/>
  <c r="L114" i="11"/>
  <c r="E29" i="3"/>
  <c r="G48" i="3" l="1"/>
  <c r="D109" i="11"/>
  <c r="D112" i="11"/>
  <c r="D113" i="11"/>
  <c r="CQ277" i="9"/>
  <c r="G47" i="3"/>
  <c r="G45" i="3"/>
  <c r="D110" i="11"/>
  <c r="D111" i="11"/>
  <c r="CN275" i="9"/>
  <c r="G43" i="3"/>
  <c r="CN272" i="9"/>
  <c r="F117" i="11"/>
  <c r="CM281" i="9" s="1"/>
  <c r="G44" i="3"/>
  <c r="D108" i="11"/>
  <c r="G42" i="3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W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AG212" i="9" s="1"/>
  <c r="AG218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DK240" i="9" l="1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BM118" i="22" l="1"/>
  <c r="AL137" i="22"/>
  <c r="G16" i="3"/>
  <c r="AB77" i="11"/>
  <c r="CN240" i="9"/>
  <c r="E165" i="11"/>
  <c r="E198" i="11"/>
  <c r="DH239" i="9"/>
  <c r="D49" i="3"/>
  <c r="CN281" i="9"/>
  <c r="CN282" i="9" s="1"/>
  <c r="AJ108" i="11"/>
  <c r="AB108" i="11"/>
  <c r="EC238" i="9"/>
  <c r="AB79" i="11"/>
  <c r="DH238" i="9"/>
  <c r="DH241" i="9" s="1"/>
  <c r="ED160" i="9" s="1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M165" i="11" l="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J137" i="22" s="1"/>
  <c r="AF47" i="9"/>
  <c r="AF46" i="9"/>
  <c r="BO37" i="24" l="1"/>
  <c r="BP37" i="24" s="1"/>
  <c r="V140" i="15"/>
  <c r="J159" i="22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Y64" i="24" l="1"/>
  <c r="Y74" i="24" s="1"/>
  <c r="AZ218" i="9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B51" i="11" s="1"/>
  <c r="C51" i="1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E46" i="9" l="1"/>
  <c r="AG46" i="9"/>
  <c r="AG52" i="9" s="1"/>
  <c r="AM74" i="24"/>
  <c r="BR156" i="9"/>
  <c r="BQ156" i="9" s="1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BE101" i="15"/>
  <c r="BG36" i="24" s="1"/>
  <c r="BE105" i="15"/>
  <c r="BG40" i="24" s="1"/>
  <c r="BI40" i="24" s="1"/>
  <c r="J124" i="24" s="1"/>
  <c r="R127" i="15"/>
  <c r="AX98" i="15"/>
  <c r="AZ33" i="24" s="1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K131" i="9" l="1"/>
  <c r="N131" i="9" s="1"/>
  <c r="BA95" i="20"/>
  <c r="BA50" i="20" s="1"/>
  <c r="H151" i="24"/>
  <c r="BI33" i="24"/>
  <c r="J117" i="24" s="1"/>
  <c r="AZ55" i="24"/>
  <c r="AM127" i="15"/>
  <c r="E216" i="15" s="1"/>
  <c r="U61" i="24"/>
  <c r="BI36" i="24"/>
  <c r="J120" i="24" s="1"/>
  <c r="U140" i="15"/>
  <c r="X64" i="24"/>
  <c r="AB74" i="24"/>
  <c r="D15" i="21"/>
  <c r="E15" i="21" s="1"/>
  <c r="F15" i="21" s="1"/>
  <c r="I15" i="21" s="1"/>
  <c r="K15" i="21" s="1"/>
  <c r="V5" i="21" s="1"/>
  <c r="BE64" i="15"/>
  <c r="BG105" i="15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K132" i="9"/>
  <c r="U126" i="9" s="1"/>
  <c r="AX120" i="15"/>
  <c r="AU92" i="15"/>
  <c r="G193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X95" i="20" l="1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U51" i="15"/>
  <c r="BG92" i="15"/>
  <c r="G180" i="15" s="1"/>
  <c r="AS84" i="22"/>
  <c r="AS43" i="22" s="1"/>
  <c r="D153" i="22"/>
  <c r="D162" i="22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U19" i="24" l="1"/>
  <c r="BI19" i="24"/>
  <c r="J103" i="24" s="1"/>
  <c r="D163" i="15"/>
  <c r="G86" i="24"/>
  <c r="G95" i="24" s="1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BI18" i="24" l="1"/>
  <c r="J102" i="24" s="1"/>
  <c r="C163" i="15"/>
  <c r="F85" i="24"/>
  <c r="F95" i="24" s="1"/>
  <c r="L140" i="15"/>
  <c r="O58" i="24"/>
  <c r="P192" i="11"/>
  <c r="J203" i="11" s="1"/>
  <c r="I203" i="11"/>
  <c r="K203" i="11" s="1"/>
  <c r="C195" i="11"/>
  <c r="F191" i="11"/>
  <c r="K199" i="11"/>
  <c r="CL210" i="9"/>
  <c r="C94" i="11"/>
  <c r="I92" i="11"/>
  <c r="CL211" i="9"/>
  <c r="CV206" i="9" s="1"/>
  <c r="EB133" i="9" s="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O74" i="24" l="1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AU21" i="24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55" i="24" l="1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Z247" i="9" s="1"/>
  <c r="CL243" i="9"/>
  <c r="CV234" i="9" s="1"/>
  <c r="F100" i="11"/>
  <c r="I111" i="11"/>
  <c r="CL226" i="9"/>
  <c r="BG87" i="15" l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V243" i="9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W243" i="9" l="1"/>
  <c r="CW234" i="9" s="1"/>
  <c r="BV210" i="9"/>
  <c r="BL218" i="9"/>
  <c r="BC95" i="20"/>
  <c r="BC50" i="20" s="1"/>
  <c r="AX218" i="9"/>
  <c r="L216" i="9" s="1"/>
  <c r="AE210" i="9"/>
  <c r="AY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D55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BN210" i="9"/>
  <c r="C59" i="14" s="1"/>
  <c r="DI238" i="9"/>
  <c r="AU210" i="9" l="1"/>
  <c r="EP246" i="9"/>
  <c r="O218" i="9" a="1"/>
  <c r="O218" i="9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H107" i="1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E163" i="15" l="1"/>
  <c r="H87" i="24"/>
  <c r="H95" i="24" s="1"/>
  <c r="AP69" i="24"/>
  <c r="J156" i="24" s="1"/>
  <c r="AJ74" i="24"/>
  <c r="BG113" i="15"/>
  <c r="BF48" i="24"/>
  <c r="BG85" i="15"/>
  <c r="AV20" i="24"/>
  <c r="AZ55" i="20"/>
  <c r="BJ100" i="20"/>
  <c r="J187" i="20" s="1"/>
  <c r="U218" i="9"/>
  <c r="V210" i="9"/>
  <c r="F229" i="9"/>
  <c r="H226" i="9"/>
  <c r="AT44" i="15"/>
  <c r="G173" i="15"/>
  <c r="AC195" i="9"/>
  <c r="H147" i="24" s="1"/>
  <c r="F15" i="17"/>
  <c r="CP258" i="9" a="1"/>
  <c r="CP258" i="9" s="1"/>
  <c r="EY238" i="9"/>
  <c r="EQ245" i="9" s="1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G201" i="15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7" i="9" l="1"/>
  <c r="EQ246" i="9"/>
  <c r="EQ248" i="9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R246" i="9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AI68" i="24" s="1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FB145" i="9" s="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C170" i="11" l="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T60" i="24" s="1"/>
  <c r="Q125" i="22"/>
  <c r="AM125" i="22" s="1"/>
  <c r="BM97" i="22"/>
  <c r="BN97" i="22" s="1"/>
  <c r="T74" i="24" l="1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02" i="24" s="1"/>
  <c r="N126" i="24"/>
  <c r="N107" i="24"/>
  <c r="N120" i="24"/>
  <c r="N132" i="24"/>
  <c r="N116" i="24"/>
  <c r="N110" i="24"/>
  <c r="N134" i="24"/>
  <c r="N119" i="24"/>
  <c r="N106" i="24"/>
  <c r="N135" i="24"/>
  <c r="N111" i="24"/>
  <c r="N114" i="24"/>
  <c r="N129" i="24"/>
  <c r="N124" i="24"/>
  <c r="N128" i="24"/>
  <c r="N115" i="24"/>
  <c r="N108" i="24"/>
  <c r="N113" i="24"/>
  <c r="N103" i="24"/>
  <c r="N130" i="24"/>
  <c r="N112" i="24"/>
  <c r="N123" i="24"/>
  <c r="N117" i="24"/>
  <c r="N109" i="24"/>
  <c r="N133" i="24"/>
  <c r="N131" i="24"/>
  <c r="N105" i="24"/>
  <c r="N104" i="24"/>
  <c r="N136" i="24"/>
  <c r="N125" i="24"/>
  <c r="N121" i="24"/>
  <c r="N137" i="24"/>
  <c r="N127" i="24"/>
  <c r="BH55" i="24"/>
  <c r="F145" i="24" s="1" a="1"/>
  <c r="BI21" i="24"/>
  <c r="J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18" i="24" l="1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N138" i="24" s="1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<sst xmlns="http://schemas.openxmlformats.org/spreadsheetml/2006/main" count="6131" uniqueCount="707">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</sst>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8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81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38" fillId="29" borderId="0" xfId="0" applyFont="1" applyFill="1" applyAlignment="1">
      <alignment horizontal="center"/>
    </xf>
    <xf numFmtId="0" fontId="38" fillId="30" borderId="0" xfId="0" applyFont="1" applyFill="1" applyAlignment="1">
      <alignment horizontal="center"/>
    </xf>
    <xf numFmtId="0" fontId="38" fillId="28" borderId="0" xfId="0" applyFont="1" applyFill="1" applyAlignment="1">
      <alignment horizontal="center"/>
    </xf>
    <xf numFmtId="0" fontId="80" fillId="31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2" fillId="31" borderId="0" xfId="0" applyFont="1" applyFill="1" applyAlignment="1">
      <alignment horizontal="center"/>
    </xf>
    <xf numFmtId="2" fontId="38" fillId="29" borderId="0" xfId="0" applyNumberFormat="1" applyFont="1" applyFill="1" applyAlignment="1">
      <alignment horizontal="center"/>
    </xf>
    <xf numFmtId="2" fontId="38" fillId="30" borderId="0" xfId="0" applyNumberFormat="1" applyFont="1" applyFill="1" applyAlignment="1">
      <alignment horizontal="center"/>
    </xf>
    <xf numFmtId="0" fontId="83" fillId="0" borderId="0" xfId="0" applyFont="1" applyAlignment="1">
      <alignment horizontal="center"/>
    </xf>
    <xf numFmtId="0" fontId="83" fillId="32" borderId="0" xfId="0" applyFont="1" applyFill="1"/>
    <xf numFmtId="0" fontId="83" fillId="32" borderId="0" xfId="0" applyFont="1" applyFill="1" applyAlignment="1">
      <alignment horizontal="center"/>
    </xf>
    <xf numFmtId="0" fontId="82" fillId="0" borderId="0" xfId="0" applyFont="1" applyAlignment="1">
      <alignment horizontal="right"/>
    </xf>
    <xf numFmtId="0" fontId="82" fillId="17" borderId="0" xfId="0" applyFont="1" applyFill="1"/>
    <xf numFmtId="0" fontId="0" fillId="32" borderId="0" xfId="0" applyFill="1"/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2" fillId="28" borderId="0" xfId="0" applyFont="1" applyFill="1" applyAlignment="1">
      <alignment horizontal="center"/>
    </xf>
    <xf numFmtId="0" fontId="22" fillId="0" borderId="0" xfId="0" applyFont="1" applyAlignment="1">
      <alignment horizontal="center" textRotation="90"/>
    </xf>
    <xf numFmtId="0" fontId="38" fillId="0" borderId="0" xfId="0" applyFont="1" applyAlignment="1">
      <alignment horizontal="center" textRotation="90"/>
    </xf>
    <xf numFmtId="0" fontId="83" fillId="29" borderId="0" xfId="0" applyFont="1" applyFill="1" applyAlignment="1">
      <alignment horizontal="center"/>
    </xf>
    <xf numFmtId="0" fontId="38" fillId="26" borderId="0" xfId="0" applyFont="1" applyFill="1" applyAlignment="1">
      <alignment horizontal="center"/>
    </xf>
    <xf numFmtId="2" fontId="38" fillId="26" borderId="0" xfId="0" applyNumberFormat="1" applyFont="1" applyFill="1" applyAlignment="1">
      <alignment horizontal="center"/>
    </xf>
    <xf numFmtId="0" fontId="18" fillId="17" borderId="0" xfId="0" applyFont="1" applyFill="1" applyAlignment="1">
      <alignment horizontal="center"/>
    </xf>
    <xf numFmtId="0" fontId="38" fillId="33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38" fillId="0" borderId="0" xfId="0" quotePrefix="1" applyFont="1" applyAlignment="1">
      <alignment horizontal="center"/>
    </xf>
    <xf numFmtId="0" fontId="15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52" fillId="0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187939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H77"/>
  <sheetViews>
    <sheetView topLeftCell="A34" zoomScale="173" workbookViewId="0">
      <selection activeCell="J45" sqref="J45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1" spans="2:34" x14ac:dyDescent="0.2">
      <c r="AG1" s="3" t="s">
        <v>700</v>
      </c>
      <c r="AH1" s="3" t="s">
        <v>700</v>
      </c>
    </row>
    <row r="2" spans="2:34" ht="17" x14ac:dyDescent="0.25">
      <c r="R2" s="322" t="s">
        <v>102</v>
      </c>
      <c r="S2" s="323"/>
      <c r="T2" s="322" t="s">
        <v>108</v>
      </c>
      <c r="U2" s="323"/>
      <c r="W2" s="324" t="s">
        <v>233</v>
      </c>
      <c r="X2" s="324"/>
      <c r="Y2" s="13" t="s">
        <v>52</v>
      </c>
      <c r="AB2" s="3" t="s">
        <v>341</v>
      </c>
      <c r="AG2" s="3" t="s">
        <v>342</v>
      </c>
      <c r="AH2" s="3" t="s">
        <v>701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342</v>
      </c>
      <c r="AF3" s="13" t="s">
        <v>65</v>
      </c>
      <c r="AG3" s="3">
        <v>9496.4</v>
      </c>
      <c r="AH3" s="209">
        <f>AG3/LHV_CH4</f>
        <v>0.18992799999999999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440</v>
      </c>
      <c r="AA5" s="61" t="s">
        <v>465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482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466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5" t="s">
        <v>381</v>
      </c>
      <c r="R12" s="325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382</v>
      </c>
      <c r="S13" s="13" t="s">
        <v>33</v>
      </c>
      <c r="T13" s="13" t="s">
        <v>34</v>
      </c>
      <c r="U13" s="13" t="s">
        <v>35</v>
      </c>
      <c r="V13" s="13" t="s">
        <v>695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342</v>
      </c>
      <c r="S14" s="13" t="s">
        <v>98</v>
      </c>
      <c r="T14" s="13" t="s">
        <v>98</v>
      </c>
      <c r="U14" s="13" t="s">
        <v>98</v>
      </c>
      <c r="V14" s="13" t="s">
        <v>342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6" t="s">
        <v>672</v>
      </c>
      <c r="R16" s="326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382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342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465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466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482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659</v>
      </c>
      <c r="B42" s="3" t="s">
        <v>646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662</v>
      </c>
      <c r="B43" s="3" t="s">
        <v>647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50" si="0">F43/D43</f>
        <v>1161.3984808683447</v>
      </c>
    </row>
    <row r="44" spans="1:7" ht="17" x14ac:dyDescent="0.25">
      <c r="A44" s="3" t="s">
        <v>663</v>
      </c>
      <c r="B44" s="3" t="s">
        <v>648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661</v>
      </c>
      <c r="B45" s="3" t="s">
        <v>660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664</v>
      </c>
      <c r="B46" s="3" t="s">
        <v>667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665</v>
      </c>
      <c r="B47" s="3" t="s">
        <v>669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666</v>
      </c>
      <c r="B48" s="4" t="s">
        <v>670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1:7" ht="18" x14ac:dyDescent="0.25">
      <c r="B49" s="1" t="s">
        <v>687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1:7" ht="17" x14ac:dyDescent="0.25">
      <c r="A50" s="3" t="s">
        <v>699</v>
      </c>
      <c r="B50" s="3" t="s">
        <v>698</v>
      </c>
      <c r="C50" s="13">
        <v>-23.4</v>
      </c>
      <c r="D50" s="13">
        <f>MW_C*3 + MW_H*8</f>
        <v>4.409652E-2</v>
      </c>
      <c r="E50" s="13">
        <f>C50+(3*J5)+(4*b_ch_H2)</f>
        <v>2151.9</v>
      </c>
      <c r="F50" s="13">
        <f>-103.85</f>
        <v>-103.85</v>
      </c>
      <c r="G50" s="19">
        <f t="shared" si="0"/>
        <v>-2355.0611250048755</v>
      </c>
    </row>
    <row r="51" spans="1:7" ht="16" x14ac:dyDescent="0.2">
      <c r="G51" s="1"/>
    </row>
    <row r="52" spans="1:7" ht="16" x14ac:dyDescent="0.2">
      <c r="G52" s="1"/>
    </row>
    <row r="53" spans="1:7" ht="16" x14ac:dyDescent="0.2">
      <c r="G53" s="1"/>
    </row>
    <row r="54" spans="1:7" x14ac:dyDescent="0.2">
      <c r="B54" s="4"/>
    </row>
    <row r="55" spans="1:7" x14ac:dyDescent="0.2">
      <c r="B55" s="3" t="s">
        <v>107</v>
      </c>
    </row>
    <row r="56" spans="1:7" ht="17" x14ac:dyDescent="0.25">
      <c r="B56" s="13" t="s">
        <v>54</v>
      </c>
      <c r="C56" s="3" t="s">
        <v>124</v>
      </c>
    </row>
    <row r="57" spans="1:7" ht="17" x14ac:dyDescent="0.25">
      <c r="B57" s="13" t="s">
        <v>54</v>
      </c>
      <c r="C57" s="16" t="s">
        <v>370</v>
      </c>
    </row>
    <row r="58" spans="1:7" ht="18" x14ac:dyDescent="0.25">
      <c r="B58" s="19" t="s">
        <v>6</v>
      </c>
      <c r="C58" s="16" t="s">
        <v>358</v>
      </c>
    </row>
    <row r="59" spans="1:7" ht="18" x14ac:dyDescent="0.25">
      <c r="B59" s="19" t="s">
        <v>6</v>
      </c>
      <c r="C59" s="3" t="s">
        <v>128</v>
      </c>
    </row>
    <row r="60" spans="1:7" ht="17" x14ac:dyDescent="0.25">
      <c r="B60" s="13" t="s">
        <v>172</v>
      </c>
      <c r="C60" s="3" t="s">
        <v>173</v>
      </c>
    </row>
    <row r="61" spans="1:7" x14ac:dyDescent="0.2">
      <c r="B61" s="13" t="s">
        <v>341</v>
      </c>
      <c r="C61" s="16" t="s">
        <v>343</v>
      </c>
    </row>
    <row r="62" spans="1:7" x14ac:dyDescent="0.2">
      <c r="B62" s="13" t="s">
        <v>5</v>
      </c>
      <c r="C62" s="16" t="s">
        <v>355</v>
      </c>
    </row>
    <row r="63" spans="1:7" x14ac:dyDescent="0.2">
      <c r="B63" s="13" t="s">
        <v>382</v>
      </c>
      <c r="C63" s="16" t="s">
        <v>633</v>
      </c>
    </row>
    <row r="64" spans="1:7" x14ac:dyDescent="0.2">
      <c r="B64" s="128" t="s">
        <v>387</v>
      </c>
      <c r="C64" s="3" t="s">
        <v>389</v>
      </c>
    </row>
    <row r="65" spans="2:3" x14ac:dyDescent="0.2">
      <c r="B65" s="13" t="s">
        <v>696</v>
      </c>
      <c r="C65" s="446" t="s">
        <v>697</v>
      </c>
    </row>
    <row r="66" spans="2:3" x14ac:dyDescent="0.2">
      <c r="B66" s="13" t="s">
        <v>476</v>
      </c>
      <c r="C66" s="3" t="s">
        <v>477</v>
      </c>
    </row>
    <row r="67" spans="2:3" ht="17" x14ac:dyDescent="0.25">
      <c r="B67" s="13" t="s">
        <v>468</v>
      </c>
      <c r="C67" s="3" t="s">
        <v>467</v>
      </c>
    </row>
    <row r="68" spans="2:3" x14ac:dyDescent="0.2">
      <c r="B68" s="13" t="s">
        <v>40</v>
      </c>
      <c r="C68" s="3" t="s">
        <v>628</v>
      </c>
    </row>
    <row r="69" spans="2:3" x14ac:dyDescent="0.2">
      <c r="B69" s="13" t="s">
        <v>631</v>
      </c>
      <c r="C69" s="16" t="s">
        <v>693</v>
      </c>
    </row>
    <row r="70" spans="2:3" x14ac:dyDescent="0.2">
      <c r="B70" s="13" t="s">
        <v>645</v>
      </c>
      <c r="C70" s="3" t="s">
        <v>668</v>
      </c>
    </row>
    <row r="76" spans="2:3" ht="20" x14ac:dyDescent="0.2">
      <c r="C76" s="445"/>
    </row>
    <row r="77" spans="2:3" ht="20" x14ac:dyDescent="0.2">
      <c r="C77" s="444"/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596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586</v>
      </c>
      <c r="E3" s="3" t="s">
        <v>585</v>
      </c>
      <c r="F3" s="288" t="s">
        <v>580</v>
      </c>
      <c r="G3" s="288" t="s">
        <v>588</v>
      </c>
      <c r="H3" s="3" t="s">
        <v>589</v>
      </c>
      <c r="I3" s="288" t="s">
        <v>590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597</v>
      </c>
      <c r="V3" s="3" t="s">
        <v>598</v>
      </c>
    </row>
    <row r="4" spans="2:22" x14ac:dyDescent="0.2">
      <c r="B4" s="3"/>
      <c r="C4" s="169" t="s">
        <v>569</v>
      </c>
      <c r="D4" s="13" t="s">
        <v>587</v>
      </c>
      <c r="E4" s="13" t="s">
        <v>63</v>
      </c>
      <c r="F4" s="13" t="s">
        <v>342</v>
      </c>
      <c r="G4" s="13" t="s">
        <v>587</v>
      </c>
      <c r="H4" s="13" t="s">
        <v>98</v>
      </c>
      <c r="I4" s="13" t="s">
        <v>587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569</v>
      </c>
      <c r="U4" s="13" t="s">
        <v>58</v>
      </c>
      <c r="V4" s="13" t="s">
        <v>58</v>
      </c>
    </row>
    <row r="5" spans="2:22" ht="15" customHeight="1" x14ac:dyDescent="0.2">
      <c r="B5" s="327" t="s">
        <v>563</v>
      </c>
      <c r="C5" s="3" t="s">
        <v>568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568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573</v>
      </c>
      <c r="F6" s="1" t="s">
        <v>574</v>
      </c>
      <c r="G6" s="1" t="s">
        <v>575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571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570</v>
      </c>
      <c r="U7" s="3">
        <f>Q11</f>
        <v>-293.51452993154498</v>
      </c>
      <c r="V7">
        <f>P21</f>
        <v>-2123.0450060933322</v>
      </c>
    </row>
    <row r="8" spans="2:22" x14ac:dyDescent="0.2">
      <c r="B8" s="327"/>
      <c r="C8" s="3" t="s">
        <v>571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565</v>
      </c>
      <c r="F9" s="3" t="s">
        <v>566</v>
      </c>
      <c r="G9" s="288" t="s">
        <v>577</v>
      </c>
      <c r="H9" s="288" t="s">
        <v>578</v>
      </c>
      <c r="I9" s="3" t="s">
        <v>579</v>
      </c>
      <c r="J9" s="288" t="s">
        <v>580</v>
      </c>
      <c r="K9" s="288" t="s">
        <v>581</v>
      </c>
      <c r="L9" s="288" t="s">
        <v>101</v>
      </c>
      <c r="M9" s="288" t="s">
        <v>582</v>
      </c>
      <c r="N9" s="288" t="s">
        <v>583</v>
      </c>
      <c r="O9" s="3" t="s">
        <v>54</v>
      </c>
      <c r="P9" s="288" t="s">
        <v>584</v>
      </c>
      <c r="Q9" s="288" t="s">
        <v>34</v>
      </c>
    </row>
    <row r="10" spans="2:22" ht="17" x14ac:dyDescent="0.25">
      <c r="B10" s="327"/>
      <c r="C10" s="3"/>
      <c r="D10" s="13" t="s">
        <v>599</v>
      </c>
      <c r="E10" s="13" t="s">
        <v>240</v>
      </c>
      <c r="F10" s="13" t="s">
        <v>240</v>
      </c>
      <c r="G10" s="13" t="s">
        <v>474</v>
      </c>
      <c r="H10" s="13" t="s">
        <v>474</v>
      </c>
      <c r="I10" s="13" t="s">
        <v>240</v>
      </c>
      <c r="J10" s="13" t="s">
        <v>474</v>
      </c>
      <c r="K10" s="13" t="s">
        <v>475</v>
      </c>
      <c r="L10" s="13" t="s">
        <v>475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597</v>
      </c>
      <c r="V10" s="3" t="s">
        <v>598</v>
      </c>
    </row>
    <row r="11" spans="2:22" x14ac:dyDescent="0.2">
      <c r="B11" s="327"/>
      <c r="C11" s="3" t="s">
        <v>570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569</v>
      </c>
      <c r="U11" s="13" t="s">
        <v>58</v>
      </c>
      <c r="V11" s="13" t="s">
        <v>58</v>
      </c>
    </row>
    <row r="12" spans="2:22" x14ac:dyDescent="0.2">
      <c r="S12" s="328" t="s">
        <v>600</v>
      </c>
      <c r="T12" s="13" t="s">
        <v>568</v>
      </c>
      <c r="U12" s="236" t="s">
        <v>455</v>
      </c>
      <c r="V12" s="236">
        <v>880.83</v>
      </c>
    </row>
    <row r="13" spans="2:22" x14ac:dyDescent="0.2">
      <c r="B13" s="236"/>
      <c r="C13" s="236"/>
      <c r="D13" s="236" t="s">
        <v>567</v>
      </c>
      <c r="E13" s="236" t="s">
        <v>565</v>
      </c>
      <c r="F13" s="236" t="s">
        <v>566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571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572</v>
      </c>
      <c r="H14" s="290" t="s">
        <v>572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570</v>
      </c>
      <c r="U14" s="236">
        <v>869.44899999999996</v>
      </c>
      <c r="V14" s="236">
        <v>858.81600000000003</v>
      </c>
    </row>
    <row r="15" spans="2:22" x14ac:dyDescent="0.2">
      <c r="B15" s="327" t="s">
        <v>564</v>
      </c>
      <c r="C15" s="236" t="s">
        <v>568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573</v>
      </c>
      <c r="F16" s="291" t="s">
        <v>574</v>
      </c>
      <c r="G16" s="291" t="s">
        <v>575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571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473</v>
      </c>
      <c r="E19" s="236" t="s">
        <v>473</v>
      </c>
      <c r="F19" s="293" t="s">
        <v>592</v>
      </c>
      <c r="G19" s="293" t="s">
        <v>593</v>
      </c>
      <c r="H19" s="293" t="s">
        <v>580</v>
      </c>
      <c r="I19" s="293" t="s">
        <v>590</v>
      </c>
      <c r="J19" s="293" t="s">
        <v>590</v>
      </c>
      <c r="K19" s="236" t="s">
        <v>40</v>
      </c>
      <c r="L19" s="293" t="s">
        <v>582</v>
      </c>
      <c r="M19" s="293" t="s">
        <v>583</v>
      </c>
      <c r="N19" s="293" t="s">
        <v>594</v>
      </c>
      <c r="O19" s="293" t="s">
        <v>595</v>
      </c>
      <c r="P19" s="293" t="s">
        <v>34</v>
      </c>
    </row>
    <row r="20" spans="2:16" x14ac:dyDescent="0.2">
      <c r="B20" s="327"/>
      <c r="C20" s="236"/>
      <c r="D20" s="290" t="s">
        <v>474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475</v>
      </c>
      <c r="J20" s="290" t="s">
        <v>591</v>
      </c>
      <c r="K20" s="290" t="s">
        <v>576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570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542</v>
      </c>
    </row>
    <row r="33" spans="3:3" x14ac:dyDescent="0.2">
      <c r="C33" s="3" t="s">
        <v>543</v>
      </c>
    </row>
    <row r="34" spans="3:3" x14ac:dyDescent="0.2">
      <c r="C34" s="3" t="s">
        <v>528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400</v>
      </c>
      <c r="M16" s="83" t="s">
        <v>401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398</v>
      </c>
      <c r="O32" s="3" t="s">
        <v>399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397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347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354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415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415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55" t="s">
        <v>622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702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3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371</v>
      </c>
      <c r="C69" s="336"/>
      <c r="D69" s="336"/>
      <c r="E69" s="336"/>
      <c r="F69" s="336"/>
      <c r="G69" s="336"/>
      <c r="Y69" s="335" t="s">
        <v>634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644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373</v>
      </c>
      <c r="G71" s="13" t="s">
        <v>373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642</v>
      </c>
      <c r="G72" s="13" t="s">
        <v>643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396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640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641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380</v>
      </c>
      <c r="AG76" s="4" t="s">
        <v>379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673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645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692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683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396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657</v>
      </c>
      <c r="E88" s="281"/>
      <c r="F88" s="7"/>
      <c r="G88" s="132" t="s">
        <v>319</v>
      </c>
      <c r="H88" s="3" t="s">
        <v>382</v>
      </c>
      <c r="I88" s="3" t="s">
        <v>383</v>
      </c>
      <c r="J88" s="4" t="s">
        <v>384</v>
      </c>
      <c r="K88" s="3" t="s">
        <v>385</v>
      </c>
      <c r="L88" s="3" t="s">
        <v>651</v>
      </c>
      <c r="M88" s="132" t="s">
        <v>386</v>
      </c>
      <c r="N88" s="132" t="s">
        <v>461</v>
      </c>
      <c r="X88" s="339" t="s">
        <v>625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678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674</v>
      </c>
      <c r="M91" s="19" t="s">
        <v>675</v>
      </c>
      <c r="N91" s="3" t="s">
        <v>685</v>
      </c>
      <c r="X91" s="33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680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694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390</v>
      </c>
      <c r="X95" s="315"/>
      <c r="AG95" s="132"/>
    </row>
    <row r="96" spans="1:38" ht="17" x14ac:dyDescent="0.25">
      <c r="B96" s="169" t="s">
        <v>380</v>
      </c>
      <c r="C96" s="3" t="s">
        <v>1</v>
      </c>
      <c r="D96" s="3" t="s">
        <v>47</v>
      </c>
      <c r="E96" s="3" t="s">
        <v>5</v>
      </c>
      <c r="F96" s="198" t="s">
        <v>396</v>
      </c>
      <c r="G96" s="132" t="s">
        <v>319</v>
      </c>
      <c r="H96" s="3" t="s">
        <v>382</v>
      </c>
      <c r="I96" s="3" t="s">
        <v>383</v>
      </c>
      <c r="J96" s="4" t="s">
        <v>384</v>
      </c>
      <c r="K96" s="3" t="s">
        <v>385</v>
      </c>
      <c r="L96" s="3" t="s">
        <v>650</v>
      </c>
      <c r="M96" s="3" t="s">
        <v>651</v>
      </c>
      <c r="N96" s="132" t="s">
        <v>386</v>
      </c>
      <c r="O96" s="132" t="s">
        <v>388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34" t="s">
        <v>623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674</v>
      </c>
      <c r="M99" s="19" t="s">
        <v>377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679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608</v>
      </c>
      <c r="N101" s="6"/>
      <c r="Y101" s="298" t="s">
        <v>435</v>
      </c>
      <c r="AG101" s="169" t="s">
        <v>684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624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396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396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396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655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656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658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659</v>
      </c>
      <c r="B107" s="13" t="s">
        <v>646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677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662</v>
      </c>
      <c r="B108" s="13" t="s">
        <v>647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663</v>
      </c>
      <c r="B109" s="13" t="s">
        <v>648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661</v>
      </c>
      <c r="B110" s="13" t="s">
        <v>660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664</v>
      </c>
      <c r="B111" s="13" t="s">
        <v>667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665</v>
      </c>
      <c r="B112" s="13" t="s">
        <v>669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666</v>
      </c>
      <c r="B113" s="61" t="s">
        <v>670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649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671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681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682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626</v>
      </c>
      <c r="D158" s="340"/>
      <c r="E158" s="340"/>
      <c r="F158" s="340"/>
      <c r="G158" s="340"/>
    </row>
    <row r="159" spans="1:30" x14ac:dyDescent="0.2">
      <c r="B159" s="169" t="s">
        <v>435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396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396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686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688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396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396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690</v>
      </c>
      <c r="L191" s="320" t="s">
        <v>689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686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469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471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627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396</v>
      </c>
      <c r="H213" s="169" t="s">
        <v>379</v>
      </c>
      <c r="I213" s="3" t="s">
        <v>1</v>
      </c>
      <c r="J213" s="3" t="s">
        <v>5</v>
      </c>
      <c r="K213" s="198" t="s">
        <v>396</v>
      </c>
    </row>
    <row r="214" spans="2:88" ht="18" x14ac:dyDescent="0.25">
      <c r="B214" s="169" t="s">
        <v>470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611</v>
      </c>
      <c r="K221" s="132" t="s">
        <v>614</v>
      </c>
      <c r="L221" s="3" t="s">
        <v>382</v>
      </c>
      <c r="M221" s="3" t="s">
        <v>40</v>
      </c>
      <c r="N221" s="4" t="s">
        <v>35</v>
      </c>
      <c r="O221" s="132" t="s">
        <v>612</v>
      </c>
      <c r="P221" s="132" t="s">
        <v>613</v>
      </c>
      <c r="CJ221" s="325"/>
    </row>
    <row r="222" spans="2:88" x14ac:dyDescent="0.2">
      <c r="C222" s="3" t="s">
        <v>610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466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615</v>
      </c>
    </row>
    <row r="228" spans="2:94" x14ac:dyDescent="0.2">
      <c r="C228" s="3" t="s">
        <v>558</v>
      </c>
      <c r="N228" s="3" t="s">
        <v>616</v>
      </c>
      <c r="BI228"/>
      <c r="BJ228"/>
      <c r="BK228" s="325" t="s">
        <v>453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466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479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481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627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396</v>
      </c>
      <c r="H238" s="169" t="s">
        <v>379</v>
      </c>
      <c r="I238" s="3" t="s">
        <v>1</v>
      </c>
      <c r="J238" s="3" t="s">
        <v>5</v>
      </c>
      <c r="K238" s="198" t="s">
        <v>396</v>
      </c>
    </row>
    <row r="239" spans="2:94" ht="18" x14ac:dyDescent="0.25">
      <c r="B239" s="169" t="s">
        <v>480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611</v>
      </c>
      <c r="C245" s="132" t="s">
        <v>614</v>
      </c>
      <c r="D245" s="3" t="s">
        <v>382</v>
      </c>
      <c r="E245" s="3" t="s">
        <v>40</v>
      </c>
      <c r="F245" s="4" t="s">
        <v>35</v>
      </c>
      <c r="G245" s="132" t="s">
        <v>612</v>
      </c>
      <c r="H245" s="132" t="s">
        <v>617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484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486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627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396</v>
      </c>
      <c r="H255" s="169" t="s">
        <v>379</v>
      </c>
      <c r="I255" s="3" t="s">
        <v>1</v>
      </c>
      <c r="J255" s="3" t="s">
        <v>5</v>
      </c>
      <c r="K255" s="198" t="s">
        <v>396</v>
      </c>
      <c r="CJ255" s="325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611</v>
      </c>
      <c r="C262" s="132" t="s">
        <v>614</v>
      </c>
      <c r="D262" s="3" t="s">
        <v>382</v>
      </c>
      <c r="E262" s="3" t="s">
        <v>40</v>
      </c>
      <c r="F262" s="4" t="s">
        <v>35</v>
      </c>
      <c r="G262" s="132" t="s">
        <v>612</v>
      </c>
      <c r="H262" s="132" t="s">
        <v>618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483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627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396</v>
      </c>
      <c r="H271" s="169" t="s">
        <v>379</v>
      </c>
      <c r="I271" s="3" t="s">
        <v>1</v>
      </c>
      <c r="J271" s="3" t="s">
        <v>5</v>
      </c>
      <c r="K271" s="198" t="s">
        <v>396</v>
      </c>
    </row>
    <row r="272" spans="2:88" ht="18" x14ac:dyDescent="0.25">
      <c r="B272" s="169" t="s">
        <v>485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382</v>
      </c>
      <c r="G278" s="3" t="s">
        <v>562</v>
      </c>
      <c r="H278" s="3" t="s">
        <v>562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560</v>
      </c>
      <c r="C283" s="3">
        <f>C280/C281</f>
        <v>0.33567230039130802</v>
      </c>
    </row>
    <row r="284" spans="2:13" x14ac:dyDescent="0.2">
      <c r="B284" s="3" t="s">
        <v>561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abSelected="1" topLeftCell="EJ218" zoomScale="150" zoomScaleNormal="120" workbookViewId="0">
      <selection activeCell="EW246" sqref="EW246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360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340</v>
      </c>
      <c r="Q25" s="138" t="s">
        <v>314</v>
      </c>
      <c r="AO25" s="368" t="s">
        <v>423</v>
      </c>
      <c r="AP25" s="368"/>
      <c r="AQ25" s="368"/>
      <c r="AR25" s="368"/>
      <c r="AS25" s="368"/>
      <c r="AT25" s="368"/>
      <c r="AU25" s="368"/>
      <c r="BH25" s="368" t="s">
        <v>427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606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409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410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86" t="s">
        <v>402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522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86" t="s">
        <v>535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521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86" t="s">
        <v>428</v>
      </c>
      <c r="BJ42" s="386"/>
      <c r="BK42" s="386"/>
      <c r="BL42" s="386"/>
      <c r="BM42" s="386"/>
      <c r="BV42" s="3" t="s">
        <v>519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529</v>
      </c>
      <c r="L44" s="1" t="s">
        <v>530</v>
      </c>
      <c r="M44" s="1" t="s">
        <v>706</v>
      </c>
      <c r="N44" s="1" t="s">
        <v>85</v>
      </c>
      <c r="O44" s="1" t="s">
        <v>629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531</v>
      </c>
      <c r="V44" s="1" t="s">
        <v>50</v>
      </c>
      <c r="W44" s="22" t="s">
        <v>416</v>
      </c>
      <c r="X44" s="100" t="s">
        <v>456</v>
      </c>
      <c r="Y44" s="189" t="s">
        <v>334</v>
      </c>
      <c r="Z44" s="384" t="s">
        <v>340</v>
      </c>
      <c r="AA44" s="138" t="s">
        <v>314</v>
      </c>
      <c r="AB44" s="4"/>
      <c r="AC44" s="4"/>
      <c r="AD44" s="1" t="s">
        <v>529</v>
      </c>
      <c r="AE44" s="1" t="s">
        <v>530</v>
      </c>
      <c r="AF44" s="1" t="s">
        <v>706</v>
      </c>
      <c r="AG44" s="1" t="s">
        <v>85</v>
      </c>
      <c r="AH44" s="1" t="s">
        <v>629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531</v>
      </c>
      <c r="AO44" s="1" t="s">
        <v>50</v>
      </c>
      <c r="AP44" s="22" t="s">
        <v>416</v>
      </c>
      <c r="AQ44" s="22" t="s">
        <v>456</v>
      </c>
      <c r="AR44" s="159" t="s">
        <v>334</v>
      </c>
      <c r="AS44" s="358" t="s">
        <v>340</v>
      </c>
      <c r="AT44" s="138" t="s">
        <v>314</v>
      </c>
      <c r="AU44" s="4"/>
      <c r="AV44" s="4"/>
      <c r="AW44" s="1" t="s">
        <v>529</v>
      </c>
      <c r="AX44" s="1" t="s">
        <v>530</v>
      </c>
      <c r="AY44" s="1" t="s">
        <v>706</v>
      </c>
      <c r="AZ44" s="1" t="s">
        <v>85</v>
      </c>
      <c r="BA44" s="1" t="s">
        <v>629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531</v>
      </c>
      <c r="BH44" s="1" t="s">
        <v>50</v>
      </c>
      <c r="BI44" s="22" t="s">
        <v>416</v>
      </c>
      <c r="BJ44" s="22" t="s">
        <v>456</v>
      </c>
      <c r="BK44" s="189" t="s">
        <v>334</v>
      </c>
      <c r="BL44" s="358" t="s">
        <v>340</v>
      </c>
      <c r="BM44" s="138" t="s">
        <v>314</v>
      </c>
      <c r="BN44" s="1"/>
      <c r="BO44" s="4"/>
      <c r="BP44" s="1" t="s">
        <v>529</v>
      </c>
      <c r="BQ44" s="1" t="s">
        <v>530</v>
      </c>
      <c r="BR44" s="1" t="s">
        <v>706</v>
      </c>
      <c r="BS44" s="1" t="s">
        <v>85</v>
      </c>
      <c r="BT44" s="1" t="s">
        <v>629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356" t="s">
        <v>522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356" t="s">
        <v>521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337</v>
      </c>
      <c r="BM46" s="136">
        <f>((BS46*(BZ46-BG46))/BN35)</f>
        <v>0.10204303400670409</v>
      </c>
      <c r="BN46" s="356" t="s">
        <v>519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606</v>
      </c>
      <c r="AA47" s="136">
        <f>($AO$42+AO63)/(V59+V72+$V$42)</f>
        <v>0.54834789034775577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606</v>
      </c>
      <c r="AT47" s="136">
        <f>BH42/(AU28+AO42)</f>
        <v>0.15191900995389168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606</v>
      </c>
      <c r="BM47" s="136">
        <f>(CA42+CA55)/(BN35+BH42)</f>
        <v>0.9084965360427989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6" t="s">
        <v>524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395</v>
      </c>
      <c r="AA48" s="137">
        <f>$AO$46/(V59+V72+$V$42)</f>
        <v>0.4504526211892465</v>
      </c>
      <c r="AB48" s="356" t="s">
        <v>523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395</v>
      </c>
      <c r="AT48" s="137">
        <f>BH46/(AU28+AO42)</f>
        <v>0.12756053024900801</v>
      </c>
      <c r="AU48" s="356" t="s">
        <v>520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395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630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555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555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555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630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557</v>
      </c>
      <c r="Z53" s="1" t="s">
        <v>557</v>
      </c>
      <c r="AA53" s="1" t="s">
        <v>557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630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557</v>
      </c>
      <c r="AS53" s="1" t="s">
        <v>557</v>
      </c>
      <c r="AT53" s="1" t="s">
        <v>557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630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557</v>
      </c>
      <c r="BK53" s="1" t="s">
        <v>557</v>
      </c>
      <c r="BL53" s="1" t="s">
        <v>557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556</v>
      </c>
      <c r="Z54" s="3" t="s">
        <v>556</v>
      </c>
      <c r="AA54" s="3" t="s">
        <v>556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556</v>
      </c>
      <c r="AS54" s="3" t="s">
        <v>556</v>
      </c>
      <c r="AT54" s="3" t="s">
        <v>556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556</v>
      </c>
      <c r="BK54" s="3" t="s">
        <v>556</v>
      </c>
      <c r="BL54" s="3" t="s">
        <v>556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518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529</v>
      </c>
      <c r="BQ57" s="1" t="s">
        <v>530</v>
      </c>
      <c r="BR57" s="1" t="s">
        <v>706</v>
      </c>
      <c r="BS57" s="1" t="s">
        <v>85</v>
      </c>
      <c r="BT57" s="1" t="s">
        <v>629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518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61" t="s">
        <v>463</v>
      </c>
      <c r="C61" s="361"/>
      <c r="D61" s="361"/>
      <c r="E61" s="361"/>
      <c r="F61" s="361"/>
      <c r="G61" s="361"/>
      <c r="H61" s="361"/>
      <c r="J61" s="4"/>
      <c r="K61" s="3" t="s">
        <v>534</v>
      </c>
      <c r="L61" s="1" t="s">
        <v>529</v>
      </c>
      <c r="M61" s="1" t="s">
        <v>706</v>
      </c>
      <c r="N61" s="1" t="s">
        <v>85</v>
      </c>
      <c r="O61" s="1" t="s">
        <v>629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531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533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620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546</v>
      </c>
      <c r="J63" s="62" t="s">
        <v>466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489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630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630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529</v>
      </c>
      <c r="AE65" s="1" t="s">
        <v>530</v>
      </c>
      <c r="AF65" s="1" t="s">
        <v>706</v>
      </c>
      <c r="AG65" s="1" t="s">
        <v>85</v>
      </c>
      <c r="AH65" s="1" t="s">
        <v>629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489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630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500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494</v>
      </c>
      <c r="F74" s="361"/>
      <c r="G74" s="361"/>
      <c r="H74" s="361"/>
      <c r="K74" s="1" t="s">
        <v>529</v>
      </c>
      <c r="L74" s="1" t="s">
        <v>530</v>
      </c>
      <c r="M74" s="1" t="s">
        <v>706</v>
      </c>
      <c r="N74" s="1" t="s">
        <v>85</v>
      </c>
      <c r="O74" s="1" t="s">
        <v>629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500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630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392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491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490</v>
      </c>
      <c r="DU103" s="361"/>
      <c r="DV103" s="361"/>
      <c r="DW103" s="361"/>
      <c r="DX103" s="361"/>
      <c r="DY103" s="361"/>
      <c r="EA103" s="4"/>
      <c r="EB103" s="3" t="s">
        <v>534</v>
      </c>
      <c r="EC103" s="1" t="s">
        <v>529</v>
      </c>
      <c r="ED103" s="3" t="s">
        <v>5</v>
      </c>
      <c r="EE103" s="1" t="s">
        <v>85</v>
      </c>
      <c r="EF103" s="1" t="s">
        <v>629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533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491</v>
      </c>
      <c r="EA105" s="96" t="s">
        <v>482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530</v>
      </c>
      <c r="FD106" s="1" t="s">
        <v>706</v>
      </c>
      <c r="FE106" s="1" t="s">
        <v>85</v>
      </c>
      <c r="FF106" s="1" t="s">
        <v>629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630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532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423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427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630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360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429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337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606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529</v>
      </c>
      <c r="CM116" s="1" t="s">
        <v>530</v>
      </c>
      <c r="CN116" s="1" t="s">
        <v>706</v>
      </c>
      <c r="CO116" s="1" t="s">
        <v>85</v>
      </c>
      <c r="CP116" s="1" t="s">
        <v>629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531</v>
      </c>
      <c r="CW116" s="1" t="s">
        <v>50</v>
      </c>
      <c r="CX116" s="6"/>
      <c r="CY116" s="4"/>
      <c r="DB116" s="4"/>
      <c r="DC116" s="4"/>
      <c r="DT116" s="361" t="s">
        <v>453</v>
      </c>
      <c r="DU116" s="361"/>
      <c r="DV116" s="361"/>
      <c r="DW116" s="361"/>
      <c r="DX116" s="361"/>
      <c r="DY116" s="361"/>
      <c r="EA116" s="4"/>
      <c r="EB116" s="3" t="s">
        <v>534</v>
      </c>
      <c r="EC116" s="1" t="s">
        <v>529</v>
      </c>
      <c r="ED116" s="1" t="s">
        <v>706</v>
      </c>
      <c r="EE116" s="1" t="s">
        <v>85</v>
      </c>
      <c r="EF116" s="1" t="s">
        <v>629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531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533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454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630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630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505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493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412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81" t="s">
        <v>403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492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81" t="s">
        <v>515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516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81" t="s">
        <v>425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459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81" t="s">
        <v>426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525</v>
      </c>
      <c r="EL126" s="170">
        <f>EB134</f>
        <v>1314.2879334772852</v>
      </c>
      <c r="EM126" s="171">
        <f>EM134</f>
        <v>6688312.3779436089</v>
      </c>
      <c r="EN126" s="360" t="s">
        <v>414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526</v>
      </c>
      <c r="FL126" s="50">
        <f>FB131</f>
        <v>616.23583583508366</v>
      </c>
      <c r="FM126" s="48">
        <f>FM131</f>
        <v>4157895.2984628798</v>
      </c>
      <c r="FN126" s="360" t="s">
        <v>408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529</v>
      </c>
      <c r="L128" s="1" t="s">
        <v>530</v>
      </c>
      <c r="M128" s="1" t="s">
        <v>706</v>
      </c>
      <c r="N128" s="1" t="s">
        <v>85</v>
      </c>
      <c r="O128" s="1" t="s">
        <v>629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531</v>
      </c>
      <c r="V128" s="1" t="s">
        <v>50</v>
      </c>
      <c r="W128" s="22" t="s">
        <v>416</v>
      </c>
      <c r="X128" s="100" t="s">
        <v>456</v>
      </c>
      <c r="Y128" s="135" t="s">
        <v>344</v>
      </c>
      <c r="Z128" s="358" t="s">
        <v>340</v>
      </c>
      <c r="AA128" s="138" t="s">
        <v>314</v>
      </c>
      <c r="AB128" s="1"/>
      <c r="AC128" s="6"/>
      <c r="AD128" s="4"/>
      <c r="AE128" s="1" t="s">
        <v>529</v>
      </c>
      <c r="AF128" s="1" t="s">
        <v>530</v>
      </c>
      <c r="AG128" s="1" t="s">
        <v>706</v>
      </c>
      <c r="AH128" s="1" t="s">
        <v>85</v>
      </c>
      <c r="AI128" s="1" t="s">
        <v>629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531</v>
      </c>
      <c r="AP128" s="1" t="s">
        <v>50</v>
      </c>
      <c r="AQ128" s="22" t="s">
        <v>416</v>
      </c>
      <c r="AR128" s="100" t="s">
        <v>456</v>
      </c>
      <c r="AS128" s="135" t="s">
        <v>344</v>
      </c>
      <c r="AT128" s="358" t="s">
        <v>340</v>
      </c>
      <c r="AU128" s="138" t="s">
        <v>314</v>
      </c>
      <c r="AV128" s="1"/>
      <c r="AW128" s="4"/>
      <c r="AX128" s="1" t="s">
        <v>529</v>
      </c>
      <c r="AY128" s="1" t="s">
        <v>530</v>
      </c>
      <c r="AZ128" s="1" t="s">
        <v>706</v>
      </c>
      <c r="BA128" s="1" t="s">
        <v>85</v>
      </c>
      <c r="BB128" s="1" t="s">
        <v>629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531</v>
      </c>
      <c r="BI128" s="1" t="s">
        <v>50</v>
      </c>
      <c r="BJ128" s="22" t="s">
        <v>416</v>
      </c>
      <c r="BK128" s="100" t="s">
        <v>456</v>
      </c>
      <c r="BL128" s="135" t="s">
        <v>344</v>
      </c>
      <c r="BM128" s="358" t="s">
        <v>340</v>
      </c>
      <c r="BN128" s="138" t="s">
        <v>314</v>
      </c>
      <c r="BO128" s="1"/>
      <c r="BP128" s="4"/>
      <c r="BQ128" s="1" t="s">
        <v>529</v>
      </c>
      <c r="BR128" s="1" t="s">
        <v>530</v>
      </c>
      <c r="BS128" s="1" t="s">
        <v>706</v>
      </c>
      <c r="BT128" s="1" t="s">
        <v>85</v>
      </c>
      <c r="BU128" s="1" t="s">
        <v>629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531</v>
      </c>
      <c r="CB128" s="1" t="s">
        <v>50</v>
      </c>
      <c r="CC128" s="22" t="s">
        <v>416</v>
      </c>
      <c r="CD128" s="100" t="s">
        <v>456</v>
      </c>
      <c r="CE128" s="135" t="s">
        <v>344</v>
      </c>
      <c r="CF128" s="358" t="s">
        <v>340</v>
      </c>
      <c r="CG128" s="138" t="s">
        <v>314</v>
      </c>
      <c r="CH128" s="113"/>
      <c r="CI128" s="113"/>
      <c r="CJ128" s="113"/>
      <c r="CK128" s="4"/>
      <c r="CL128" s="1" t="s">
        <v>529</v>
      </c>
      <c r="CM128" s="1" t="s">
        <v>530</v>
      </c>
      <c r="CN128" s="1" t="s">
        <v>706</v>
      </c>
      <c r="CO128" s="1" t="s">
        <v>85</v>
      </c>
      <c r="CP128" s="1" t="s">
        <v>629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531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529</v>
      </c>
      <c r="EC128" s="1" t="s">
        <v>530</v>
      </c>
      <c r="ED128" s="1" t="s">
        <v>706</v>
      </c>
      <c r="EE128" s="1" t="s">
        <v>85</v>
      </c>
      <c r="EF128" s="1" t="s">
        <v>629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531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529</v>
      </c>
      <c r="FC128" s="1" t="s">
        <v>530</v>
      </c>
      <c r="FD128" s="1" t="s">
        <v>706</v>
      </c>
      <c r="FE128" s="1" t="s">
        <v>85</v>
      </c>
      <c r="FF128" s="1" t="s">
        <v>629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531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416</v>
      </c>
      <c r="DU129" s="22" t="s">
        <v>456</v>
      </c>
      <c r="DV129" s="159" t="s">
        <v>334</v>
      </c>
      <c r="DW129" s="37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532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416</v>
      </c>
      <c r="EP129" s="22" t="s">
        <v>456</v>
      </c>
      <c r="EQ129" s="189" t="s">
        <v>334</v>
      </c>
      <c r="ER129" s="362" t="s">
        <v>340</v>
      </c>
      <c r="ES129" s="102" t="s">
        <v>314</v>
      </c>
      <c r="FA129" s="2" t="s">
        <v>41</v>
      </c>
      <c r="FB129" s="1" t="s">
        <v>88</v>
      </c>
      <c r="FC129" s="1" t="s">
        <v>532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412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64" t="s">
        <v>492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64" t="s">
        <v>516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64" t="s">
        <v>504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99821.043389412342</v>
      </c>
      <c r="CD130" s="124">
        <f>CB126+CB140+CB152-CW114-CW126-CW138</f>
        <v>1639676.7531454919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525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526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606</v>
      </c>
      <c r="AA131" s="136">
        <f>($AP$126+AP142)/(SUM(V126,V140,V163,V151))</f>
        <v>0.98926908455007689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606</v>
      </c>
      <c r="AU131" s="136">
        <f>BI126/(AU113+AP126)</f>
        <v>0.89989464623142024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606</v>
      </c>
      <c r="BN131" s="136">
        <f>CB126/(BM113+BI126)</f>
        <v>0.99885105550639652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606</v>
      </c>
      <c r="CG131" s="136">
        <f>(CW138+CW126+CW114)/(CB140+CB126+CB152)</f>
        <v>0.17251310939252748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7249524.1182811176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395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395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395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395</v>
      </c>
      <c r="CG132" s="137">
        <f>CW130/(CB126+CB152+CB140)</f>
        <v>0.12213695771931468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630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606</v>
      </c>
      <c r="DX132" s="103">
        <f>EM126/(CW126+CW206+CA42)</f>
        <v>0.99243862980242414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606</v>
      </c>
      <c r="ES132" s="103">
        <f>SUM(FM104,FM126,FM141)/SUM(EU117,EM101,EM114,EM126,EM140,EM152)</f>
        <v>0.3806036077801323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630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630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630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630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630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395</v>
      </c>
      <c r="DX133" s="99">
        <f>EM130/(CW126+CW206+CA42)</f>
        <v>1.1245286096249765E-2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395</v>
      </c>
      <c r="ES133" s="99">
        <f>FM130/SUM(EU117,EM152,EM140,EM126,EM114,EM101)</f>
        <v>0.34027890919062509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557</v>
      </c>
      <c r="AS135" s="1" t="s">
        <v>557</v>
      </c>
      <c r="AT135" s="1" t="s">
        <v>557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557</v>
      </c>
      <c r="BL135" s="1" t="s">
        <v>557</v>
      </c>
      <c r="BM135" s="1" t="s">
        <v>557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630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557</v>
      </c>
      <c r="Z136" s="1" t="s">
        <v>557</v>
      </c>
      <c r="AA136" s="1" t="s">
        <v>557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556</v>
      </c>
      <c r="AS136" s="3" t="s">
        <v>556</v>
      </c>
      <c r="AT136" s="3" t="s">
        <v>556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556</v>
      </c>
      <c r="BL136" s="3" t="s">
        <v>556</v>
      </c>
      <c r="BM136" s="3" t="s">
        <v>556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555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463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556</v>
      </c>
      <c r="Z137" s="3" t="s">
        <v>556</v>
      </c>
      <c r="AA137" s="3" t="s">
        <v>556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557</v>
      </c>
      <c r="CF137" s="1" t="s">
        <v>557</v>
      </c>
      <c r="CG137" s="1" t="s">
        <v>557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556</v>
      </c>
      <c r="CF138" s="3" t="s">
        <v>556</v>
      </c>
      <c r="CG138" s="3" t="s">
        <v>556</v>
      </c>
      <c r="CH138" s="1"/>
      <c r="CI138" s="1"/>
      <c r="CJ138" s="1"/>
      <c r="CK138" s="1"/>
      <c r="CL138" s="1"/>
      <c r="CO138" s="4"/>
      <c r="CP138" s="4"/>
      <c r="CQ138" s="4"/>
      <c r="CR138" s="3" t="s">
        <v>506</v>
      </c>
      <c r="CV138" s="50">
        <f>CL145</f>
        <v>774.43493010294708</v>
      </c>
      <c r="CW138" s="48">
        <f>CW145</f>
        <v>92081.792209341191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557</v>
      </c>
      <c r="ER138" s="1" t="s">
        <v>557</v>
      </c>
      <c r="ES138" s="1" t="s">
        <v>557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556</v>
      </c>
      <c r="ER139" s="3" t="s">
        <v>556</v>
      </c>
      <c r="ES139" s="3" t="s">
        <v>556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500</v>
      </c>
      <c r="BZ140" s="122">
        <v>298.14999999999998</v>
      </c>
      <c r="CA140" s="156">
        <f>BQ146</f>
        <v>644.2421909044931</v>
      </c>
      <c r="CB140" s="48">
        <f>CB146</f>
        <v>5043.1561155210738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529</v>
      </c>
      <c r="CM140" s="1" t="s">
        <v>530</v>
      </c>
      <c r="CN140" s="1" t="s">
        <v>706</v>
      </c>
      <c r="CO140" s="1" t="s">
        <v>85</v>
      </c>
      <c r="CP140" s="1" t="s">
        <v>629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531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500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527</v>
      </c>
      <c r="FL141" s="50">
        <f>FB149</f>
        <v>3402.2651449800928</v>
      </c>
      <c r="FM141" s="48">
        <f>FM149</f>
        <v>424855.37186650094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534</v>
      </c>
      <c r="L142" s="1" t="s">
        <v>529</v>
      </c>
      <c r="M142" s="1" t="s">
        <v>706</v>
      </c>
      <c r="N142" s="1" t="s">
        <v>85</v>
      </c>
      <c r="O142" s="1" t="s">
        <v>629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531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517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494</v>
      </c>
      <c r="BL142" s="361"/>
      <c r="BM142" s="361"/>
      <c r="BN142" s="361"/>
      <c r="BP142" s="4"/>
      <c r="BQ142" s="1" t="s">
        <v>529</v>
      </c>
      <c r="BR142" s="1" t="s">
        <v>530</v>
      </c>
      <c r="BS142" s="1" t="s">
        <v>706</v>
      </c>
      <c r="BT142" s="1" t="s">
        <v>85</v>
      </c>
      <c r="BU142" s="1" t="s">
        <v>629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531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356" t="s">
        <v>506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-3.9558627322637778</v>
      </c>
      <c r="CU142" s="1">
        <f>CQ142+CT142</f>
        <v>5.55548126773623</v>
      </c>
      <c r="CV142" s="1">
        <f>CU142*CR142</f>
        <v>0.97322294267813436</v>
      </c>
      <c r="CW142" s="8">
        <f>$CO$145*CV142</f>
        <v>26061.959153692678</v>
      </c>
      <c r="DV142" s="361" t="s">
        <v>494</v>
      </c>
      <c r="DW142" s="361"/>
      <c r="DX142" s="361"/>
      <c r="DY142" s="361"/>
      <c r="EA142" s="4"/>
      <c r="EB142" s="1" t="s">
        <v>529</v>
      </c>
      <c r="EC142" s="1" t="s">
        <v>530</v>
      </c>
      <c r="ED142" s="1" t="s">
        <v>706</v>
      </c>
      <c r="EE142" s="1" t="s">
        <v>85</v>
      </c>
      <c r="EF142" s="1" t="s">
        <v>629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531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533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619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356"/>
      <c r="CK143" s="3" t="s">
        <v>559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-4.0763351278879583</v>
      </c>
      <c r="CU143" s="1">
        <f t="shared" ref="CU143" si="61">CQ143+CT143</f>
        <v>15.823664872112076</v>
      </c>
      <c r="CV143" s="1">
        <f t="shared" ref="CV143" si="62">CU143*CR143</f>
        <v>2.6288081107592776</v>
      </c>
      <c r="CW143" s="1">
        <f>$CO$145*CV143</f>
        <v>70396.911746626036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532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529</v>
      </c>
      <c r="FC143" s="1" t="s">
        <v>530</v>
      </c>
      <c r="FD143" s="1" t="s">
        <v>706</v>
      </c>
      <c r="FE143" s="1" t="s">
        <v>85</v>
      </c>
      <c r="FF143" s="1" t="s">
        <v>629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546</v>
      </c>
      <c r="J144" s="62" t="s">
        <v>466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529</v>
      </c>
      <c r="AF144" s="1" t="s">
        <v>530</v>
      </c>
      <c r="AG144" s="1" t="s">
        <v>706</v>
      </c>
      <c r="AH144" s="1" t="s">
        <v>85</v>
      </c>
      <c r="AI144" s="1" t="s">
        <v>629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500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-3.5432742429276503</v>
      </c>
      <c r="BZ144" s="1">
        <f>BV144+BY144</f>
        <v>0.45672575707234975</v>
      </c>
      <c r="CA144" s="1">
        <f>BZ144*BW144</f>
        <v>9.5950789300913816E-2</v>
      </c>
      <c r="CB144" s="1">
        <f>BT146*CA144</f>
        <v>2142.5988949665375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356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-0.94814820455006676</v>
      </c>
      <c r="CU144" s="1">
        <f>CQ144+CT144</f>
        <v>-0.24814820455006681</v>
      </c>
      <c r="CV144" s="1">
        <f>CU144*CR144</f>
        <v>-0.16345177194260632</v>
      </c>
      <c r="CW144" s="1">
        <f>$CO$145*CV144</f>
        <v>-4377.0786909775188</v>
      </c>
      <c r="DZ144" s="356" t="s">
        <v>500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532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2900.5572205545363</v>
      </c>
      <c r="CJ145" s="356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3.4385792814948055</v>
      </c>
      <c r="CW145" s="8">
        <f>SUM(CW142:CW144)</f>
        <v>92081.792209341191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527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630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0.22584479577057509</v>
      </c>
      <c r="CB146" s="3">
        <f>SUM(CB144:CB145)</f>
        <v>5043.1561155210738</v>
      </c>
      <c r="CL146" s="1" t="s">
        <v>89</v>
      </c>
      <c r="CM146" s="1"/>
      <c r="CN146" s="3" t="s">
        <v>91</v>
      </c>
      <c r="CO146" s="3" t="s">
        <v>87</v>
      </c>
      <c r="CP146" s="1" t="s">
        <v>630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436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630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630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686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630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630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454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638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61" t="s">
        <v>464</v>
      </c>
      <c r="C153" s="361"/>
      <c r="D153" s="361"/>
      <c r="E153" s="361"/>
      <c r="F153" s="361"/>
      <c r="G153" s="361"/>
      <c r="H153" s="361"/>
      <c r="J153" s="4"/>
      <c r="K153" s="3" t="s">
        <v>534</v>
      </c>
      <c r="L153" s="1" t="s">
        <v>529</v>
      </c>
      <c r="M153" s="1" t="s">
        <v>706</v>
      </c>
      <c r="N153" s="1" t="s">
        <v>85</v>
      </c>
      <c r="O153" s="1" t="s">
        <v>629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533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619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453</v>
      </c>
      <c r="BL154" s="361"/>
      <c r="BM154" s="361"/>
      <c r="BN154" s="361"/>
      <c r="BP154" s="4"/>
      <c r="BQ154" s="3" t="s">
        <v>534</v>
      </c>
      <c r="BR154" s="1" t="s">
        <v>529</v>
      </c>
      <c r="BS154" s="1" t="s">
        <v>706</v>
      </c>
      <c r="BT154" s="3" t="s">
        <v>359</v>
      </c>
      <c r="BU154" s="1" t="s">
        <v>629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529</v>
      </c>
      <c r="EC154" s="1" t="s">
        <v>530</v>
      </c>
      <c r="ED154" s="1" t="s">
        <v>706</v>
      </c>
      <c r="EE154" s="1" t="s">
        <v>85</v>
      </c>
      <c r="EF154" s="1" t="s">
        <v>629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547</v>
      </c>
      <c r="J155" s="62" t="s">
        <v>465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533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532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454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365" t="s">
        <v>638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462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630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393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630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630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500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494</v>
      </c>
      <c r="F165" s="361"/>
      <c r="G165" s="361"/>
      <c r="H165" s="361"/>
      <c r="J165" s="4"/>
      <c r="K165" s="1" t="s">
        <v>529</v>
      </c>
      <c r="L165" s="1" t="s">
        <v>530</v>
      </c>
      <c r="M165" s="1" t="s">
        <v>706</v>
      </c>
      <c r="N165" s="1" t="s">
        <v>85</v>
      </c>
      <c r="O165" s="1" t="s">
        <v>629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500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630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422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423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424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360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606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109.79233073405253</v>
      </c>
      <c r="T195" s="4"/>
      <c r="U195" s="4"/>
      <c r="V195" s="4"/>
      <c r="W195" s="379" t="s">
        <v>478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413</v>
      </c>
      <c r="Q206" s="375"/>
      <c r="R206" s="375"/>
      <c r="S206" s="4"/>
      <c r="T206" s="4"/>
      <c r="U206" s="50">
        <f>K218</f>
        <v>298.6148747230165</v>
      </c>
      <c r="V206" s="48">
        <f>V218</f>
        <v>8851059.7091535721</v>
      </c>
      <c r="W206" s="357" t="s">
        <v>404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7" t="s">
        <v>514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7" t="s">
        <v>439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498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7" t="s">
        <v>421</v>
      </c>
      <c r="CE206" s="357"/>
      <c r="CF206" s="357"/>
      <c r="CG206" s="357"/>
      <c r="CH206" s="357"/>
      <c r="CI206" s="299"/>
      <c r="CR206" s="3" t="s">
        <v>601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433</v>
      </c>
      <c r="F208" s="361"/>
      <c r="G208" s="361"/>
      <c r="H208" s="361"/>
      <c r="J208" s="4"/>
      <c r="K208" s="1" t="s">
        <v>529</v>
      </c>
      <c r="L208" s="1" t="s">
        <v>530</v>
      </c>
      <c r="M208" s="1" t="s">
        <v>706</v>
      </c>
      <c r="N208" s="1" t="s">
        <v>85</v>
      </c>
      <c r="O208" s="1" t="s">
        <v>629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531</v>
      </c>
      <c r="V208" s="1" t="s">
        <v>50</v>
      </c>
      <c r="W208" s="4"/>
      <c r="X208" s="22" t="s">
        <v>416</v>
      </c>
      <c r="Y208" s="22" t="s">
        <v>456</v>
      </c>
      <c r="Z208" s="253" t="s">
        <v>334</v>
      </c>
      <c r="AA208" s="358" t="s">
        <v>340</v>
      </c>
      <c r="AB208" s="102" t="s">
        <v>314</v>
      </c>
      <c r="AC208" s="1"/>
      <c r="AD208" s="4"/>
      <c r="AE208" s="1" t="s">
        <v>529</v>
      </c>
      <c r="AF208" s="1" t="s">
        <v>530</v>
      </c>
      <c r="AG208" s="1" t="s">
        <v>706</v>
      </c>
      <c r="AH208" s="1" t="s">
        <v>85</v>
      </c>
      <c r="AI208" s="1" t="s">
        <v>629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531</v>
      </c>
      <c r="AP208" s="1" t="s">
        <v>50</v>
      </c>
      <c r="AQ208" s="22" t="s">
        <v>416</v>
      </c>
      <c r="AR208" s="22" t="s">
        <v>456</v>
      </c>
      <c r="AS208" s="159" t="s">
        <v>334</v>
      </c>
      <c r="AT208" s="358" t="s">
        <v>340</v>
      </c>
      <c r="AU208" s="138" t="s">
        <v>314</v>
      </c>
      <c r="AV208" s="1"/>
      <c r="AW208" s="4"/>
      <c r="AX208" s="1" t="s">
        <v>529</v>
      </c>
      <c r="AY208" s="1" t="s">
        <v>530</v>
      </c>
      <c r="AZ208" s="1" t="s">
        <v>706</v>
      </c>
      <c r="BA208" s="1" t="s">
        <v>85</v>
      </c>
      <c r="BB208" s="1" t="s">
        <v>629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531</v>
      </c>
      <c r="BI208" s="1" t="s">
        <v>50</v>
      </c>
      <c r="BJ208" s="22" t="s">
        <v>416</v>
      </c>
      <c r="BK208" s="22" t="s">
        <v>456</v>
      </c>
      <c r="BL208" s="159" t="s">
        <v>334</v>
      </c>
      <c r="BM208" s="358" t="s">
        <v>340</v>
      </c>
      <c r="BN208" s="138" t="s">
        <v>314</v>
      </c>
      <c r="BO208" s="1"/>
      <c r="BP208" s="4"/>
      <c r="BQ208" s="1" t="s">
        <v>529</v>
      </c>
      <c r="BR208" s="1" t="s">
        <v>530</v>
      </c>
      <c r="BS208" s="1" t="s">
        <v>706</v>
      </c>
      <c r="BT208" s="1" t="s">
        <v>85</v>
      </c>
      <c r="BU208" s="1" t="s">
        <v>629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531</v>
      </c>
      <c r="CB208" s="1" t="s">
        <v>50</v>
      </c>
      <c r="CD208" s="22" t="s">
        <v>416</v>
      </c>
      <c r="CE208" s="22" t="s">
        <v>456</v>
      </c>
      <c r="CF208" s="189" t="s">
        <v>334</v>
      </c>
      <c r="CG208" s="358" t="s">
        <v>340</v>
      </c>
      <c r="CH208" s="138" t="s">
        <v>314</v>
      </c>
      <c r="CI208" s="1"/>
      <c r="CJ208" s="1"/>
      <c r="CK208" s="4"/>
      <c r="CL208" s="1" t="s">
        <v>529</v>
      </c>
      <c r="CM208" s="1" t="s">
        <v>530</v>
      </c>
      <c r="CN208" s="1" t="s">
        <v>706</v>
      </c>
      <c r="CO208" s="1" t="s">
        <v>85</v>
      </c>
      <c r="CP208" s="1" t="s">
        <v>629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531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513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513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460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44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602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44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511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606</v>
      </c>
      <c r="AB211" s="103">
        <f>(AP206+AP227)/($AC$195+V206+V222+V236)</f>
        <v>0.98904119275539903</v>
      </c>
      <c r="AC211" s="369" t="s">
        <v>509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606</v>
      </c>
      <c r="AU211" s="136">
        <f>BI206/(AP206+AU190)</f>
        <v>0.99996814476425233</v>
      </c>
      <c r="AV211" s="369" t="s">
        <v>509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606</v>
      </c>
      <c r="BN211" s="136">
        <f>CB206/(BM195+BI206)</f>
        <v>0.9999943139063141</v>
      </c>
      <c r="BO211" s="369" t="s">
        <v>508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606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395</v>
      </c>
      <c r="AB212" s="99">
        <f>$AP$210/($AC$195+V206+V222+V236)</f>
        <v>0.98838817763635167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395</v>
      </c>
      <c r="AU212" s="137">
        <f>BI210/(AP206+AU190)</f>
        <v>0.99937548336990578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395</v>
      </c>
      <c r="BN212" s="137">
        <f>CB210/(BM195+BI206)</f>
        <v>0.99940163700203333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395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630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555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555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555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555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69" t="s">
        <v>372</v>
      </c>
      <c r="X216" s="4"/>
      <c r="Y216" s="1" t="s">
        <v>557</v>
      </c>
      <c r="Z216" s="1" t="s">
        <v>557</v>
      </c>
      <c r="AA216" s="1" t="s">
        <v>557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557</v>
      </c>
      <c r="AS216" s="1" t="s">
        <v>557</v>
      </c>
      <c r="AT216" s="1" t="s">
        <v>557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557</v>
      </c>
      <c r="BL216" s="1" t="s">
        <v>557</v>
      </c>
      <c r="BM216" s="1" t="s">
        <v>557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557</v>
      </c>
      <c r="CF216" s="1" t="s">
        <v>557</v>
      </c>
      <c r="CG216" s="1" t="s">
        <v>557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649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69"/>
      <c r="X217" s="4" t="s">
        <v>60</v>
      </c>
      <c r="Y217" s="3" t="s">
        <v>556</v>
      </c>
      <c r="Z217" s="3" t="s">
        <v>556</v>
      </c>
      <c r="AA217" s="3" t="s">
        <v>556</v>
      </c>
      <c r="AC217" s="4"/>
      <c r="AD217" s="1" t="s">
        <v>649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556</v>
      </c>
      <c r="AS217" s="3" t="s">
        <v>556</v>
      </c>
      <c r="AT217" s="3" t="s">
        <v>556</v>
      </c>
      <c r="AU217" s="4"/>
      <c r="AV217" s="4"/>
      <c r="AW217" s="1" t="s">
        <v>649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556</v>
      </c>
      <c r="BL217" s="3" t="s">
        <v>556</v>
      </c>
      <c r="BM217" s="3" t="s">
        <v>556</v>
      </c>
      <c r="BN217" s="4"/>
      <c r="BO217" s="4"/>
      <c r="BP217" s="1" t="s">
        <v>649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556</v>
      </c>
      <c r="CF217" s="3" t="s">
        <v>556</v>
      </c>
      <c r="CG217" s="3" t="s">
        <v>556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501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630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630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630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630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529</v>
      </c>
      <c r="CM220" s="1" t="s">
        <v>530</v>
      </c>
      <c r="CN220" s="1" t="s">
        <v>706</v>
      </c>
      <c r="CO220" s="1" t="s">
        <v>85</v>
      </c>
      <c r="CP220" s="1" t="s">
        <v>629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531</v>
      </c>
      <c r="CW220" s="1" t="s">
        <v>50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17" customHeight="1" thickBot="1" x14ac:dyDescent="0.3">
      <c r="B222" s="361" t="s">
        <v>463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546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501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534</v>
      </c>
      <c r="L224" s="1" t="s">
        <v>529</v>
      </c>
      <c r="M224" s="1" t="s">
        <v>706</v>
      </c>
      <c r="N224" s="1" t="s">
        <v>85</v>
      </c>
      <c r="O224" s="1" t="s">
        <v>629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531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533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619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603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546</v>
      </c>
      <c r="J226" s="96" t="s">
        <v>466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68" t="s">
        <v>424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496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630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649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540</v>
      </c>
      <c r="DA228" s="13" t="s">
        <v>438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529</v>
      </c>
      <c r="AF229" s="1" t="s">
        <v>530</v>
      </c>
      <c r="AG229" s="1" t="s">
        <v>706</v>
      </c>
      <c r="AH229" s="1" t="s">
        <v>85</v>
      </c>
      <c r="AI229" s="1" t="s">
        <v>629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531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630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496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500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57" t="s">
        <v>634</v>
      </c>
      <c r="CZ233" s="357"/>
      <c r="DA233" s="357"/>
      <c r="DB233" s="357"/>
      <c r="DC233" s="357"/>
      <c r="DL233" s="3" t="s">
        <v>635</v>
      </c>
      <c r="DP233" s="50">
        <f>DF241</f>
        <v>46.099804713468714</v>
      </c>
      <c r="DQ233" s="48">
        <f>DQ241</f>
        <v>4044220.3273382401</v>
      </c>
      <c r="DS233" s="357" t="s">
        <v>637</v>
      </c>
      <c r="DT233" s="357"/>
      <c r="DU233" s="357"/>
      <c r="DV233" s="357"/>
      <c r="DW233" s="357"/>
      <c r="EG233" s="3" t="s">
        <v>638</v>
      </c>
      <c r="EK233" s="50">
        <f>EA241</f>
        <v>46.099804713468714</v>
      </c>
      <c r="EL233" s="48">
        <f>EL241</f>
        <v>4044220.3273382401</v>
      </c>
      <c r="FA233" s="3" t="s">
        <v>638</v>
      </c>
      <c r="FF233" s="50">
        <f>EV241</f>
        <v>13.829941414040613</v>
      </c>
      <c r="FG233" s="48">
        <f>FG241</f>
        <v>1213266.0982014721</v>
      </c>
      <c r="FI233" s="366" t="s">
        <v>408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61" t="s">
        <v>494</v>
      </c>
      <c r="BL234" s="361"/>
      <c r="BM234" s="361"/>
      <c r="BN234" s="361"/>
      <c r="BP234" s="4"/>
      <c r="BQ234" s="1" t="s">
        <v>529</v>
      </c>
      <c r="BR234" s="1" t="s">
        <v>530</v>
      </c>
      <c r="BS234" s="1" t="s">
        <v>706</v>
      </c>
      <c r="BT234" s="1" t="s">
        <v>85</v>
      </c>
      <c r="BU234" s="1" t="s">
        <v>629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531</v>
      </c>
      <c r="CB234" s="1" t="s">
        <v>50</v>
      </c>
      <c r="CJ234" s="308"/>
      <c r="CR234" s="3" t="s">
        <v>502</v>
      </c>
      <c r="CV234" s="50">
        <f>CL243</f>
        <v>46.0998047134687</v>
      </c>
      <c r="CW234" s="48">
        <f>CW243</f>
        <v>4027024.8231933108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630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416</v>
      </c>
      <c r="CZ235" s="22" t="s">
        <v>456</v>
      </c>
      <c r="DA235" s="159" t="s">
        <v>334</v>
      </c>
      <c r="DB235" s="371" t="s">
        <v>340</v>
      </c>
      <c r="DC235" s="138" t="s">
        <v>314</v>
      </c>
      <c r="DE235" s="4"/>
      <c r="DF235" s="1" t="s">
        <v>529</v>
      </c>
      <c r="DG235" s="1" t="s">
        <v>530</v>
      </c>
      <c r="DH235" s="1" t="s">
        <v>706</v>
      </c>
      <c r="DI235" s="1" t="s">
        <v>85</v>
      </c>
      <c r="DJ235" s="1" t="s">
        <v>629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531</v>
      </c>
      <c r="DQ235" s="1" t="s">
        <v>50</v>
      </c>
      <c r="DS235" s="22" t="s">
        <v>416</v>
      </c>
      <c r="DT235" s="22" t="s">
        <v>456</v>
      </c>
      <c r="DU235" s="159" t="s">
        <v>334</v>
      </c>
      <c r="DV235" s="371" t="s">
        <v>340</v>
      </c>
      <c r="DW235" s="138" t="s">
        <v>314</v>
      </c>
      <c r="DZ235" s="4"/>
      <c r="EA235" s="1" t="s">
        <v>529</v>
      </c>
      <c r="EB235" s="1" t="s">
        <v>530</v>
      </c>
      <c r="EC235" s="1" t="s">
        <v>706</v>
      </c>
      <c r="ED235" s="1" t="s">
        <v>85</v>
      </c>
      <c r="EE235" s="1" t="s">
        <v>629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531</v>
      </c>
      <c r="EL235" s="1" t="s">
        <v>50</v>
      </c>
      <c r="EU235" s="4"/>
      <c r="EV235" s="1" t="s">
        <v>529</v>
      </c>
      <c r="EW235" s="1" t="s">
        <v>530</v>
      </c>
      <c r="EX235" s="1" t="s">
        <v>706</v>
      </c>
      <c r="EY235" s="1" t="s">
        <v>85</v>
      </c>
      <c r="EZ235" s="1" t="s">
        <v>629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531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512</v>
      </c>
      <c r="U236" s="50">
        <f>K242</f>
        <v>7.4647476716394348</v>
      </c>
      <c r="V236" s="48">
        <f>V242</f>
        <v>58.434372046010559</v>
      </c>
      <c r="BO236" s="393" t="s">
        <v>495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529</v>
      </c>
      <c r="CM236" s="1" t="s">
        <v>530</v>
      </c>
      <c r="CN236" s="1" t="s">
        <v>706</v>
      </c>
      <c r="CO236" s="1" t="s">
        <v>85</v>
      </c>
      <c r="CP236" s="1" t="s">
        <v>629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531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337</v>
      </c>
      <c r="DC237" s="136">
        <f>((DI238*(DP238-CV242)))/DD229</f>
        <v>0.19607706784943255</v>
      </c>
      <c r="DD237" s="364" t="s">
        <v>635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64" t="s">
        <v>499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65" t="s">
        <v>638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61" t="s">
        <v>494</v>
      </c>
      <c r="F238" s="361"/>
      <c r="G238" s="361"/>
      <c r="H238" s="361"/>
      <c r="J238" s="4"/>
      <c r="K238" s="1" t="s">
        <v>529</v>
      </c>
      <c r="L238" s="1" t="s">
        <v>530</v>
      </c>
      <c r="M238" s="1" t="s">
        <v>706</v>
      </c>
      <c r="N238" s="1" t="s">
        <v>85</v>
      </c>
      <c r="O238" s="1" t="s">
        <v>629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531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6" t="s">
        <v>502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606</v>
      </c>
      <c r="DC238" s="136">
        <f>DQ233/(CW234+DD229)</f>
        <v>0.99606022128883631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606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630</v>
      </c>
      <c r="BV239" s="4"/>
      <c r="BW239" s="4"/>
      <c r="CA239" s="3" t="s">
        <v>96</v>
      </c>
      <c r="CB239" s="1" t="s">
        <v>93</v>
      </c>
      <c r="CJ239" s="356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395</v>
      </c>
      <c r="DC239" s="137">
        <f>DQ238/(CW234+DD229)</f>
        <v>0.18245854571809561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395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 x14ac:dyDescent="0.25">
      <c r="I240" s="356" t="s">
        <v>500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64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64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65"/>
      <c r="EU240" s="3" t="s">
        <v>364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630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630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555</v>
      </c>
      <c r="EV242" s="1" t="s">
        <v>89</v>
      </c>
      <c r="EW242" s="1"/>
      <c r="EX242" s="3" t="s">
        <v>91</v>
      </c>
      <c r="EY242" s="3" t="s">
        <v>87</v>
      </c>
      <c r="EZ242" s="1" t="s">
        <v>630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630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555</v>
      </c>
      <c r="EO243" s="4"/>
      <c r="EP243" s="1" t="s">
        <v>557</v>
      </c>
      <c r="EQ243" s="1" t="s">
        <v>557</v>
      </c>
      <c r="ER243" s="1" t="s">
        <v>557</v>
      </c>
    </row>
    <row r="244" spans="9:163" ht="24" customHeight="1" thickBot="1" x14ac:dyDescent="0.3">
      <c r="BW244" s="3" t="s">
        <v>454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630</v>
      </c>
      <c r="CQ244" s="4"/>
      <c r="CR244" s="4"/>
      <c r="CV244" s="3" t="s">
        <v>96</v>
      </c>
      <c r="CW244" s="1" t="s">
        <v>93</v>
      </c>
      <c r="CY244" s="4"/>
      <c r="CZ244" s="1" t="s">
        <v>557</v>
      </c>
      <c r="DA244" s="1" t="s">
        <v>557</v>
      </c>
      <c r="DB244" s="1" t="s">
        <v>557</v>
      </c>
      <c r="EO244" s="4" t="s">
        <v>60</v>
      </c>
      <c r="EP244" s="3" t="s">
        <v>556</v>
      </c>
      <c r="EQ244" s="3" t="s">
        <v>556</v>
      </c>
      <c r="ER244" s="3" t="s">
        <v>556</v>
      </c>
    </row>
    <row r="245" spans="9:163" x14ac:dyDescent="0.2">
      <c r="BO245" s="4"/>
      <c r="CY245" s="4" t="s">
        <v>60</v>
      </c>
      <c r="CZ245" s="3" t="s">
        <v>556</v>
      </c>
      <c r="DA245" s="3" t="s">
        <v>556</v>
      </c>
      <c r="DB245" s="3" t="s">
        <v>556</v>
      </c>
      <c r="EO245" s="3" t="s">
        <v>18</v>
      </c>
      <c r="EP245" s="83">
        <f>ED238</f>
        <v>897.50495218664253</v>
      </c>
      <c r="EQ245" s="83">
        <f>EY238+EE157</f>
        <v>897.50495218664241</v>
      </c>
      <c r="ER245" s="3">
        <f>EP245-EQ245</f>
        <v>0</v>
      </c>
    </row>
    <row r="246" spans="9:163" ht="18" customHeight="1" x14ac:dyDescent="0.25">
      <c r="BI246" s="313"/>
      <c r="BJ246" s="313"/>
      <c r="BK246" s="361" t="s">
        <v>453</v>
      </c>
      <c r="BL246" s="361"/>
      <c r="BM246" s="361"/>
      <c r="BN246" s="361"/>
      <c r="BO246" s="313"/>
      <c r="BP246" s="1"/>
      <c r="BQ246" s="3" t="s">
        <v>534</v>
      </c>
      <c r="BR246" s="1" t="s">
        <v>529</v>
      </c>
      <c r="BS246" s="1" t="s">
        <v>706</v>
      </c>
      <c r="BT246" s="1" t="s">
        <v>85</v>
      </c>
      <c r="BU246" s="1" t="s">
        <v>629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531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(2*DI237)+(4*DI238)+(2*ED240)</f>
        <v>31404.116564962875</v>
      </c>
      <c r="EQ246" s="83">
        <f>(EY237*2)+(4*EY238)+(2*EE156)+(4*EE157)+(2*EE159)+(2*EY240)</f>
        <v>31404.116564962871</v>
      </c>
      <c r="ER246" s="3">
        <f t="shared" ref="ER246" si="145">EP246-EQ246</f>
        <v>0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533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2*ED239</f>
        <v>147.83147366020734</v>
      </c>
      <c r="EQ247" s="83">
        <f>(2*EY239)+(2*EE158)</f>
        <v>147.83147366020731</v>
      </c>
      <c r="ER247" s="3">
        <f>EP247-EQ247</f>
        <v>0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479" t="s">
        <v>180</v>
      </c>
      <c r="EP248" s="83">
        <f>ED240</f>
        <v>40.578575518840545</v>
      </c>
      <c r="EQ248" s="83">
        <f>EY240+EE159</f>
        <v>40.578575518840537</v>
      </c>
      <c r="ER248" s="3">
        <f>EP248-EQ248</f>
        <v>0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630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503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529</v>
      </c>
      <c r="CM253" s="1" t="s">
        <v>530</v>
      </c>
      <c r="CN253" s="1" t="s">
        <v>706</v>
      </c>
      <c r="CO253" s="1" t="s">
        <v>85</v>
      </c>
      <c r="CP253" s="1" t="s">
        <v>629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531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503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630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503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529</v>
      </c>
      <c r="CM269" s="1" t="s">
        <v>530</v>
      </c>
      <c r="CN269" s="1" t="s">
        <v>706</v>
      </c>
      <c r="CO269" s="1" t="s">
        <v>85</v>
      </c>
      <c r="CP269" s="1" t="s">
        <v>629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531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676</v>
      </c>
      <c r="CK271" s="17" t="s">
        <v>646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 x14ac:dyDescent="0.25">
      <c r="CJ272" s="393"/>
      <c r="CK272" s="3" t="s">
        <v>647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 x14ac:dyDescent="0.25">
      <c r="CJ273" s="393"/>
      <c r="CK273" s="3" t="s">
        <v>648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 x14ac:dyDescent="0.25">
      <c r="CJ274" s="393"/>
      <c r="CK274" s="3" t="s">
        <v>660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 x14ac:dyDescent="0.25">
      <c r="CJ275" s="393"/>
      <c r="CK275" s="3" t="s">
        <v>667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 x14ac:dyDescent="0.25">
      <c r="CJ276" s="393"/>
      <c r="CK276" s="3" t="s">
        <v>669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 x14ac:dyDescent="0.25">
      <c r="CJ277" s="393"/>
      <c r="CK277" s="4" t="s">
        <v>670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630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H34" sqref="H34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418</v>
      </c>
      <c r="I6" s="271" t="s">
        <v>418</v>
      </c>
    </row>
    <row r="7" spans="4:9" ht="19" x14ac:dyDescent="0.25">
      <c r="D7" s="395" t="s">
        <v>417</v>
      </c>
      <c r="E7" s="214" t="s">
        <v>542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419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542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543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420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00" t="s">
        <v>349</v>
      </c>
      <c r="E13" s="214" t="s">
        <v>542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420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419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348</v>
      </c>
      <c r="E16" s="214" t="s">
        <v>419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420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528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545</v>
      </c>
      <c r="F23" s="3" t="s">
        <v>544</v>
      </c>
      <c r="G23" s="3" t="s">
        <v>609</v>
      </c>
    </row>
    <row r="24" spans="4:9" x14ac:dyDescent="0.2">
      <c r="E24" s="201" t="s">
        <v>542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53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554</v>
      </c>
      <c r="AT1" s="256"/>
      <c r="AU1" s="204" t="s">
        <v>402</v>
      </c>
      <c r="AV1" s="204" t="s">
        <v>403</v>
      </c>
      <c r="AW1" s="204" t="s">
        <v>404</v>
      </c>
      <c r="AX1" s="204" t="s">
        <v>535</v>
      </c>
      <c r="AY1" s="204" t="s">
        <v>515</v>
      </c>
      <c r="AZ1" s="204" t="s">
        <v>514</v>
      </c>
      <c r="BA1" s="204" t="s">
        <v>428</v>
      </c>
      <c r="BB1" s="204" t="s">
        <v>425</v>
      </c>
      <c r="BC1" s="204" t="s">
        <v>439</v>
      </c>
      <c r="BD1" s="204" t="s">
        <v>426</v>
      </c>
      <c r="BE1" s="204" t="s">
        <v>421</v>
      </c>
      <c r="BF1" s="204" t="s">
        <v>634</v>
      </c>
      <c r="BG1" s="204" t="s">
        <v>637</v>
      </c>
      <c r="BH1" s="204" t="s">
        <v>81</v>
      </c>
      <c r="BI1" s="204" t="s">
        <v>414</v>
      </c>
      <c r="BN1" s="256"/>
      <c r="BO1" s="204" t="s">
        <v>402</v>
      </c>
      <c r="BP1" s="204" t="s">
        <v>403</v>
      </c>
      <c r="BQ1" s="204" t="s">
        <v>404</v>
      </c>
      <c r="BR1" s="204" t="s">
        <v>535</v>
      </c>
      <c r="BS1" s="204" t="s">
        <v>515</v>
      </c>
      <c r="BT1" s="204" t="s">
        <v>514</v>
      </c>
      <c r="BU1" s="204" t="s">
        <v>428</v>
      </c>
      <c r="BV1" s="204" t="s">
        <v>425</v>
      </c>
      <c r="BW1" s="204" t="s">
        <v>439</v>
      </c>
      <c r="BX1" s="204" t="s">
        <v>426</v>
      </c>
      <c r="BY1" s="204" t="s">
        <v>421</v>
      </c>
      <c r="BZ1" s="204" t="s">
        <v>634</v>
      </c>
      <c r="CA1" s="204" t="s">
        <v>637</v>
      </c>
      <c r="CB1" s="204" t="s">
        <v>81</v>
      </c>
      <c r="CC1" s="204" t="s">
        <v>414</v>
      </c>
    </row>
    <row r="2" spans="2:81" x14ac:dyDescent="0.2">
      <c r="B2" s="201" t="s">
        <v>410</v>
      </c>
      <c r="C2" s="280">
        <v>1</v>
      </c>
      <c r="AT2" s="201" t="s">
        <v>410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412</v>
      </c>
      <c r="C3" s="280">
        <v>1</v>
      </c>
      <c r="AT3" s="201" t="s">
        <v>412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412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413</v>
      </c>
      <c r="C4" s="280">
        <v>1</v>
      </c>
      <c r="AT4" s="201" t="s">
        <v>413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413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432</v>
      </c>
      <c r="C5" s="280">
        <v>1</v>
      </c>
      <c r="AT5" s="201" t="s">
        <v>432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432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454</v>
      </c>
      <c r="C6" s="280">
        <v>1</v>
      </c>
      <c r="AM6" s="201"/>
      <c r="AT6" s="201" t="s">
        <v>454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454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546</v>
      </c>
      <c r="C7" s="280">
        <v>1</v>
      </c>
      <c r="AM7" s="201"/>
      <c r="AT7" s="201" t="s">
        <v>546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546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547</v>
      </c>
      <c r="C8" s="280">
        <v>1</v>
      </c>
      <c r="AM8" s="201"/>
      <c r="AT8" s="201" t="s">
        <v>547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547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491</v>
      </c>
      <c r="C9" s="280">
        <v>1</v>
      </c>
      <c r="AM9" s="201"/>
      <c r="AT9" s="201" t="s">
        <v>491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491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539</v>
      </c>
      <c r="C10" s="280">
        <v>1</v>
      </c>
      <c r="AM10" s="201"/>
      <c r="AT10" s="201" t="s">
        <v>539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539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522</v>
      </c>
      <c r="C11" s="280">
        <v>1</v>
      </c>
      <c r="AT11" s="202" t="s">
        <v>522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522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489</v>
      </c>
      <c r="C12" s="280">
        <v>1</v>
      </c>
      <c r="AT12" s="201" t="s">
        <v>489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489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492</v>
      </c>
      <c r="C13" s="280">
        <v>1</v>
      </c>
      <c r="AT13" s="202" t="s">
        <v>492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492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517</v>
      </c>
      <c r="C14" s="280">
        <v>1</v>
      </c>
      <c r="AT14" s="201" t="s">
        <v>517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517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510</v>
      </c>
      <c r="C15" s="280">
        <v>1</v>
      </c>
      <c r="AT15" s="203" t="s">
        <v>510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496</v>
      </c>
      <c r="C16" s="280">
        <v>1</v>
      </c>
      <c r="AT16" s="201" t="s">
        <v>496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496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521</v>
      </c>
      <c r="C17" s="280">
        <v>1</v>
      </c>
      <c r="AT17" s="202" t="s">
        <v>521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521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516</v>
      </c>
      <c r="C18" s="280">
        <v>1</v>
      </c>
      <c r="AT18" s="202" t="s">
        <v>516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516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513</v>
      </c>
      <c r="C19" s="280">
        <v>1</v>
      </c>
      <c r="AT19" s="202" t="s">
        <v>513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513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519</v>
      </c>
      <c r="C20" s="280">
        <v>1</v>
      </c>
      <c r="AT20" s="202" t="s">
        <v>519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519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518</v>
      </c>
      <c r="C21" s="280">
        <v>1</v>
      </c>
      <c r="AT21" s="203" t="s">
        <v>518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518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504</v>
      </c>
      <c r="C22" s="280">
        <v>1</v>
      </c>
      <c r="AT22" s="203" t="s">
        <v>504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504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536</v>
      </c>
      <c r="C23" s="280">
        <v>1</v>
      </c>
      <c r="AT23" s="203" t="s">
        <v>536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536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505</v>
      </c>
      <c r="C24" s="280">
        <v>1</v>
      </c>
      <c r="AT24" s="203" t="s">
        <v>505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505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507</v>
      </c>
      <c r="C25" s="280">
        <v>1</v>
      </c>
      <c r="AT25" s="203" t="s">
        <v>507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507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506</v>
      </c>
      <c r="C26" s="280">
        <v>1</v>
      </c>
      <c r="AT26" s="203" t="s">
        <v>506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506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601</v>
      </c>
      <c r="C27" s="280">
        <v>1</v>
      </c>
      <c r="AT27" s="203" t="s">
        <v>601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601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502</v>
      </c>
      <c r="C28" s="280">
        <v>1</v>
      </c>
      <c r="AT28" s="249" t="s">
        <v>502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502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676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676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501</v>
      </c>
      <c r="C30" s="280">
        <v>1</v>
      </c>
      <c r="AT30" s="203" t="s">
        <v>501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501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503</v>
      </c>
      <c r="C31" s="280">
        <v>1</v>
      </c>
      <c r="AT31" s="201" t="s">
        <v>503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503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499</v>
      </c>
      <c r="C32" s="280">
        <v>1</v>
      </c>
      <c r="AT32" s="203" t="s">
        <v>635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635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638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638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525</v>
      </c>
      <c r="C34" s="280">
        <v>1</v>
      </c>
      <c r="AT34" s="203" t="s">
        <v>525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525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526</v>
      </c>
      <c r="C35" s="280">
        <v>1</v>
      </c>
      <c r="AT35" s="203" t="s">
        <v>526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526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527</v>
      </c>
      <c r="C36" s="280">
        <v>1</v>
      </c>
      <c r="AT36" s="203" t="s">
        <v>527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527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537</v>
      </c>
      <c r="C37" s="280">
        <v>1</v>
      </c>
      <c r="AT37" s="203" t="s">
        <v>537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537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553</v>
      </c>
      <c r="AT38" s="203"/>
      <c r="AU38" s="405" t="s">
        <v>550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551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402</v>
      </c>
      <c r="AV41" s="204" t="s">
        <v>403</v>
      </c>
      <c r="AW41" s="204" t="s">
        <v>404</v>
      </c>
      <c r="AX41" s="204" t="s">
        <v>535</v>
      </c>
      <c r="AY41" s="204" t="s">
        <v>515</v>
      </c>
      <c r="AZ41" s="204" t="s">
        <v>514</v>
      </c>
      <c r="BA41" s="204" t="s">
        <v>428</v>
      </c>
      <c r="BB41" s="204" t="s">
        <v>425</v>
      </c>
      <c r="BC41" s="204" t="s">
        <v>439</v>
      </c>
      <c r="BD41" s="204" t="s">
        <v>426</v>
      </c>
      <c r="BE41" s="204" t="s">
        <v>421</v>
      </c>
      <c r="BF41" s="204" t="s">
        <v>634</v>
      </c>
      <c r="BG41" s="204" t="s">
        <v>637</v>
      </c>
      <c r="BH41" s="204" t="s">
        <v>81</v>
      </c>
      <c r="BI41" s="204" t="s">
        <v>414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410</v>
      </c>
      <c r="AU42" s="280">
        <f>AU87</f>
        <v>109233.7126431732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412</v>
      </c>
      <c r="AU43" s="280">
        <f t="shared" ref="AU43:AU68" si="1">AU88</f>
        <v>0</v>
      </c>
      <c r="AV43" s="280">
        <f t="shared" ref="AV43:BI43" si="2">AV88</f>
        <v>25394.240916408646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413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8851059.7091535721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432</v>
      </c>
      <c r="AU45" s="280">
        <f t="shared" si="1"/>
        <v>236.0188688118763</v>
      </c>
      <c r="AV45" s="280">
        <f t="shared" ref="AV45:BI45" si="4">AV90</f>
        <v>0.70761030268572533</v>
      </c>
      <c r="AW45" s="280">
        <f t="shared" si="4"/>
        <v>58.434372046010559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5043.1561155210738</v>
      </c>
      <c r="BE45" s="280">
        <f t="shared" si="4"/>
        <v>27357.025657382623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22325.965032153523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454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546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547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491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539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522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109233.7126431732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489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492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25394.240916408646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517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510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8856308.1430966556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496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521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109233.7126431732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516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25394.240916408646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513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8856308.1430966556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519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88965.799815334409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518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504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25394.240916408646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536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8856308.1430966556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505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507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506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601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502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4027024.8231933108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676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501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503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635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4044220.3273382401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638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2830954.2291367673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525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6688312.3779436089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526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527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537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552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402</v>
      </c>
      <c r="AV86" s="204" t="s">
        <v>403</v>
      </c>
      <c r="AW86" s="204" t="s">
        <v>404</v>
      </c>
      <c r="AX86" s="204" t="s">
        <v>535</v>
      </c>
      <c r="AY86" s="204" t="s">
        <v>515</v>
      </c>
      <c r="AZ86" s="204" t="s">
        <v>514</v>
      </c>
      <c r="BA86" s="204" t="s">
        <v>428</v>
      </c>
      <c r="BB86" s="204" t="s">
        <v>425</v>
      </c>
      <c r="BC86" s="204" t="s">
        <v>439</v>
      </c>
      <c r="BD86" s="204" t="s">
        <v>426</v>
      </c>
      <c r="BE86" s="204" t="s">
        <v>421</v>
      </c>
      <c r="BF86" s="204" t="s">
        <v>634</v>
      </c>
      <c r="BG86" s="204" t="s">
        <v>637</v>
      </c>
      <c r="BH86" s="204" t="s">
        <v>81</v>
      </c>
      <c r="BI86" s="204" t="s">
        <v>414</v>
      </c>
      <c r="BN86" s="204"/>
      <c r="BO86" s="204" t="s">
        <v>408</v>
      </c>
      <c r="BP86" s="204" t="s">
        <v>352</v>
      </c>
    </row>
    <row r="87" spans="36:81" x14ac:dyDescent="0.2">
      <c r="AJ87" s="201"/>
      <c r="AK87" s="201"/>
      <c r="AT87" s="201" t="s">
        <v>410</v>
      </c>
      <c r="AU87" s="227">
        <f>Ore_to_PI!$V$42</f>
        <v>109233.7126431732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109233.7126431732</v>
      </c>
      <c r="BN87" s="201" t="s">
        <v>410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412</v>
      </c>
      <c r="AU88" s="227"/>
      <c r="AV88" s="227">
        <f>Ore_to_PI!$V$126</f>
        <v>25394.240916408646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25394.240916408646</v>
      </c>
      <c r="BN88" s="201" t="s">
        <v>412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413</v>
      </c>
      <c r="AU89" s="227"/>
      <c r="AV89" s="227"/>
      <c r="AW89" s="227">
        <f>Ore_to_PI!$V$206</f>
        <v>8851059.7091535721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8851059.7091535721</v>
      </c>
      <c r="BN89" s="201" t="s">
        <v>413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432</v>
      </c>
      <c r="AU90" s="227">
        <f>Ore_to_PI!V72</f>
        <v>236.0188688118763</v>
      </c>
      <c r="AV90" s="227">
        <f>Ore_to_PI!V163</f>
        <v>0.70761030268572533</v>
      </c>
      <c r="AW90" s="227">
        <f>Ore_to_PI!V236</f>
        <v>58.434372046010559</v>
      </c>
      <c r="AX90" s="227"/>
      <c r="AY90" s="227"/>
      <c r="AZ90" s="227"/>
      <c r="BA90" s="227"/>
      <c r="BB90" s="227"/>
      <c r="BC90" s="227"/>
      <c r="BD90" s="227">
        <f>Ore_to_PI!CB140</f>
        <v>5043.1561155210738</v>
      </c>
      <c r="BE90" s="227">
        <f>Ore_to_PI!CB232</f>
        <v>27357.025657382623</v>
      </c>
      <c r="BF90" s="227"/>
      <c r="BG90" s="227"/>
      <c r="BH90" s="227"/>
      <c r="BI90" s="239">
        <f>Ore_to_PI!EM140</f>
        <v>22325.965032153523</v>
      </c>
      <c r="BJ90" s="248">
        <f t="shared" si="47"/>
        <v>55021.307656217788</v>
      </c>
      <c r="BN90" s="201" t="s">
        <v>432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454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454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546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546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547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547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491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491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539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539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522</v>
      </c>
      <c r="AU96" s="227"/>
      <c r="AV96" s="227"/>
      <c r="AW96" s="227"/>
      <c r="AX96" s="227">
        <f>Ore_to_PI!$AO$42</f>
        <v>109233.7126431732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109233.7126431732</v>
      </c>
      <c r="BN96" s="202" t="s">
        <v>522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489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489</v>
      </c>
      <c r="BO97" s="240"/>
      <c r="BP97" s="240">
        <f>Ore_to_PI!AO63</f>
        <v>2418.6577581793781</v>
      </c>
      <c r="BQ97" s="248">
        <f t="shared" si="49"/>
        <v>2418.6577581793781</v>
      </c>
    </row>
    <row r="98" spans="36:74" ht="16" x14ac:dyDescent="0.2">
      <c r="AJ98" s="203"/>
      <c r="AK98" s="203"/>
      <c r="AT98" s="202" t="s">
        <v>492</v>
      </c>
      <c r="AU98" s="227"/>
      <c r="AV98" s="227"/>
      <c r="AW98" s="227"/>
      <c r="AX98" s="227"/>
      <c r="AY98" s="227">
        <f>Ore_to_PI!$AP$126</f>
        <v>25394.240916408646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25394.240916408646</v>
      </c>
      <c r="BN98" s="202" t="s">
        <v>492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517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517</v>
      </c>
      <c r="BO99" s="240"/>
      <c r="BP99" s="240">
        <f>Ore_to_PI!AP142</f>
        <v>7.2399197950896488</v>
      </c>
      <c r="BQ99" s="248">
        <f t="shared" si="49"/>
        <v>7.2399197950896488</v>
      </c>
    </row>
    <row r="100" spans="36:74" x14ac:dyDescent="0.2">
      <c r="AJ100" s="203"/>
      <c r="AK100" s="203"/>
      <c r="AT100" s="203" t="s">
        <v>510</v>
      </c>
      <c r="AU100" s="227"/>
      <c r="AV100" s="227"/>
      <c r="AW100" s="227"/>
      <c r="AX100" s="227"/>
      <c r="AY100" s="227"/>
      <c r="AZ100" s="227">
        <f>Ore_to_PI!$AP$206</f>
        <v>8856308.1430966556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8856308.1430966556</v>
      </c>
      <c r="BN100" s="203" t="s">
        <v>510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496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496</v>
      </c>
      <c r="BO101" s="240"/>
      <c r="BP101" s="240">
        <f>Ore_to_PI!AP227</f>
        <v>598.81969608995871</v>
      </c>
      <c r="BQ101" s="248">
        <f t="shared" si="49"/>
        <v>598.81969608995871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521</v>
      </c>
      <c r="AU102" s="227"/>
      <c r="AV102" s="227"/>
      <c r="AW102" s="227"/>
      <c r="AX102" s="227"/>
      <c r="AY102" s="227"/>
      <c r="AZ102" s="227"/>
      <c r="BA102" s="227">
        <f>Ore_to_PI!$BH$42</f>
        <v>109233.7126431732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109233.7126431732</v>
      </c>
      <c r="BN102" s="202" t="s">
        <v>521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516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25394.240916408646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25394.240916408646</v>
      </c>
      <c r="BN103" s="202" t="s">
        <v>516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513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8856308.1430966556</v>
      </c>
      <c r="BD104" s="227"/>
      <c r="BE104" s="227"/>
      <c r="BF104" s="227"/>
      <c r="BG104" s="227"/>
      <c r="BH104" s="227"/>
      <c r="BI104" s="227"/>
      <c r="BJ104" s="248">
        <f t="shared" si="47"/>
        <v>8856308.1430966556</v>
      </c>
      <c r="BN104" s="202" t="s">
        <v>513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519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88965.799815334409</v>
      </c>
      <c r="BI105" s="227"/>
      <c r="BJ105" s="248">
        <f t="shared" si="47"/>
        <v>88965.799815334409</v>
      </c>
      <c r="BN105" s="202" t="s">
        <v>519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518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518</v>
      </c>
      <c r="BO106" s="240"/>
      <c r="BP106" s="240">
        <f>Ore_to_PI!CA55</f>
        <v>21743.416787545681</v>
      </c>
      <c r="BQ106" s="248">
        <f t="shared" si="50"/>
        <v>21743.416787545681</v>
      </c>
    </row>
    <row r="107" spans="36:74" x14ac:dyDescent="0.2">
      <c r="AJ107" s="203"/>
      <c r="AK107" s="203"/>
      <c r="AT107" s="203" t="s">
        <v>504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25394.240916408646</v>
      </c>
      <c r="BE107" s="227"/>
      <c r="BF107" s="227"/>
      <c r="BG107" s="227"/>
      <c r="BH107" s="227"/>
      <c r="BI107" s="227"/>
      <c r="BJ107" s="248">
        <f t="shared" si="47"/>
        <v>25394.240916408646</v>
      </c>
      <c r="BN107" s="203" t="s">
        <v>504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536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8856308.1430966556</v>
      </c>
      <c r="BF108" s="227"/>
      <c r="BG108" s="227"/>
      <c r="BH108" s="227"/>
      <c r="BI108" s="227"/>
      <c r="BJ108" s="248">
        <f t="shared" si="47"/>
        <v>8856308.1430966556</v>
      </c>
      <c r="BN108" s="203" t="s">
        <v>536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505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505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507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507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506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506</v>
      </c>
      <c r="BO111" s="240"/>
      <c r="BP111" s="240">
        <f>Ore_to_PI!CW138</f>
        <v>92081.792209341191</v>
      </c>
      <c r="BQ111" s="248">
        <f t="shared" si="50"/>
        <v>92081.792209341191</v>
      </c>
    </row>
    <row r="112" spans="36:74" x14ac:dyDescent="0.2">
      <c r="AJ112" s="203"/>
      <c r="AK112" s="203"/>
      <c r="AT112" s="203" t="s">
        <v>601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601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502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4027024.8231933108</v>
      </c>
      <c r="BG113" s="227"/>
      <c r="BH113" s="227"/>
      <c r="BI113" s="227"/>
      <c r="BJ113" s="248">
        <f t="shared" si="47"/>
        <v>4027024.8231933108</v>
      </c>
      <c r="BN113" s="249" t="s">
        <v>502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676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676</v>
      </c>
      <c r="BO114" s="240"/>
      <c r="BP114" s="240">
        <f>Ore_to_PI!CW267</f>
        <v>955653.18009036488</v>
      </c>
      <c r="BQ114" s="248">
        <f t="shared" si="50"/>
        <v>955653.18009036488</v>
      </c>
    </row>
    <row r="115" spans="5:69" x14ac:dyDescent="0.2">
      <c r="AJ115" s="203"/>
      <c r="AK115" s="203"/>
      <c r="AT115" s="203" t="s">
        <v>501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501</v>
      </c>
      <c r="BO115" s="240"/>
      <c r="BP115" s="240">
        <f>Ore_to_PI!CW218</f>
        <v>9078.7224010297414</v>
      </c>
      <c r="BQ115" s="248">
        <f t="shared" si="50"/>
        <v>9078.7224010297414</v>
      </c>
    </row>
    <row r="116" spans="5:69" x14ac:dyDescent="0.2">
      <c r="AJ116" s="203"/>
      <c r="AK116" s="203"/>
      <c r="AT116" s="201" t="s">
        <v>503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503</v>
      </c>
      <c r="BO116" s="240"/>
      <c r="BP116" s="240">
        <f>Ore_to_PI!CW251</f>
        <v>325339.45293214149</v>
      </c>
      <c r="BQ116" s="248">
        <f t="shared" si="50"/>
        <v>325339.45293214149</v>
      </c>
    </row>
    <row r="117" spans="5:69" x14ac:dyDescent="0.2">
      <c r="AJ117" s="203"/>
      <c r="AK117" s="203"/>
      <c r="AT117" s="203" t="s">
        <v>635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4044220.3273382401</v>
      </c>
      <c r="BH117" s="227"/>
      <c r="BI117" s="239"/>
      <c r="BJ117" s="248">
        <f t="shared" si="47"/>
        <v>4044220.3273382401</v>
      </c>
      <c r="BN117" s="203" t="s">
        <v>635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638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2830954.2291367673</v>
      </c>
      <c r="BJ118" s="248">
        <f t="shared" si="47"/>
        <v>2830954.2291367673</v>
      </c>
      <c r="BN118" s="203" t="s">
        <v>636</v>
      </c>
      <c r="BO118" s="240">
        <f>Ore_to_PI!$FG$233</f>
        <v>1213266.0982014721</v>
      </c>
      <c r="BP118" s="240"/>
      <c r="BQ118" s="248">
        <f t="shared" si="50"/>
        <v>1213266.0982014721</v>
      </c>
    </row>
    <row r="119" spans="5:69" x14ac:dyDescent="0.2">
      <c r="AJ119" s="203"/>
      <c r="AK119" s="203"/>
      <c r="AT119" s="203" t="s">
        <v>525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6688312.3779436089</v>
      </c>
      <c r="BJ119" s="248">
        <f t="shared" si="47"/>
        <v>6688312.3779436089</v>
      </c>
      <c r="BN119" s="203" t="s">
        <v>525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526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526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527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527</v>
      </c>
      <c r="BO121" s="240"/>
      <c r="BP121" s="240">
        <f>Ore_to_PI!FM141</f>
        <v>424855.37186650094</v>
      </c>
      <c r="BQ121" s="248">
        <f t="shared" si="50"/>
        <v>424855.37186650094</v>
      </c>
    </row>
    <row r="122" spans="5:69" x14ac:dyDescent="0.2">
      <c r="AJ122" s="203"/>
      <c r="AK122" s="203"/>
      <c r="AT122" s="203" t="s">
        <v>537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537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405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446</v>
      </c>
      <c r="BO123" s="405" t="s">
        <v>407</v>
      </c>
      <c r="BP123" s="405"/>
      <c r="BQ123" s="25" t="s">
        <v>458</v>
      </c>
    </row>
    <row r="124" spans="5:69" x14ac:dyDescent="0.2">
      <c r="AJ124" s="203"/>
      <c r="AK124" s="203"/>
      <c r="AT124" s="203"/>
      <c r="AU124" s="248">
        <f>SUM(AU87:AU122)</f>
        <v>203615.93865263887</v>
      </c>
      <c r="AV124" s="248">
        <f>SUM(AV87:AV122)</f>
        <v>25677.018753453132</v>
      </c>
      <c r="AW124" s="248">
        <f>SUM(AW87:AW122)</f>
        <v>8955043.5590230841</v>
      </c>
      <c r="AX124" s="248">
        <f t="shared" ref="AX124:BI124" si="51">SUM(AX87:AX122)</f>
        <v>719025.96440252138</v>
      </c>
      <c r="AY124" s="248">
        <f t="shared" si="51"/>
        <v>28219.126564153565</v>
      </c>
      <c r="AZ124" s="248">
        <f t="shared" si="51"/>
        <v>8856590.2718676869</v>
      </c>
      <c r="BA124" s="248">
        <f t="shared" si="51"/>
        <v>121859.81146951189</v>
      </c>
      <c r="BB124" s="248">
        <f t="shared" si="51"/>
        <v>25428.919011572762</v>
      </c>
      <c r="BC124" s="248">
        <f t="shared" si="51"/>
        <v>8856358.501180809</v>
      </c>
      <c r="BD124" s="248">
        <f t="shared" si="51"/>
        <v>1981513.8726146785</v>
      </c>
      <c r="BE124" s="248">
        <f t="shared" si="51"/>
        <v>19467444.052330792</v>
      </c>
      <c r="BF124" s="248">
        <f t="shared" si="51"/>
        <v>4060216.682587008</v>
      </c>
      <c r="BG124" s="248">
        <f t="shared" si="51"/>
        <v>4044220.3273382401</v>
      </c>
      <c r="BH124" s="248">
        <f t="shared" si="51"/>
        <v>6739270.4970332785</v>
      </c>
      <c r="BI124" s="248">
        <f t="shared" si="51"/>
        <v>12219080.249060091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445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410</v>
      </c>
      <c r="G126" s="204" t="s">
        <v>412</v>
      </c>
      <c r="H126" s="204" t="s">
        <v>413</v>
      </c>
      <c r="I126" s="204" t="s">
        <v>432</v>
      </c>
      <c r="J126" s="204" t="s">
        <v>454</v>
      </c>
      <c r="K126" s="204" t="s">
        <v>546</v>
      </c>
      <c r="L126" s="204" t="s">
        <v>547</v>
      </c>
      <c r="M126" s="204" t="s">
        <v>491</v>
      </c>
      <c r="N126" s="204" t="s">
        <v>539</v>
      </c>
      <c r="O126" s="206" t="s">
        <v>522</v>
      </c>
      <c r="P126" s="204" t="s">
        <v>489</v>
      </c>
      <c r="Q126" s="206" t="s">
        <v>492</v>
      </c>
      <c r="R126" s="204" t="s">
        <v>517</v>
      </c>
      <c r="S126" s="207" t="s">
        <v>510</v>
      </c>
      <c r="T126" s="204" t="s">
        <v>496</v>
      </c>
      <c r="U126" s="206" t="s">
        <v>521</v>
      </c>
      <c r="V126" s="206" t="s">
        <v>516</v>
      </c>
      <c r="W126" s="206" t="s">
        <v>513</v>
      </c>
      <c r="X126" s="206" t="s">
        <v>519</v>
      </c>
      <c r="Y126" s="207" t="s">
        <v>518</v>
      </c>
      <c r="Z126" s="207" t="s">
        <v>504</v>
      </c>
      <c r="AA126" s="207" t="s">
        <v>536</v>
      </c>
      <c r="AB126" s="207" t="s">
        <v>505</v>
      </c>
      <c r="AC126" s="207" t="s">
        <v>507</v>
      </c>
      <c r="AD126" s="207" t="s">
        <v>506</v>
      </c>
      <c r="AE126" s="207" t="s">
        <v>601</v>
      </c>
      <c r="AF126" s="229" t="s">
        <v>502</v>
      </c>
      <c r="AG126" s="229" t="s">
        <v>676</v>
      </c>
      <c r="AH126" s="207" t="s">
        <v>501</v>
      </c>
      <c r="AI126" s="204" t="s">
        <v>503</v>
      </c>
      <c r="AJ126" s="207" t="s">
        <v>635</v>
      </c>
      <c r="AK126" s="207" t="s">
        <v>638</v>
      </c>
      <c r="AL126" s="207" t="s">
        <v>525</v>
      </c>
      <c r="AM126" s="207" t="s">
        <v>526</v>
      </c>
      <c r="AN126" s="207" t="s">
        <v>527</v>
      </c>
      <c r="AO126" s="207" t="s">
        <v>537</v>
      </c>
    </row>
    <row r="127" spans="5:69" x14ac:dyDescent="0.2">
      <c r="E127" s="201" t="s">
        <v>402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109233.7126431732</v>
      </c>
      <c r="P127" s="227">
        <f>Ore_to_PI!AO63</f>
        <v>2418.6577581793781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111652.37040135259</v>
      </c>
    </row>
    <row r="128" spans="5:69" x14ac:dyDescent="0.2">
      <c r="E128" s="201" t="s">
        <v>403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25394.240916408646</v>
      </c>
      <c r="R128" s="227">
        <f>Ore_to_PI!AP142</f>
        <v>7.2399197950896488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25401.480836203737</v>
      </c>
    </row>
    <row r="129" spans="5:68" x14ac:dyDescent="0.2">
      <c r="E129" s="201" t="s">
        <v>404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8856308.1430966556</v>
      </c>
      <c r="T129" s="227">
        <f>Ore_to_PI!AP227</f>
        <v>598.81969608995871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8856906.9627927449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535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109233.7126431732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109233.7126431732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515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25394.240916408646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25394.240916408646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8856308.1430966556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8856308.1430966556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428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88965.799815334409</v>
      </c>
      <c r="Y133" s="227">
        <f>Ore_to_PI!CA55</f>
        <v>21743.416787545681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110709.21660288009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25394.240916408646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25394.240916408646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439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8856308.1430966556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8856308.1430966556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92081.792209341191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341837.11946918681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4027024.8231933108</v>
      </c>
      <c r="AG137" s="227">
        <f>Ore_to_PI!CW267</f>
        <v>955653.18009036488</v>
      </c>
      <c r="AH137" s="227">
        <f>Ore_to_PI!CW218</f>
        <v>9078.7224010297414</v>
      </c>
      <c r="AI137" s="227">
        <f>Ore_to_PI!CW251</f>
        <v>325339.45293214149</v>
      </c>
      <c r="AJ137" s="227"/>
      <c r="AK137" s="227"/>
      <c r="AL137" s="227"/>
      <c r="AM137" s="227"/>
      <c r="AN137" s="227"/>
      <c r="AO137" s="227"/>
      <c r="AP137" s="248">
        <f t="shared" si="52"/>
        <v>11725384.799755016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634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4044220.3273382401</v>
      </c>
      <c r="AK138" s="227"/>
      <c r="AL138" s="227"/>
      <c r="AM138" s="227"/>
      <c r="AN138" s="227"/>
      <c r="AO138" s="227"/>
      <c r="AP138" s="248">
        <f t="shared" si="52"/>
        <v>4044220.3273382401</v>
      </c>
    </row>
    <row r="139" spans="5:68" x14ac:dyDescent="0.2">
      <c r="E139" s="201" t="s">
        <v>637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4044220.3273382401</v>
      </c>
      <c r="AL139" s="227"/>
      <c r="AM139" s="227"/>
      <c r="AN139" s="227"/>
      <c r="AO139" s="227"/>
      <c r="AP139" s="248">
        <f t="shared" si="52"/>
        <v>4044220.3273382401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6688312.3779436089</v>
      </c>
      <c r="AM140" s="227"/>
      <c r="AN140" s="227"/>
      <c r="AO140" s="227"/>
      <c r="AP140" s="248">
        <f t="shared" si="52"/>
        <v>6688312.3779436089</v>
      </c>
    </row>
    <row r="141" spans="5:68" x14ac:dyDescent="0.2">
      <c r="E141" s="201" t="s">
        <v>414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424855.37186650094</v>
      </c>
      <c r="AO141" s="227">
        <f>Ore_to_PI!FM104</f>
        <v>67875.356217847453</v>
      </c>
      <c r="AP141" s="248">
        <f t="shared" si="52"/>
        <v>4650626.026547228</v>
      </c>
    </row>
    <row r="142" spans="5:68" x14ac:dyDescent="0.2">
      <c r="E142" s="201"/>
      <c r="F142" s="405" t="s">
        <v>406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442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109233.7126431732</v>
      </c>
      <c r="P143" s="248">
        <f t="shared" si="53"/>
        <v>2418.6577581793781</v>
      </c>
      <c r="Q143" s="248">
        <f t="shared" si="53"/>
        <v>25394.240916408646</v>
      </c>
      <c r="R143" s="248">
        <f t="shared" si="53"/>
        <v>7.2399197950896488</v>
      </c>
      <c r="S143" s="248">
        <f t="shared" si="53"/>
        <v>8856308.1430966556</v>
      </c>
      <c r="T143" s="248">
        <f t="shared" si="53"/>
        <v>598.81969608995871</v>
      </c>
      <c r="U143" s="248">
        <f t="shared" si="53"/>
        <v>109233.7126431732</v>
      </c>
      <c r="V143" s="248">
        <f t="shared" si="53"/>
        <v>25394.240916408646</v>
      </c>
      <c r="W143" s="248">
        <f t="shared" si="53"/>
        <v>8856308.1430966556</v>
      </c>
      <c r="X143" s="248">
        <f t="shared" si="53"/>
        <v>88965.799815334409</v>
      </c>
      <c r="Y143" s="248">
        <f t="shared" si="53"/>
        <v>21743.416787545681</v>
      </c>
      <c r="Z143" s="248">
        <f t="shared" si="53"/>
        <v>25394.240916408646</v>
      </c>
      <c r="AA143" s="248">
        <f t="shared" si="53"/>
        <v>8856308.1430966556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92081.792209341191</v>
      </c>
      <c r="AE143" s="248">
        <f t="shared" si="53"/>
        <v>6408288.6211381694</v>
      </c>
      <c r="AF143" s="248">
        <f t="shared" si="53"/>
        <v>4027024.8231933108</v>
      </c>
      <c r="AG143" s="248">
        <f t="shared" si="53"/>
        <v>955653.18009036488</v>
      </c>
      <c r="AH143" s="248">
        <f t="shared" si="53"/>
        <v>9078.7224010297414</v>
      </c>
      <c r="AI143" s="248">
        <f t="shared" si="53"/>
        <v>325339.45293214149</v>
      </c>
      <c r="AJ143" s="248">
        <f t="shared" si="53"/>
        <v>4044220.3273382401</v>
      </c>
      <c r="AK143" s="248">
        <f t="shared" si="53"/>
        <v>4044220.3273382401</v>
      </c>
      <c r="AL143" s="248">
        <f t="shared" si="53"/>
        <v>6688312.3779436089</v>
      </c>
      <c r="AM143" s="248">
        <f t="shared" si="53"/>
        <v>4157895.2984628798</v>
      </c>
      <c r="AN143" s="248">
        <f t="shared" si="53"/>
        <v>424855.37186650094</v>
      </c>
      <c r="AO143" s="248">
        <f t="shared" si="53"/>
        <v>67875.356217847453</v>
      </c>
    </row>
    <row r="144" spans="5:68" x14ac:dyDescent="0.2">
      <c r="E144" s="201"/>
      <c r="F144" s="405" t="s">
        <v>443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410</v>
      </c>
      <c r="G155" s="204" t="s">
        <v>412</v>
      </c>
      <c r="H155" s="204" t="s">
        <v>413</v>
      </c>
      <c r="I155" s="204" t="s">
        <v>432</v>
      </c>
      <c r="J155" s="204" t="s">
        <v>454</v>
      </c>
      <c r="K155" s="204" t="s">
        <v>546</v>
      </c>
      <c r="L155" s="204" t="s">
        <v>547</v>
      </c>
      <c r="M155" s="204" t="s">
        <v>491</v>
      </c>
      <c r="N155" s="204" t="s">
        <v>539</v>
      </c>
      <c r="O155" s="206" t="s">
        <v>522</v>
      </c>
      <c r="P155" s="204" t="s">
        <v>489</v>
      </c>
      <c r="Q155" s="206" t="s">
        <v>492</v>
      </c>
      <c r="R155" s="204" t="s">
        <v>517</v>
      </c>
      <c r="S155" s="207" t="s">
        <v>510</v>
      </c>
      <c r="T155" s="204" t="s">
        <v>496</v>
      </c>
      <c r="U155" s="206" t="s">
        <v>521</v>
      </c>
      <c r="V155" s="206" t="s">
        <v>516</v>
      </c>
      <c r="W155" s="206" t="s">
        <v>513</v>
      </c>
      <c r="X155" s="206" t="s">
        <v>519</v>
      </c>
      <c r="Y155" s="207" t="s">
        <v>518</v>
      </c>
      <c r="Z155" s="207" t="s">
        <v>504</v>
      </c>
      <c r="AA155" s="207" t="s">
        <v>536</v>
      </c>
      <c r="AB155" s="207" t="s">
        <v>505</v>
      </c>
      <c r="AC155" s="207" t="s">
        <v>507</v>
      </c>
      <c r="AD155" s="207" t="s">
        <v>506</v>
      </c>
      <c r="AE155" s="207" t="s">
        <v>601</v>
      </c>
      <c r="AF155" s="229" t="s">
        <v>502</v>
      </c>
      <c r="AG155" s="229" t="s">
        <v>676</v>
      </c>
      <c r="AH155" s="207" t="s">
        <v>501</v>
      </c>
      <c r="AI155" s="204" t="s">
        <v>503</v>
      </c>
      <c r="AJ155" s="207" t="s">
        <v>635</v>
      </c>
      <c r="AK155" s="207" t="s">
        <v>638</v>
      </c>
      <c r="AL155" s="207" t="s">
        <v>525</v>
      </c>
      <c r="AM155" s="207" t="s">
        <v>526</v>
      </c>
      <c r="AN155" s="207" t="s">
        <v>527</v>
      </c>
      <c r="AO155" s="207" t="s">
        <v>537</v>
      </c>
      <c r="AP155" s="207"/>
      <c r="AQ155" s="207"/>
    </row>
    <row r="156" spans="5:43" x14ac:dyDescent="0.2">
      <c r="E156" s="201" t="s">
        <v>409</v>
      </c>
      <c r="F156" s="240">
        <f>Ore_to_PI!V42</f>
        <v>109233.7126431732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411</v>
      </c>
      <c r="F157" s="240"/>
      <c r="G157" s="240">
        <f>Ore_to_PI!V126</f>
        <v>25394.240916408646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433</v>
      </c>
      <c r="F158" s="240"/>
      <c r="G158" s="240"/>
      <c r="H158" s="240">
        <f>Ore_to_PI!V206</f>
        <v>8851059.7091535721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457</v>
      </c>
      <c r="F159" s="240"/>
      <c r="G159" s="240"/>
      <c r="H159" s="240"/>
      <c r="I159" s="246">
        <f>Ore_to_PI!V236+Ore_to_PI!V163+Ore_to_PI!V72+Ore_to_PI!CB232+Ore_to_PI!CB140+Ore_to_PI!EM140</f>
        <v>55021.307656217788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453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549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109233.7126431732</v>
      </c>
      <c r="G166" s="248">
        <f t="shared" si="54"/>
        <v>25394.240916408646</v>
      </c>
      <c r="H166" s="248">
        <f t="shared" si="54"/>
        <v>8851059.7091535721</v>
      </c>
      <c r="I166" s="248">
        <f t="shared" si="54"/>
        <v>55021.307656217788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444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541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410</v>
      </c>
      <c r="F174" s="248" cm="1">
        <f t="array" ref="F174:F209">TRANSPOSE((F166:AO166))</f>
        <v>109233.7126431732</v>
      </c>
      <c r="H174" s="248" cm="1">
        <f t="array" ref="H174:H209">TRANSPOSE(F143:AO143)</f>
        <v>0</v>
      </c>
      <c r="J174" s="248">
        <f t="shared" ref="J174:J200" si="55">BJ87</f>
        <v>109233.7126431732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412</v>
      </c>
      <c r="F175" s="248">
        <v>25394.240916408646</v>
      </c>
      <c r="H175" s="248">
        <v>0</v>
      </c>
      <c r="J175" s="248">
        <f t="shared" si="55"/>
        <v>25394.240916408646</v>
      </c>
      <c r="L175" s="248">
        <v>0</v>
      </c>
      <c r="N175" s="295">
        <f>F175+H175-J175-L175</f>
        <v>0</v>
      </c>
    </row>
    <row r="176" spans="5:47" x14ac:dyDescent="0.2">
      <c r="E176" s="201" t="s">
        <v>413</v>
      </c>
      <c r="F176" s="248">
        <v>8851059.7091535721</v>
      </c>
      <c r="H176" s="248">
        <v>0</v>
      </c>
      <c r="J176" s="248">
        <f t="shared" si="55"/>
        <v>8851059.7091535721</v>
      </c>
      <c r="L176" s="248">
        <v>0</v>
      </c>
      <c r="N176" s="295">
        <f>F176+H176-J176-L176</f>
        <v>0</v>
      </c>
    </row>
    <row r="177" spans="5:14" x14ac:dyDescent="0.2">
      <c r="E177" s="201" t="s">
        <v>432</v>
      </c>
      <c r="F177" s="248">
        <v>55021.307656217788</v>
      </c>
      <c r="H177" s="248">
        <v>0</v>
      </c>
      <c r="J177" s="248">
        <f t="shared" si="55"/>
        <v>55021.307656217788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454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546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547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491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539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522</v>
      </c>
      <c r="F183" s="248">
        <v>0</v>
      </c>
      <c r="H183" s="248">
        <v>109233.7126431732</v>
      </c>
      <c r="J183" s="248">
        <f t="shared" si="55"/>
        <v>109233.7126431732</v>
      </c>
      <c r="L183" s="248">
        <v>0</v>
      </c>
      <c r="N183" s="295">
        <f t="shared" si="56"/>
        <v>0</v>
      </c>
    </row>
    <row r="184" spans="5:14" x14ac:dyDescent="0.2">
      <c r="E184" s="201" t="s">
        <v>489</v>
      </c>
      <c r="F184" s="248">
        <v>0</v>
      </c>
      <c r="H184" s="248">
        <v>2418.6577581793781</v>
      </c>
      <c r="J184" s="248">
        <f t="shared" si="55"/>
        <v>0</v>
      </c>
      <c r="L184" s="248">
        <v>2418.6577581793781</v>
      </c>
      <c r="N184" s="295">
        <f t="shared" si="56"/>
        <v>0</v>
      </c>
    </row>
    <row r="185" spans="5:14" ht="16" x14ac:dyDescent="0.2">
      <c r="E185" s="202" t="s">
        <v>492</v>
      </c>
      <c r="F185" s="248">
        <v>0</v>
      </c>
      <c r="H185" s="248">
        <v>25394.240916408646</v>
      </c>
      <c r="J185" s="248">
        <f t="shared" si="55"/>
        <v>25394.240916408646</v>
      </c>
      <c r="L185" s="248">
        <v>0</v>
      </c>
      <c r="N185" s="295">
        <f t="shared" si="56"/>
        <v>0</v>
      </c>
    </row>
    <row r="186" spans="5:14" x14ac:dyDescent="0.2">
      <c r="E186" s="201" t="s">
        <v>517</v>
      </c>
      <c r="F186" s="248">
        <v>0</v>
      </c>
      <c r="H186" s="248">
        <v>7.2399197950896488</v>
      </c>
      <c r="J186" s="248">
        <f t="shared" si="55"/>
        <v>0</v>
      </c>
      <c r="L186" s="248">
        <v>7.2399197950896488</v>
      </c>
      <c r="N186" s="295">
        <f t="shared" si="56"/>
        <v>0</v>
      </c>
    </row>
    <row r="187" spans="5:14" x14ac:dyDescent="0.2">
      <c r="E187" s="203" t="s">
        <v>510</v>
      </c>
      <c r="F187" s="248">
        <v>0</v>
      </c>
      <c r="G187" s="255" t="s">
        <v>448</v>
      </c>
      <c r="H187" s="248">
        <v>8856308.1430966556</v>
      </c>
      <c r="I187" s="169" t="s">
        <v>450</v>
      </c>
      <c r="J187" s="248">
        <f t="shared" si="55"/>
        <v>8856308.1430966556</v>
      </c>
      <c r="K187" s="169" t="s">
        <v>450</v>
      </c>
      <c r="L187" s="248">
        <v>0</v>
      </c>
      <c r="M187" s="255" t="s">
        <v>451</v>
      </c>
      <c r="N187" s="295">
        <f t="shared" si="56"/>
        <v>0</v>
      </c>
    </row>
    <row r="188" spans="5:14" x14ac:dyDescent="0.2">
      <c r="E188" s="201" t="s">
        <v>496</v>
      </c>
      <c r="F188" s="248">
        <v>0</v>
      </c>
      <c r="H188" s="248">
        <v>598.81969608995871</v>
      </c>
      <c r="J188" s="248">
        <f t="shared" si="55"/>
        <v>0</v>
      </c>
      <c r="L188" s="248">
        <v>598.81969608995871</v>
      </c>
      <c r="N188" s="295">
        <f t="shared" si="56"/>
        <v>0</v>
      </c>
    </row>
    <row r="189" spans="5:14" ht="16" x14ac:dyDescent="0.2">
      <c r="E189" s="202" t="s">
        <v>521</v>
      </c>
      <c r="F189" s="248">
        <v>0</v>
      </c>
      <c r="H189" s="248">
        <v>109233.7126431732</v>
      </c>
      <c r="J189" s="248">
        <f t="shared" si="55"/>
        <v>109233.7126431732</v>
      </c>
      <c r="L189" s="248">
        <v>0</v>
      </c>
      <c r="N189" s="295">
        <f t="shared" si="56"/>
        <v>0</v>
      </c>
    </row>
    <row r="190" spans="5:14" ht="16" x14ac:dyDescent="0.2">
      <c r="E190" s="202" t="s">
        <v>516</v>
      </c>
      <c r="F190" s="248">
        <v>0</v>
      </c>
      <c r="H190" s="248">
        <v>25394.240916408646</v>
      </c>
      <c r="J190" s="248">
        <f t="shared" si="55"/>
        <v>25394.240916408646</v>
      </c>
      <c r="L190" s="248">
        <v>0</v>
      </c>
      <c r="N190" s="295">
        <f t="shared" si="56"/>
        <v>0</v>
      </c>
    </row>
    <row r="191" spans="5:14" ht="16" x14ac:dyDescent="0.2">
      <c r="E191" s="202" t="s">
        <v>513</v>
      </c>
      <c r="F191" s="248">
        <v>0</v>
      </c>
      <c r="H191" s="248">
        <v>8856308.1430966556</v>
      </c>
      <c r="J191" s="248">
        <f t="shared" si="55"/>
        <v>8856308.1430966556</v>
      </c>
      <c r="L191" s="248">
        <v>0</v>
      </c>
      <c r="N191" s="295">
        <f t="shared" si="56"/>
        <v>0</v>
      </c>
    </row>
    <row r="192" spans="5:14" ht="16" x14ac:dyDescent="0.2">
      <c r="E192" s="202" t="s">
        <v>519</v>
      </c>
      <c r="F192" s="248">
        <v>0</v>
      </c>
      <c r="H192" s="248">
        <v>88965.799815334409</v>
      </c>
      <c r="J192" s="248">
        <f t="shared" si="55"/>
        <v>88965.799815334409</v>
      </c>
      <c r="L192" s="248">
        <v>0</v>
      </c>
      <c r="N192" s="295">
        <f t="shared" si="56"/>
        <v>0</v>
      </c>
    </row>
    <row r="193" spans="5:22" x14ac:dyDescent="0.2">
      <c r="E193" s="203" t="s">
        <v>518</v>
      </c>
      <c r="F193" s="248">
        <v>0</v>
      </c>
      <c r="H193" s="248">
        <v>21743.416787545681</v>
      </c>
      <c r="J193" s="248">
        <f t="shared" si="55"/>
        <v>0</v>
      </c>
      <c r="L193" s="248">
        <v>21743.416787545681</v>
      </c>
      <c r="N193" s="295">
        <f t="shared" si="56"/>
        <v>0</v>
      </c>
    </row>
    <row r="194" spans="5:22" x14ac:dyDescent="0.2">
      <c r="E194" s="203" t="s">
        <v>504</v>
      </c>
      <c r="F194" s="248">
        <v>0</v>
      </c>
      <c r="H194" s="248">
        <v>25394.240916408646</v>
      </c>
      <c r="J194" s="248">
        <f t="shared" si="55"/>
        <v>25394.240916408646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536</v>
      </c>
      <c r="F195" s="248">
        <v>0</v>
      </c>
      <c r="H195" s="248">
        <v>8856308.1430966556</v>
      </c>
      <c r="J195" s="248">
        <f t="shared" si="55"/>
        <v>8856308.1430966556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505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507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506</v>
      </c>
      <c r="F198" s="248">
        <v>0</v>
      </c>
      <c r="H198" s="248">
        <v>92081.792209341191</v>
      </c>
      <c r="J198" s="248">
        <f t="shared" si="55"/>
        <v>0</v>
      </c>
      <c r="L198" s="248">
        <v>92081.792209341191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601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502</v>
      </c>
      <c r="F200" s="248">
        <v>0</v>
      </c>
      <c r="H200" s="248">
        <v>4027024.8231933108</v>
      </c>
      <c r="J200" s="248">
        <f t="shared" si="55"/>
        <v>4027024.8231933108</v>
      </c>
      <c r="L200" s="248">
        <v>0</v>
      </c>
      <c r="N200" s="295">
        <f t="shared" si="57"/>
        <v>0</v>
      </c>
    </row>
    <row r="201" spans="5:22" ht="16" x14ac:dyDescent="0.2">
      <c r="E201" s="249" t="s">
        <v>676</v>
      </c>
      <c r="F201" s="248">
        <v>0</v>
      </c>
      <c r="H201" s="248">
        <v>955653.18009036488</v>
      </c>
      <c r="J201" s="248">
        <f t="shared" ref="J201:J209" si="58">BJ114</f>
        <v>0</v>
      </c>
      <c r="L201" s="248">
        <v>955653.18009036488</v>
      </c>
      <c r="N201" s="295">
        <f t="shared" si="57"/>
        <v>0</v>
      </c>
    </row>
    <row r="202" spans="5:22" x14ac:dyDescent="0.2">
      <c r="E202" s="203" t="s">
        <v>501</v>
      </c>
      <c r="F202" s="248">
        <v>0</v>
      </c>
      <c r="H202" s="248">
        <v>9078.7224010297414</v>
      </c>
      <c r="J202" s="248">
        <f t="shared" si="58"/>
        <v>0</v>
      </c>
      <c r="L202" s="248">
        <v>9078.7224010297414</v>
      </c>
      <c r="N202" s="295">
        <f t="shared" si="57"/>
        <v>0</v>
      </c>
      <c r="O202" s="25"/>
    </row>
    <row r="203" spans="5:22" x14ac:dyDescent="0.2">
      <c r="E203" s="201" t="s">
        <v>503</v>
      </c>
      <c r="F203" s="248">
        <v>0</v>
      </c>
      <c r="H203" s="248">
        <v>325339.45293214149</v>
      </c>
      <c r="J203" s="248">
        <f t="shared" si="58"/>
        <v>0</v>
      </c>
      <c r="L203" s="248">
        <v>325339.45293214149</v>
      </c>
      <c r="N203" s="295">
        <f t="shared" si="57"/>
        <v>0</v>
      </c>
    </row>
    <row r="204" spans="5:22" x14ac:dyDescent="0.2">
      <c r="E204" s="203" t="s">
        <v>635</v>
      </c>
      <c r="F204" s="248">
        <v>0</v>
      </c>
      <c r="H204" s="248">
        <v>4044220.3273382401</v>
      </c>
      <c r="J204" s="248">
        <f t="shared" si="58"/>
        <v>4044220.3273382401</v>
      </c>
      <c r="L204" s="248">
        <v>0</v>
      </c>
      <c r="N204" s="295">
        <f t="shared" si="57"/>
        <v>0</v>
      </c>
    </row>
    <row r="205" spans="5:22" x14ac:dyDescent="0.2">
      <c r="E205" s="203" t="s">
        <v>638</v>
      </c>
      <c r="F205" s="248">
        <v>0</v>
      </c>
      <c r="H205" s="248">
        <v>4044220.3273382401</v>
      </c>
      <c r="J205" s="248">
        <f t="shared" si="58"/>
        <v>2830954.2291367673</v>
      </c>
      <c r="L205" s="248">
        <v>1213266.0982014721</v>
      </c>
      <c r="N205" s="295">
        <f t="shared" si="57"/>
        <v>0</v>
      </c>
    </row>
    <row r="206" spans="5:22" x14ac:dyDescent="0.2">
      <c r="E206" s="203" t="s">
        <v>525</v>
      </c>
      <c r="F206" s="248">
        <v>0</v>
      </c>
      <c r="H206" s="248">
        <v>6688312.3779436089</v>
      </c>
      <c r="J206" s="248">
        <f t="shared" si="58"/>
        <v>6688312.3779436089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526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527</v>
      </c>
      <c r="F208" s="248">
        <v>0</v>
      </c>
      <c r="H208" s="248">
        <v>424855.37186650094</v>
      </c>
      <c r="J208" s="248">
        <f t="shared" si="58"/>
        <v>0</v>
      </c>
      <c r="L208" s="248">
        <v>424855.37186650094</v>
      </c>
      <c r="N208" s="295">
        <f t="shared" si="57"/>
        <v>0</v>
      </c>
    </row>
    <row r="209" spans="5:18" x14ac:dyDescent="0.2">
      <c r="E209" s="203" t="s">
        <v>537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447</v>
      </c>
      <c r="H210" s="3" t="s">
        <v>449</v>
      </c>
      <c r="J210" s="25" t="s">
        <v>446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607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402</v>
      </c>
      <c r="F216" s="248" cm="1">
        <f t="array" ref="F216:F230">TRANSPOSE((AU124:BI124))</f>
        <v>203615.93865263887</v>
      </c>
      <c r="H216" s="248">
        <f t="shared" ref="H216:H230" si="59">AP127</f>
        <v>111652.37040135259</v>
      </c>
      <c r="J216" s="248">
        <f>F216-H216</f>
        <v>91963.568251286284</v>
      </c>
    </row>
    <row r="217" spans="5:18" x14ac:dyDescent="0.2">
      <c r="E217" s="201" t="s">
        <v>403</v>
      </c>
      <c r="F217" s="248">
        <v>25677.018753453132</v>
      </c>
      <c r="H217" s="248">
        <f t="shared" si="59"/>
        <v>25401.480836203737</v>
      </c>
      <c r="J217" s="248">
        <f t="shared" ref="J217:J230" si="60">F217-H217</f>
        <v>275.53791724939583</v>
      </c>
      <c r="Q217" s="241"/>
      <c r="R217" s="241"/>
    </row>
    <row r="218" spans="5:18" x14ac:dyDescent="0.2">
      <c r="E218" s="201" t="s">
        <v>404</v>
      </c>
      <c r="F218" s="248">
        <v>8955043.5590230841</v>
      </c>
      <c r="H218" s="248">
        <f t="shared" si="59"/>
        <v>8856906.9627927449</v>
      </c>
      <c r="J218" s="248">
        <f t="shared" si="60"/>
        <v>98136.596230339259</v>
      </c>
    </row>
    <row r="219" spans="5:18" x14ac:dyDescent="0.2">
      <c r="E219" s="201" t="s">
        <v>535</v>
      </c>
      <c r="F219" s="248">
        <v>719025.96440252138</v>
      </c>
      <c r="G219" s="250"/>
      <c r="H219" s="248">
        <f t="shared" si="59"/>
        <v>109233.7126431732</v>
      </c>
      <c r="I219" s="250"/>
      <c r="J219" s="248">
        <f t="shared" si="60"/>
        <v>609792.2517593482</v>
      </c>
    </row>
    <row r="220" spans="5:18" x14ac:dyDescent="0.2">
      <c r="E220" s="201" t="s">
        <v>515</v>
      </c>
      <c r="F220" s="248">
        <v>28219.126564153565</v>
      </c>
      <c r="H220" s="248">
        <f t="shared" si="59"/>
        <v>25394.240916408646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514</v>
      </c>
      <c r="F221" s="248">
        <v>8856590.2718676869</v>
      </c>
      <c r="H221" s="248">
        <f t="shared" si="59"/>
        <v>8856308.1430966556</v>
      </c>
      <c r="J221" s="248">
        <f t="shared" si="60"/>
        <v>282.12877103127539</v>
      </c>
    </row>
    <row r="222" spans="5:18" x14ac:dyDescent="0.2">
      <c r="E222" s="201" t="s">
        <v>428</v>
      </c>
      <c r="F222" s="248">
        <v>121859.81146951189</v>
      </c>
      <c r="H222" s="248">
        <f t="shared" si="59"/>
        <v>110709.21660288009</v>
      </c>
      <c r="J222" s="248">
        <f t="shared" si="60"/>
        <v>11150.5948666318</v>
      </c>
    </row>
    <row r="223" spans="5:18" x14ac:dyDescent="0.2">
      <c r="E223" s="201" t="s">
        <v>425</v>
      </c>
      <c r="F223" s="248">
        <v>25428.919011572762</v>
      </c>
      <c r="G223" s="169" t="s">
        <v>455</v>
      </c>
      <c r="H223" s="248">
        <f t="shared" si="59"/>
        <v>25394.240916408646</v>
      </c>
      <c r="I223" s="169" t="s">
        <v>451</v>
      </c>
      <c r="J223" s="248">
        <f t="shared" si="60"/>
        <v>34.678095164115803</v>
      </c>
    </row>
    <row r="224" spans="5:18" x14ac:dyDescent="0.2">
      <c r="E224" s="201" t="s">
        <v>439</v>
      </c>
      <c r="F224" s="248">
        <v>8856358.501180809</v>
      </c>
      <c r="H224" s="248">
        <f t="shared" si="59"/>
        <v>8856308.1430966556</v>
      </c>
      <c r="J224" s="248">
        <f t="shared" si="60"/>
        <v>50.35808415338397</v>
      </c>
    </row>
    <row r="225" spans="5:14" x14ac:dyDescent="0.2">
      <c r="E225" s="201" t="s">
        <v>426</v>
      </c>
      <c r="F225" s="248">
        <v>1981513.8726146785</v>
      </c>
      <c r="H225" s="248">
        <f t="shared" si="59"/>
        <v>341837.11946918681</v>
      </c>
      <c r="J225" s="248">
        <f t="shared" si="60"/>
        <v>1639676.7531454917</v>
      </c>
    </row>
    <row r="226" spans="5:14" x14ac:dyDescent="0.2">
      <c r="E226" s="201" t="s">
        <v>421</v>
      </c>
      <c r="F226" s="248">
        <v>19467444.052330792</v>
      </c>
      <c r="H226" s="248">
        <f t="shared" si="59"/>
        <v>11725384.799755016</v>
      </c>
      <c r="J226" s="248">
        <f t="shared" si="60"/>
        <v>7742059.2525757756</v>
      </c>
    </row>
    <row r="227" spans="5:14" x14ac:dyDescent="0.2">
      <c r="E227" s="201" t="s">
        <v>634</v>
      </c>
      <c r="F227" s="248">
        <v>4060216.682587008</v>
      </c>
      <c r="H227" s="248">
        <f t="shared" si="59"/>
        <v>4044220.3273382401</v>
      </c>
      <c r="J227" s="248">
        <f t="shared" si="60"/>
        <v>15996.355248767883</v>
      </c>
    </row>
    <row r="228" spans="5:14" x14ac:dyDescent="0.2">
      <c r="E228" s="201" t="s">
        <v>637</v>
      </c>
      <c r="F228" s="248">
        <v>4044220.3273382401</v>
      </c>
      <c r="H228" s="248">
        <f t="shared" si="59"/>
        <v>4044220.3273382401</v>
      </c>
      <c r="J228" s="248">
        <f t="shared" si="60"/>
        <v>0</v>
      </c>
    </row>
    <row r="229" spans="5:14" x14ac:dyDescent="0.2">
      <c r="E229" s="201" t="s">
        <v>81</v>
      </c>
      <c r="F229" s="248">
        <v>6739270.4970332785</v>
      </c>
      <c r="H229" s="248">
        <f t="shared" si="59"/>
        <v>6688312.3779436089</v>
      </c>
      <c r="J229" s="248">
        <f t="shared" si="60"/>
        <v>50958.119089669548</v>
      </c>
    </row>
    <row r="230" spans="5:14" x14ac:dyDescent="0.2">
      <c r="E230" s="201" t="s">
        <v>414</v>
      </c>
      <c r="F230" s="248">
        <v>12219080.249060091</v>
      </c>
      <c r="G230" s="169"/>
      <c r="H230" s="248">
        <f t="shared" si="59"/>
        <v>4650626.026547228</v>
      </c>
      <c r="J230" s="248">
        <f t="shared" si="60"/>
        <v>7568454.2225128626</v>
      </c>
    </row>
    <row r="231" spans="5:14" x14ac:dyDescent="0.2">
      <c r="E231" s="203"/>
      <c r="F231" s="169" t="s">
        <v>445</v>
      </c>
      <c r="G231" s="169"/>
      <c r="H231" s="169" t="s">
        <v>442</v>
      </c>
      <c r="I231" s="169"/>
      <c r="J231" s="169" t="s">
        <v>456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558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437</v>
      </c>
      <c r="BD1" s="204" t="s">
        <v>637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637</v>
      </c>
      <c r="BX1" s="204" t="s">
        <v>81</v>
      </c>
      <c r="BY1" s="204" t="s">
        <v>414</v>
      </c>
    </row>
    <row r="2" spans="2:77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676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676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499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525</v>
      </c>
      <c r="C33" s="280">
        <v>1</v>
      </c>
      <c r="AQ33" s="203" t="s">
        <v>638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638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526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527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553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637</v>
      </c>
      <c r="BE41" s="204" t="s">
        <v>81</v>
      </c>
      <c r="BF41" s="204" t="s">
        <v>414</v>
      </c>
    </row>
    <row r="42" spans="2:77" x14ac:dyDescent="0.2">
      <c r="AQ42" s="201" t="s">
        <v>410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412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432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546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547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676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501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503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635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638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525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526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527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537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637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432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454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546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546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547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491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539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522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522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489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492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517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510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496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521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516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513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519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518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504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536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505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507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506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601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502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676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676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501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503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635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638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638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525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526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527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537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410</v>
      </c>
      <c r="D123" s="204" t="s">
        <v>412</v>
      </c>
      <c r="E123" s="204" t="s">
        <v>413</v>
      </c>
      <c r="F123" s="204" t="s">
        <v>432</v>
      </c>
      <c r="G123" s="204" t="s">
        <v>454</v>
      </c>
      <c r="H123" s="204" t="s">
        <v>487</v>
      </c>
      <c r="I123" s="204" t="s">
        <v>546</v>
      </c>
      <c r="J123" s="204" t="s">
        <v>547</v>
      </c>
      <c r="K123" s="204" t="s">
        <v>539</v>
      </c>
      <c r="L123" s="206" t="s">
        <v>522</v>
      </c>
      <c r="M123" s="204" t="s">
        <v>489</v>
      </c>
      <c r="N123" s="206" t="s">
        <v>492</v>
      </c>
      <c r="O123" s="204" t="s">
        <v>517</v>
      </c>
      <c r="P123" s="207" t="s">
        <v>510</v>
      </c>
      <c r="Q123" s="204" t="s">
        <v>496</v>
      </c>
      <c r="R123" s="206" t="s">
        <v>521</v>
      </c>
      <c r="S123" s="206" t="s">
        <v>516</v>
      </c>
      <c r="T123" s="206" t="s">
        <v>513</v>
      </c>
      <c r="U123" s="206" t="s">
        <v>519</v>
      </c>
      <c r="V123" s="207" t="s">
        <v>518</v>
      </c>
      <c r="W123" s="207" t="s">
        <v>504</v>
      </c>
      <c r="X123" s="207" t="s">
        <v>536</v>
      </c>
      <c r="Y123" s="207" t="s">
        <v>505</v>
      </c>
      <c r="Z123" s="207" t="s">
        <v>507</v>
      </c>
      <c r="AA123" s="207" t="s">
        <v>506</v>
      </c>
      <c r="AB123" s="207" t="s">
        <v>601</v>
      </c>
      <c r="AC123" s="229" t="s">
        <v>502</v>
      </c>
      <c r="AD123" s="229" t="s">
        <v>676</v>
      </c>
      <c r="AE123" s="207" t="s">
        <v>501</v>
      </c>
      <c r="AF123" s="204" t="s">
        <v>503</v>
      </c>
      <c r="AG123" s="207" t="s">
        <v>635</v>
      </c>
      <c r="AH123" s="207" t="s">
        <v>638</v>
      </c>
      <c r="AI123" s="207" t="s">
        <v>525</v>
      </c>
      <c r="AJ123" s="207" t="s">
        <v>526</v>
      </c>
      <c r="AK123" s="207" t="s">
        <v>527</v>
      </c>
      <c r="AL123" s="207" t="s">
        <v>537</v>
      </c>
      <c r="AQ123" s="203"/>
      <c r="BL123" s="25"/>
      <c r="BM123" s="25"/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515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428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634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637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414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406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442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443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410</v>
      </c>
      <c r="D152" s="204" t="s">
        <v>412</v>
      </c>
      <c r="E152" s="204" t="s">
        <v>413</v>
      </c>
      <c r="F152" s="204" t="s">
        <v>432</v>
      </c>
      <c r="G152" s="204" t="s">
        <v>454</v>
      </c>
      <c r="H152" s="204" t="s">
        <v>487</v>
      </c>
      <c r="I152" s="204" t="s">
        <v>546</v>
      </c>
      <c r="J152" s="204" t="s">
        <v>547</v>
      </c>
      <c r="K152" s="204" t="s">
        <v>539</v>
      </c>
      <c r="L152" s="206" t="s">
        <v>522</v>
      </c>
      <c r="M152" s="204" t="s">
        <v>489</v>
      </c>
      <c r="N152" s="206" t="s">
        <v>492</v>
      </c>
      <c r="O152" s="204" t="s">
        <v>517</v>
      </c>
      <c r="P152" s="207" t="s">
        <v>510</v>
      </c>
      <c r="Q152" s="204" t="s">
        <v>496</v>
      </c>
      <c r="R152" s="206" t="s">
        <v>521</v>
      </c>
      <c r="S152" s="206" t="s">
        <v>516</v>
      </c>
      <c r="T152" s="206" t="s">
        <v>513</v>
      </c>
      <c r="U152" s="206" t="s">
        <v>519</v>
      </c>
      <c r="V152" s="207" t="s">
        <v>518</v>
      </c>
      <c r="W152" s="207" t="s">
        <v>504</v>
      </c>
      <c r="X152" s="207" t="s">
        <v>536</v>
      </c>
      <c r="Y152" s="207" t="s">
        <v>505</v>
      </c>
      <c r="Z152" s="207" t="s">
        <v>507</v>
      </c>
      <c r="AA152" s="207" t="s">
        <v>506</v>
      </c>
      <c r="AB152" s="207" t="s">
        <v>601</v>
      </c>
      <c r="AC152" s="229" t="s">
        <v>502</v>
      </c>
      <c r="AD152" s="229" t="s">
        <v>676</v>
      </c>
      <c r="AE152" s="207" t="s">
        <v>501</v>
      </c>
      <c r="AF152" s="204" t="s">
        <v>503</v>
      </c>
      <c r="AG152" s="207" t="s">
        <v>635</v>
      </c>
      <c r="AH152" s="207" t="s">
        <v>638</v>
      </c>
      <c r="AI152" s="207" t="s">
        <v>525</v>
      </c>
      <c r="AJ152" s="207" t="s">
        <v>526</v>
      </c>
      <c r="AK152" s="207" t="s">
        <v>527</v>
      </c>
      <c r="AL152" s="207" t="s">
        <v>537</v>
      </c>
      <c r="AM152" s="207"/>
      <c r="AN152" s="207"/>
    </row>
    <row r="153" spans="2:44" x14ac:dyDescent="0.2">
      <c r="B153" s="201" t="s">
        <v>409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411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433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457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453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549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444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441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410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412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413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432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454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487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488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491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539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522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489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492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517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510</v>
      </c>
      <c r="C184" s="248">
        <v>0</v>
      </c>
      <c r="D184" s="255" t="s">
        <v>448</v>
      </c>
      <c r="E184" s="248">
        <v>298.6148747230165</v>
      </c>
      <c r="F184" s="169" t="s">
        <v>450</v>
      </c>
      <c r="G184" s="248">
        <f t="shared" si="87"/>
        <v>298.6148747230165</v>
      </c>
      <c r="H184" s="169" t="s">
        <v>450</v>
      </c>
      <c r="I184" s="248">
        <v>0</v>
      </c>
      <c r="J184" s="255" t="s">
        <v>451</v>
      </c>
      <c r="K184" s="295">
        <f t="shared" si="88"/>
        <v>0</v>
      </c>
    </row>
    <row r="185" spans="2:18" x14ac:dyDescent="0.2">
      <c r="B185" s="201" t="s">
        <v>496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521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516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513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519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518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504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536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505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507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506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601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502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676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501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503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635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638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525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526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527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537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447</v>
      </c>
      <c r="E207" s="3" t="s">
        <v>449</v>
      </c>
      <c r="G207" s="25" t="s">
        <v>446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452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402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403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404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535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515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514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428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425</v>
      </c>
      <c r="C220" s="248">
        <v>208.55560337725498</v>
      </c>
      <c r="D220" s="169" t="s">
        <v>455</v>
      </c>
      <c r="E220" s="248">
        <f t="shared" si="92"/>
        <v>208.55560337725498</v>
      </c>
      <c r="F220" s="169" t="s">
        <v>451</v>
      </c>
      <c r="G220" s="295">
        <f t="shared" si="93"/>
        <v>0</v>
      </c>
    </row>
    <row r="221" spans="2:15" x14ac:dyDescent="0.2">
      <c r="B221" s="201" t="s">
        <v>439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426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421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634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637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414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445</v>
      </c>
      <c r="D228" s="169"/>
      <c r="E228" s="169" t="s">
        <v>442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691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634</v>
      </c>
      <c r="BD1" s="204" t="s">
        <v>637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634</v>
      </c>
      <c r="BX1" s="204" t="s">
        <v>637</v>
      </c>
      <c r="BY1" s="204" t="s">
        <v>81</v>
      </c>
      <c r="BZ1" s="204" t="s">
        <v>414</v>
      </c>
    </row>
    <row r="2" spans="2:78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676</v>
      </c>
      <c r="C29" s="280">
        <v>1</v>
      </c>
      <c r="AQ29" s="249" t="s">
        <v>676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676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635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638</v>
      </c>
      <c r="C33" s="280">
        <v>1</v>
      </c>
      <c r="AQ33" s="203" t="s">
        <v>638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638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525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526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537</v>
      </c>
      <c r="C37" s="280">
        <v>1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553</v>
      </c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637</v>
      </c>
      <c r="BE41" s="204" t="s">
        <v>81</v>
      </c>
      <c r="BF41" s="204" t="s">
        <v>414</v>
      </c>
    </row>
    <row r="42" spans="2:78" x14ac:dyDescent="0.2">
      <c r="AQ42" s="201" t="s">
        <v>410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412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432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546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547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676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501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503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635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638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525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526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527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537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637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432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454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546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546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547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491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539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522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522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489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492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517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510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496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521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516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513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519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518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504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536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505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507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506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601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502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676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676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501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503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635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638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638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525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526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527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537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410</v>
      </c>
      <c r="D122" s="204" t="s">
        <v>412</v>
      </c>
      <c r="E122" s="204" t="s">
        <v>413</v>
      </c>
      <c r="F122" s="204" t="s">
        <v>432</v>
      </c>
      <c r="G122" s="204" t="s">
        <v>454</v>
      </c>
      <c r="H122" s="204" t="s">
        <v>546</v>
      </c>
      <c r="I122" s="204" t="s">
        <v>547</v>
      </c>
      <c r="J122" s="204" t="s">
        <v>491</v>
      </c>
      <c r="K122" s="204" t="s">
        <v>539</v>
      </c>
      <c r="L122" s="206" t="s">
        <v>522</v>
      </c>
      <c r="M122" s="204" t="s">
        <v>489</v>
      </c>
      <c r="N122" s="206" t="s">
        <v>492</v>
      </c>
      <c r="O122" s="204" t="s">
        <v>517</v>
      </c>
      <c r="P122" s="207" t="s">
        <v>510</v>
      </c>
      <c r="Q122" s="204" t="s">
        <v>496</v>
      </c>
      <c r="R122" s="206" t="s">
        <v>521</v>
      </c>
      <c r="S122" s="206" t="s">
        <v>516</v>
      </c>
      <c r="T122" s="206" t="s">
        <v>513</v>
      </c>
      <c r="U122" s="206" t="s">
        <v>519</v>
      </c>
      <c r="V122" s="207" t="s">
        <v>518</v>
      </c>
      <c r="W122" s="207" t="s">
        <v>504</v>
      </c>
      <c r="X122" s="207" t="s">
        <v>536</v>
      </c>
      <c r="Y122" s="207" t="s">
        <v>505</v>
      </c>
      <c r="Z122" s="207" t="s">
        <v>507</v>
      </c>
      <c r="AA122" s="207" t="s">
        <v>506</v>
      </c>
      <c r="AB122" s="207" t="s">
        <v>601</v>
      </c>
      <c r="AC122" s="229" t="s">
        <v>502</v>
      </c>
      <c r="AD122" s="229" t="s">
        <v>676</v>
      </c>
      <c r="AE122" s="207" t="s">
        <v>501</v>
      </c>
      <c r="AF122" s="204" t="s">
        <v>503</v>
      </c>
      <c r="AG122" s="207" t="s">
        <v>635</v>
      </c>
      <c r="AH122" s="207" t="s">
        <v>638</v>
      </c>
      <c r="AI122" s="207" t="s">
        <v>525</v>
      </c>
      <c r="AJ122" s="207" t="s">
        <v>526</v>
      </c>
      <c r="AK122" s="207" t="s">
        <v>527</v>
      </c>
      <c r="AL122" s="207" t="s">
        <v>537</v>
      </c>
      <c r="AM122" s="478"/>
    </row>
    <row r="123" spans="2:66" x14ac:dyDescent="0.2">
      <c r="B123" s="201" t="s">
        <v>402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 x14ac:dyDescent="0.2">
      <c r="B124" s="201" t="s">
        <v>403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 x14ac:dyDescent="0.2">
      <c r="B125" s="201" t="s">
        <v>404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535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428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634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 x14ac:dyDescent="0.2">
      <c r="B135" s="201" t="s">
        <v>637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 x14ac:dyDescent="0.2">
      <c r="B137" s="201" t="s">
        <v>414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 x14ac:dyDescent="0.2">
      <c r="B138" s="201"/>
      <c r="C138" s="405" t="s">
        <v>406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80" t="s">
        <v>442</v>
      </c>
      <c r="AN138" s="25"/>
    </row>
    <row r="139" spans="2:65" x14ac:dyDescent="0.2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 x14ac:dyDescent="0.2">
      <c r="B140" s="201"/>
      <c r="C140" s="405" t="s">
        <v>443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410</v>
      </c>
      <c r="D151" s="204" t="s">
        <v>412</v>
      </c>
      <c r="E151" s="204" t="s">
        <v>413</v>
      </c>
      <c r="F151" s="204" t="s">
        <v>432</v>
      </c>
      <c r="G151" s="204" t="s">
        <v>454</v>
      </c>
      <c r="H151" s="204" t="s">
        <v>546</v>
      </c>
      <c r="I151" s="204" t="s">
        <v>547</v>
      </c>
      <c r="J151" s="204" t="s">
        <v>491</v>
      </c>
      <c r="K151" s="204" t="s">
        <v>539</v>
      </c>
      <c r="L151" s="206" t="s">
        <v>522</v>
      </c>
      <c r="M151" s="204" t="s">
        <v>489</v>
      </c>
      <c r="N151" s="206" t="s">
        <v>492</v>
      </c>
      <c r="O151" s="204" t="s">
        <v>517</v>
      </c>
      <c r="P151" s="207" t="s">
        <v>510</v>
      </c>
      <c r="Q151" s="204" t="s">
        <v>496</v>
      </c>
      <c r="R151" s="206" t="s">
        <v>521</v>
      </c>
      <c r="S151" s="206" t="s">
        <v>516</v>
      </c>
      <c r="T151" s="206" t="s">
        <v>513</v>
      </c>
      <c r="U151" s="206" t="s">
        <v>519</v>
      </c>
      <c r="V151" s="207" t="s">
        <v>518</v>
      </c>
      <c r="W151" s="207" t="s">
        <v>504</v>
      </c>
      <c r="X151" s="207" t="s">
        <v>536</v>
      </c>
      <c r="Y151" s="207" t="s">
        <v>505</v>
      </c>
      <c r="Z151" s="207" t="s">
        <v>507</v>
      </c>
      <c r="AA151" s="207" t="s">
        <v>506</v>
      </c>
      <c r="AB151" s="207" t="s">
        <v>601</v>
      </c>
      <c r="AC151" s="229" t="s">
        <v>502</v>
      </c>
      <c r="AD151" s="229" t="s">
        <v>676</v>
      </c>
      <c r="AE151" s="207" t="s">
        <v>501</v>
      </c>
      <c r="AF151" s="204" t="s">
        <v>503</v>
      </c>
      <c r="AG151" s="207" t="s">
        <v>635</v>
      </c>
      <c r="AH151" s="207" t="s">
        <v>638</v>
      </c>
      <c r="AI151" s="207" t="s">
        <v>525</v>
      </c>
      <c r="AJ151" s="207" t="s">
        <v>526</v>
      </c>
      <c r="AK151" s="207" t="s">
        <v>527</v>
      </c>
      <c r="AL151" s="207" t="s">
        <v>537</v>
      </c>
      <c r="AM151" s="207"/>
      <c r="AN151" s="207"/>
    </row>
    <row r="152" spans="2:44" x14ac:dyDescent="0.2">
      <c r="B152" s="201" t="s">
        <v>409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411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433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457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453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549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 x14ac:dyDescent="0.2">
      <c r="C163" s="405" t="s">
        <v>444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632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410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412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 x14ac:dyDescent="0.2">
      <c r="B172" s="201" t="s">
        <v>413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 x14ac:dyDescent="0.2">
      <c r="B173" s="201" t="s">
        <v>432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 x14ac:dyDescent="0.2">
      <c r="B174" s="201" t="s">
        <v>454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639</v>
      </c>
    </row>
    <row r="175" spans="2:40" x14ac:dyDescent="0.2">
      <c r="B175" s="201" t="s">
        <v>487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639</v>
      </c>
    </row>
    <row r="176" spans="2:40" x14ac:dyDescent="0.2">
      <c r="B176" s="201" t="s">
        <v>488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 x14ac:dyDescent="0.2">
      <c r="B177" s="201" t="s">
        <v>491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 x14ac:dyDescent="0.2">
      <c r="B178" s="201" t="s">
        <v>539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6" x14ac:dyDescent="0.2">
      <c r="B179" s="202" t="s">
        <v>522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 x14ac:dyDescent="0.2">
      <c r="B180" s="201" t="s">
        <v>489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6" x14ac:dyDescent="0.2">
      <c r="B181" s="202" t="s">
        <v>492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 x14ac:dyDescent="0.2">
      <c r="B182" s="201" t="s">
        <v>517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 x14ac:dyDescent="0.2">
      <c r="B183" s="203" t="s">
        <v>510</v>
      </c>
      <c r="C183" s="248">
        <v>0</v>
      </c>
      <c r="D183" s="255" t="s">
        <v>448</v>
      </c>
      <c r="E183" s="248">
        <v>-284.89999999999998</v>
      </c>
      <c r="F183" s="169" t="s">
        <v>450</v>
      </c>
      <c r="G183" s="248">
        <f t="shared" si="18"/>
        <v>-284.89999999999998</v>
      </c>
      <c r="H183" s="169" t="s">
        <v>450</v>
      </c>
      <c r="I183" s="248">
        <v>0</v>
      </c>
      <c r="J183" s="255" t="s">
        <v>451</v>
      </c>
      <c r="K183" s="295">
        <f t="shared" si="19"/>
        <v>0</v>
      </c>
      <c r="P183" s="204"/>
    </row>
    <row r="184" spans="2:18" x14ac:dyDescent="0.2">
      <c r="B184" s="201" t="s">
        <v>496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6" x14ac:dyDescent="0.2">
      <c r="B185" s="202" t="s">
        <v>521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6" x14ac:dyDescent="0.2">
      <c r="B186" s="202" t="s">
        <v>516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6" x14ac:dyDescent="0.2">
      <c r="B187" s="202" t="s">
        <v>513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6" x14ac:dyDescent="0.2">
      <c r="B188" s="202" t="s">
        <v>519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 x14ac:dyDescent="0.2">
      <c r="B189" s="203" t="s">
        <v>518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 x14ac:dyDescent="0.2">
      <c r="B190" s="203" t="s">
        <v>504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 x14ac:dyDescent="0.2">
      <c r="B191" s="203" t="s">
        <v>536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 x14ac:dyDescent="0.2">
      <c r="B192" s="203" t="s">
        <v>505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 x14ac:dyDescent="0.2">
      <c r="B193" s="203" t="s">
        <v>507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 x14ac:dyDescent="0.2">
      <c r="B195" s="203" t="s">
        <v>601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6" x14ac:dyDescent="0.2">
      <c r="B196" s="249" t="s">
        <v>502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6" x14ac:dyDescent="0.2">
      <c r="B197" s="249" t="s">
        <v>676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 x14ac:dyDescent="0.2">
      <c r="B198" s="203" t="s">
        <v>501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 x14ac:dyDescent="0.2">
      <c r="B199" s="201" t="s">
        <v>503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 x14ac:dyDescent="0.2">
      <c r="B200" s="203" t="s">
        <v>635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 x14ac:dyDescent="0.2">
      <c r="B201" s="203" t="s">
        <v>638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639</v>
      </c>
    </row>
    <row r="202" spans="2:19" x14ac:dyDescent="0.2">
      <c r="B202" s="203" t="s">
        <v>525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 x14ac:dyDescent="0.2">
      <c r="B203" s="203" t="s">
        <v>526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 x14ac:dyDescent="0.2">
      <c r="B204" s="203" t="s">
        <v>527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 x14ac:dyDescent="0.2">
      <c r="B205" s="203" t="s">
        <v>537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7" x14ac:dyDescent="0.2">
      <c r="B206" s="203"/>
      <c r="C206" s="3" t="s">
        <v>447</v>
      </c>
      <c r="E206" s="3" t="s">
        <v>449</v>
      </c>
      <c r="G206" s="25" t="s">
        <v>446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402</v>
      </c>
      <c r="C213" s="301">
        <v>0</v>
      </c>
      <c r="N213" s="241"/>
      <c r="O213" s="241"/>
    </row>
    <row r="214" spans="2:15" x14ac:dyDescent="0.2">
      <c r="B214" s="300" t="s">
        <v>403</v>
      </c>
      <c r="C214" s="301">
        <v>0</v>
      </c>
    </row>
    <row r="215" spans="2:15" x14ac:dyDescent="0.2">
      <c r="B215" s="300" t="s">
        <v>404</v>
      </c>
      <c r="C215" s="301">
        <f>Ore_to_PI!AA195</f>
        <v>80616.370239891301</v>
      </c>
    </row>
    <row r="216" spans="2:15" x14ac:dyDescent="0.2">
      <c r="B216" s="300" t="s">
        <v>535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515</v>
      </c>
      <c r="C217" s="301">
        <f>Ore_to_PI!AS113</f>
        <v>2824.8856477449194</v>
      </c>
    </row>
    <row r="218" spans="2:15" x14ac:dyDescent="0.2">
      <c r="B218" s="300" t="s">
        <v>514</v>
      </c>
      <c r="C218" s="301">
        <f>Ore_to_PI!AS190</f>
        <v>282.1287710315147</v>
      </c>
    </row>
    <row r="219" spans="2:15" x14ac:dyDescent="0.2">
      <c r="B219" s="300" t="s">
        <v>428</v>
      </c>
      <c r="C219" s="301">
        <f>Ore_to_PI!BL35</f>
        <v>12479.249680000003</v>
      </c>
    </row>
    <row r="220" spans="2:15" x14ac:dyDescent="0.2">
      <c r="B220" s="300" t="s">
        <v>425</v>
      </c>
      <c r="C220" s="301">
        <f>Ore_to_PI!BK116</f>
        <v>34.678095164114971</v>
      </c>
    </row>
    <row r="221" spans="2:15" x14ac:dyDescent="0.2">
      <c r="B221" s="300" t="s">
        <v>439</v>
      </c>
      <c r="C221" s="301">
        <f>Ore_to_PI!BK195</f>
        <v>50.358084153937838</v>
      </c>
    </row>
    <row r="222" spans="2:15" x14ac:dyDescent="0.2">
      <c r="B222" s="300" t="s">
        <v>426</v>
      </c>
      <c r="C222" s="301">
        <v>0</v>
      </c>
    </row>
    <row r="223" spans="2:15" x14ac:dyDescent="0.2">
      <c r="B223" s="300" t="s">
        <v>421</v>
      </c>
      <c r="C223" s="301">
        <v>0</v>
      </c>
    </row>
    <row r="224" spans="2:15" x14ac:dyDescent="0.2">
      <c r="B224" s="201" t="s">
        <v>634</v>
      </c>
      <c r="C224" s="301">
        <f>Ore_to_PI!DB229</f>
        <v>33191.859393697465</v>
      </c>
    </row>
    <row r="225" spans="2:11" x14ac:dyDescent="0.2">
      <c r="B225" s="201" t="s">
        <v>637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414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baseColWidth="10" defaultRowHeight="15" x14ac:dyDescent="0.2"/>
  <sheetData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v>0.47896953999999997</v>
      </c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/>
      <c r="BF18" s="447"/>
      <c r="BG18" s="447"/>
      <c r="BH18" s="448"/>
      <c r="BI18" s="449">
        <f>SUM(AT18:BH18)</f>
        <v>0.47896953999999997</v>
      </c>
      <c r="BJ18" s="132"/>
      <c r="BK18" s="132"/>
      <c r="BL18" s="300"/>
      <c r="BM18" s="300" t="s">
        <v>410</v>
      </c>
      <c r="BN18" s="450"/>
      <c r="BO18" s="450"/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/>
      <c r="AU19" s="447">
        <v>0.18440139999999999</v>
      </c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  <c r="BG19" s="447"/>
      <c r="BH19" s="448"/>
      <c r="BI19" s="449">
        <f t="shared" ref="BI19:BI53" si="0">SUM(AT19:BH19)</f>
        <v>0.18440139999999999</v>
      </c>
      <c r="BJ19" s="132"/>
      <c r="BK19" s="132"/>
      <c r="BL19" s="300"/>
      <c r="BM19" s="300" t="s">
        <v>412</v>
      </c>
      <c r="BN19" s="450"/>
      <c r="BO19" s="450"/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/>
      <c r="AU20" s="447"/>
      <c r="AV20" s="447">
        <v>754.33705407660659</v>
      </c>
      <c r="AW20" s="447"/>
      <c r="AX20" s="447"/>
      <c r="AY20" s="447"/>
      <c r="AZ20" s="447"/>
      <c r="BA20" s="447"/>
      <c r="BB20" s="447"/>
      <c r="BC20" s="447"/>
      <c r="BD20" s="447"/>
      <c r="BE20" s="447"/>
      <c r="BF20" s="447"/>
      <c r="BG20" s="447"/>
      <c r="BH20" s="448"/>
      <c r="BI20" s="449">
        <f t="shared" si="0"/>
        <v>754.33705407660659</v>
      </c>
      <c r="BJ20" s="132"/>
      <c r="BK20" s="132"/>
      <c r="BL20" s="300"/>
      <c r="BM20" s="300" t="s">
        <v>413</v>
      </c>
      <c r="BN20" s="450"/>
      <c r="BO20" s="450"/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v>6.0012280000000001E-2</v>
      </c>
      <c r="AU21" s="447">
        <v>6.0012280000000001E-2</v>
      </c>
      <c r="AV21" s="447">
        <v>6.0012280000000001E-2</v>
      </c>
      <c r="AW21" s="447"/>
      <c r="AX21" s="447"/>
      <c r="AY21" s="447"/>
      <c r="AZ21" s="447"/>
      <c r="BA21" s="447"/>
      <c r="BB21" s="447"/>
      <c r="BC21" s="447">
        <v>6.0012280000000001E-2</v>
      </c>
      <c r="BD21" s="447">
        <v>6.0012280000000001E-2</v>
      </c>
      <c r="BE21" s="447"/>
      <c r="BF21" s="447"/>
      <c r="BG21" s="447"/>
      <c r="BH21" s="447">
        <v>6.0012280000000001E-2</v>
      </c>
      <c r="BI21" s="449">
        <f t="shared" si="0"/>
        <v>0.36007368000000006</v>
      </c>
      <c r="BJ21" s="132"/>
      <c r="BK21" s="132"/>
      <c r="BL21" s="300"/>
      <c r="BM21" s="300" t="s">
        <v>432</v>
      </c>
      <c r="BN21" s="450"/>
      <c r="BO21" s="450"/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/>
      <c r="AU22" s="447"/>
      <c r="AV22" s="447"/>
      <c r="AW22" s="447"/>
      <c r="AX22" s="447"/>
      <c r="AY22" s="447"/>
      <c r="AZ22" s="447"/>
      <c r="BA22" s="447"/>
      <c r="BB22" s="447"/>
      <c r="BC22" s="447">
        <v>1.604276E-2</v>
      </c>
      <c r="BD22" s="447">
        <v>1.604276E-2</v>
      </c>
      <c r="BE22" s="447"/>
      <c r="BF22" s="447"/>
      <c r="BG22" s="447"/>
      <c r="BH22" s="447">
        <v>1.604276E-2</v>
      </c>
      <c r="BI22" s="449">
        <f t="shared" si="0"/>
        <v>4.8128279999999996E-2</v>
      </c>
      <c r="BJ22" s="132"/>
      <c r="BK22" s="132"/>
      <c r="BL22" s="300"/>
      <c r="BM22" s="300" t="s">
        <v>454</v>
      </c>
      <c r="BN22" s="450"/>
      <c r="BO22" s="450"/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v>0.16731462</v>
      </c>
      <c r="AU23" s="447">
        <v>0.16731462</v>
      </c>
      <c r="AV23" s="447">
        <v>0.16731462</v>
      </c>
      <c r="AW23" s="447"/>
      <c r="AX23" s="447"/>
      <c r="AY23" s="447"/>
      <c r="AZ23" s="447"/>
      <c r="BA23" s="447"/>
      <c r="BB23" s="447"/>
      <c r="BC23" s="447"/>
      <c r="BD23" s="447"/>
      <c r="BE23" s="447"/>
      <c r="BF23" s="447"/>
      <c r="BG23" s="447"/>
      <c r="BH23" s="448"/>
      <c r="BI23" s="449">
        <f t="shared" si="0"/>
        <v>0.50194386000000002</v>
      </c>
      <c r="BJ23" s="132"/>
      <c r="BK23" s="132"/>
      <c r="BL23" s="300"/>
      <c r="BM23" s="300" t="s">
        <v>546</v>
      </c>
      <c r="BN23" s="450"/>
      <c r="BO23" s="450"/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/>
      <c r="AU24" s="447">
        <v>0.11423092</v>
      </c>
      <c r="AV24" s="447"/>
      <c r="AW24" s="447"/>
      <c r="AX24" s="447"/>
      <c r="AY24" s="447"/>
      <c r="AZ24" s="447"/>
      <c r="BA24" s="447"/>
      <c r="BB24" s="447"/>
      <c r="BC24" s="447"/>
      <c r="BD24" s="447"/>
      <c r="BE24" s="447"/>
      <c r="BF24" s="447"/>
      <c r="BG24" s="447"/>
      <c r="BH24" s="448"/>
      <c r="BI24" s="449">
        <f t="shared" si="0"/>
        <v>0.11423092</v>
      </c>
      <c r="BJ24" s="132"/>
      <c r="BK24" s="132"/>
      <c r="BL24" s="300"/>
      <c r="BM24" s="300" t="s">
        <v>547</v>
      </c>
      <c r="BN24" s="450"/>
      <c r="BO24" s="450"/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/>
      <c r="AU25" s="447"/>
      <c r="AV25" s="447"/>
      <c r="AW25" s="447"/>
      <c r="AX25" s="447"/>
      <c r="AY25" s="447"/>
      <c r="AZ25" s="447"/>
      <c r="BA25" s="447"/>
      <c r="BB25" s="447"/>
      <c r="BC25" s="447"/>
      <c r="BD25" s="447"/>
      <c r="BE25" s="447"/>
      <c r="BF25" s="447"/>
      <c r="BG25" s="447"/>
      <c r="BH25" s="448">
        <v>0.1402688</v>
      </c>
      <c r="BI25" s="449">
        <f t="shared" si="0"/>
        <v>0.1402688</v>
      </c>
      <c r="BJ25" s="132"/>
      <c r="BK25" s="132"/>
      <c r="BL25" s="300"/>
      <c r="BM25" s="300" t="s">
        <v>491</v>
      </c>
      <c r="BN25" s="450"/>
      <c r="BO25" s="450"/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/>
      <c r="AU26" s="447"/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/>
      <c r="BD26" s="447"/>
      <c r="BE26" s="447">
        <v>0</v>
      </c>
      <c r="BF26" s="447"/>
      <c r="BG26" s="447"/>
      <c r="BH26" s="448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/>
      <c r="BO26" s="450"/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/>
      <c r="AU27" s="447"/>
      <c r="AV27" s="447"/>
      <c r="AW27" s="447">
        <v>0.47896953999999997</v>
      </c>
      <c r="AX27" s="447"/>
      <c r="AY27" s="447"/>
      <c r="AZ27" s="447"/>
      <c r="BA27" s="447"/>
      <c r="BB27" s="447"/>
      <c r="BC27" s="447"/>
      <c r="BD27" s="447"/>
      <c r="BE27" s="447"/>
      <c r="BF27" s="447"/>
      <c r="BG27" s="447"/>
      <c r="BH27" s="448"/>
      <c r="BI27" s="449">
        <f t="shared" si="0"/>
        <v>0.47896953999999997</v>
      </c>
      <c r="BJ27" s="132"/>
      <c r="BK27" s="132"/>
      <c r="BL27" s="452"/>
      <c r="BM27" s="300" t="s">
        <v>522</v>
      </c>
      <c r="BN27" s="450"/>
      <c r="BO27" s="450"/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/>
      <c r="AU28" s="447"/>
      <c r="AV28" s="447"/>
      <c r="AW28" s="447"/>
      <c r="AX28" s="447"/>
      <c r="AY28" s="447"/>
      <c r="AZ28" s="447"/>
      <c r="BA28" s="447"/>
      <c r="BB28" s="447"/>
      <c r="BC28" s="447"/>
      <c r="BD28" s="447"/>
      <c r="BE28" s="447"/>
      <c r="BF28" s="447"/>
      <c r="BG28" s="447"/>
      <c r="BH28" s="448"/>
      <c r="BI28" s="449">
        <f t="shared" si="0"/>
        <v>0</v>
      </c>
      <c r="BJ28" s="132"/>
      <c r="BK28" s="132"/>
      <c r="BL28" s="300"/>
      <c r="BM28" s="300" t="s">
        <v>489</v>
      </c>
      <c r="BN28" s="450"/>
      <c r="BO28" s="450">
        <v>9.0038560000000004E-2</v>
      </c>
      <c r="BP28" s="303">
        <f t="shared" si="1"/>
        <v>9.0038560000000004E-2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/>
      <c r="AU29" s="447"/>
      <c r="AV29" s="447"/>
      <c r="AW29" s="447"/>
      <c r="AX29" s="447">
        <v>0.18440139999999999</v>
      </c>
      <c r="AY29" s="447"/>
      <c r="AZ29" s="447"/>
      <c r="BA29" s="447"/>
      <c r="BB29" s="447"/>
      <c r="BC29" s="447"/>
      <c r="BD29" s="447"/>
      <c r="BE29" s="447"/>
      <c r="BF29" s="447"/>
      <c r="BG29" s="447"/>
      <c r="BH29" s="448"/>
      <c r="BI29" s="449">
        <f t="shared" si="0"/>
        <v>0.18440139999999999</v>
      </c>
      <c r="BJ29" s="132"/>
      <c r="BK29" s="132"/>
      <c r="BL29" s="452"/>
      <c r="BM29" s="300" t="s">
        <v>492</v>
      </c>
      <c r="BN29" s="453"/>
      <c r="BO29" s="450"/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54"/>
      <c r="BH30" s="448"/>
      <c r="BI30" s="449">
        <f t="shared" si="0"/>
        <v>0</v>
      </c>
      <c r="BJ30" s="132"/>
      <c r="BK30" s="132"/>
      <c r="BL30" s="300"/>
      <c r="BM30" s="300" t="s">
        <v>517</v>
      </c>
      <c r="BN30" s="450"/>
      <c r="BO30" s="450">
        <v>9.0038560000000004E-2</v>
      </c>
      <c r="BP30" s="303">
        <f t="shared" si="1"/>
        <v>9.0038560000000004E-2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/>
      <c r="AU31" s="447"/>
      <c r="AV31" s="447"/>
      <c r="AW31" s="447"/>
      <c r="AX31" s="447"/>
      <c r="AY31" s="447">
        <v>754.33705407660659</v>
      </c>
      <c r="AZ31" s="447"/>
      <c r="BA31" s="447"/>
      <c r="BB31" s="447"/>
      <c r="BC31" s="447"/>
      <c r="BD31" s="447"/>
      <c r="BE31" s="447"/>
      <c r="BF31" s="447"/>
      <c r="BG31" s="447"/>
      <c r="BH31" s="455"/>
      <c r="BI31" s="449">
        <f t="shared" si="0"/>
        <v>754.33705407660659</v>
      </c>
      <c r="BJ31" s="132"/>
      <c r="BK31" s="132"/>
      <c r="BL31" s="203"/>
      <c r="BM31" s="300" t="s">
        <v>510</v>
      </c>
      <c r="BN31" s="450"/>
      <c r="BO31" s="450"/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8"/>
      <c r="BI32" s="449">
        <f t="shared" si="0"/>
        <v>0</v>
      </c>
      <c r="BJ32" s="132"/>
      <c r="BK32" s="132"/>
      <c r="BL32" s="300"/>
      <c r="BM32" s="300" t="s">
        <v>496</v>
      </c>
      <c r="BN32" s="450"/>
      <c r="BO32" s="450">
        <v>9.0038560000000004E-2</v>
      </c>
      <c r="BP32" s="303">
        <f t="shared" si="1"/>
        <v>9.0038560000000004E-2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/>
      <c r="AU33" s="447"/>
      <c r="AV33" s="447"/>
      <c r="AW33" s="447"/>
      <c r="AX33" s="447"/>
      <c r="AY33" s="447"/>
      <c r="AZ33" s="447">
        <v>0.47896953999999997</v>
      </c>
      <c r="BA33" s="447"/>
      <c r="BB33" s="447"/>
      <c r="BC33" s="447"/>
      <c r="BD33" s="447"/>
      <c r="BE33" s="447"/>
      <c r="BF33" s="447"/>
      <c r="BG33" s="447"/>
      <c r="BH33" s="448"/>
      <c r="BI33" s="449">
        <f t="shared" si="0"/>
        <v>0.47896953999999997</v>
      </c>
      <c r="BJ33" s="132"/>
      <c r="BK33" s="132"/>
      <c r="BL33" s="452"/>
      <c r="BM33" s="300" t="s">
        <v>521</v>
      </c>
      <c r="BN33" s="450"/>
      <c r="BO33" s="450"/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/>
      <c r="AU34" s="447"/>
      <c r="AV34" s="447"/>
      <c r="AW34" s="447"/>
      <c r="AX34" s="447"/>
      <c r="AY34" s="447"/>
      <c r="AZ34" s="447"/>
      <c r="BA34" s="447">
        <v>0.18440139999999999</v>
      </c>
      <c r="BB34" s="447"/>
      <c r="BC34" s="447"/>
      <c r="BD34" s="447"/>
      <c r="BE34" s="447"/>
      <c r="BF34" s="447"/>
      <c r="BG34" s="447"/>
      <c r="BH34" s="448"/>
      <c r="BI34" s="449">
        <f t="shared" si="0"/>
        <v>0.18440139999999999</v>
      </c>
      <c r="BJ34" s="132"/>
      <c r="BK34" s="132"/>
      <c r="BL34" s="452"/>
      <c r="BM34" s="300" t="s">
        <v>516</v>
      </c>
      <c r="BN34" s="450"/>
      <c r="BO34" s="450"/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/>
      <c r="AU35" s="447"/>
      <c r="AV35" s="447"/>
      <c r="AW35" s="447"/>
      <c r="AX35" s="447"/>
      <c r="AY35" s="447"/>
      <c r="AZ35" s="447"/>
      <c r="BA35" s="447"/>
      <c r="BB35" s="447">
        <v>754.33705407660659</v>
      </c>
      <c r="BC35" s="447"/>
      <c r="BD35" s="447"/>
      <c r="BE35" s="447"/>
      <c r="BF35" s="447"/>
      <c r="BG35" s="447"/>
      <c r="BH35" s="448"/>
      <c r="BI35" s="449">
        <f t="shared" si="0"/>
        <v>754.33705407660659</v>
      </c>
      <c r="BJ35" s="132"/>
      <c r="BK35" s="132"/>
      <c r="BL35" s="452"/>
      <c r="BM35" s="300" t="s">
        <v>513</v>
      </c>
      <c r="BN35" s="450"/>
      <c r="BO35" s="450"/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>
        <v>0.21977250000000001</v>
      </c>
      <c r="BH36" s="448"/>
      <c r="BI36" s="449">
        <f t="shared" si="0"/>
        <v>0.21977250000000001</v>
      </c>
      <c r="BJ36" s="132"/>
      <c r="BK36" s="132"/>
      <c r="BL36" s="452"/>
      <c r="BM36" s="300" t="s">
        <v>519</v>
      </c>
      <c r="BN36" s="450"/>
      <c r="BO36" s="450"/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55"/>
      <c r="BI37" s="449">
        <f t="shared" si="0"/>
        <v>0</v>
      </c>
      <c r="BJ37" s="456"/>
      <c r="BK37" s="132"/>
      <c r="BL37" s="203"/>
      <c r="BM37" s="300" t="s">
        <v>518</v>
      </c>
      <c r="BN37" s="450"/>
      <c r="BO37" s="450">
        <v>0.25919703999999999</v>
      </c>
      <c r="BP37" s="303">
        <f t="shared" si="1"/>
        <v>0.25919703999999999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/>
      <c r="AU38" s="447"/>
      <c r="AV38" s="447"/>
      <c r="AW38" s="447"/>
      <c r="AX38" s="447"/>
      <c r="AY38" s="447"/>
      <c r="AZ38" s="447"/>
      <c r="BA38" s="447"/>
      <c r="BB38" s="447"/>
      <c r="BC38" s="447">
        <v>0.18440139999999999</v>
      </c>
      <c r="BD38" s="447"/>
      <c r="BE38" s="447"/>
      <c r="BF38" s="447"/>
      <c r="BG38" s="447"/>
      <c r="BH38" s="448"/>
      <c r="BI38" s="449">
        <f t="shared" si="0"/>
        <v>0.18440139999999999</v>
      </c>
      <c r="BJ38" s="132"/>
      <c r="BK38" s="132"/>
      <c r="BL38" s="203"/>
      <c r="BM38" s="300" t="s">
        <v>504</v>
      </c>
      <c r="BN38" s="450"/>
      <c r="BO38" s="450"/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>
        <v>754.33705407660659</v>
      </c>
      <c r="BE39" s="447"/>
      <c r="BF39" s="447"/>
      <c r="BG39" s="447"/>
      <c r="BH39" s="448"/>
      <c r="BI39" s="449">
        <f t="shared" si="0"/>
        <v>754.33705407660659</v>
      </c>
      <c r="BJ39" s="132"/>
      <c r="BK39" s="132"/>
      <c r="BL39" s="203"/>
      <c r="BM39" s="300" t="s">
        <v>536</v>
      </c>
      <c r="BN39" s="450"/>
      <c r="BO39" s="450"/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/>
      <c r="AU40" s="447"/>
      <c r="AV40" s="447"/>
      <c r="AW40" s="447"/>
      <c r="AX40" s="447"/>
      <c r="AY40" s="447"/>
      <c r="AZ40" s="447"/>
      <c r="BA40" s="447"/>
      <c r="BB40" s="447"/>
      <c r="BC40" s="447"/>
      <c r="BD40" s="447"/>
      <c r="BE40" s="447"/>
      <c r="BF40" s="447"/>
      <c r="BG40" s="447">
        <v>5.6077400000000006E-2</v>
      </c>
      <c r="BH40" s="448"/>
      <c r="BI40" s="449">
        <f t="shared" si="0"/>
        <v>5.6077400000000006E-2</v>
      </c>
      <c r="BJ40" s="132"/>
      <c r="BK40" s="132"/>
      <c r="BL40" s="203"/>
      <c r="BM40" s="300" t="s">
        <v>505</v>
      </c>
      <c r="BN40" s="450"/>
      <c r="BO40" s="450"/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/>
      <c r="AU41" s="447"/>
      <c r="AV41" s="447"/>
      <c r="AW41" s="447"/>
      <c r="AX41" s="447"/>
      <c r="AY41" s="447"/>
      <c r="AZ41" s="447"/>
      <c r="BA41" s="447"/>
      <c r="BB41" s="447"/>
      <c r="BC41" s="447"/>
      <c r="BD41" s="447"/>
      <c r="BE41" s="447"/>
      <c r="BF41" s="447"/>
      <c r="BG41" s="447"/>
      <c r="BH41" s="455"/>
      <c r="BI41" s="449">
        <f t="shared" si="0"/>
        <v>0</v>
      </c>
      <c r="BJ41" s="132"/>
      <c r="BK41" s="132"/>
      <c r="BL41" s="203"/>
      <c r="BM41" s="300" t="s">
        <v>507</v>
      </c>
      <c r="BN41" s="450"/>
      <c r="BO41" s="450">
        <v>4.0304400000000004E-2</v>
      </c>
      <c r="BP41" s="303">
        <f t="shared" si="1"/>
        <v>4.0304400000000004E-2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/>
      <c r="AU42" s="447"/>
      <c r="AV42" s="447"/>
      <c r="AW42" s="447"/>
      <c r="AX42" s="447"/>
      <c r="AY42" s="447"/>
      <c r="AZ42" s="447"/>
      <c r="BA42" s="447"/>
      <c r="BB42" s="447"/>
      <c r="BC42" s="447"/>
      <c r="BD42" s="447"/>
      <c r="BE42" s="447"/>
      <c r="BF42" s="447"/>
      <c r="BG42" s="447"/>
      <c r="BH42" s="448"/>
      <c r="BI42" s="449">
        <f t="shared" si="0"/>
        <v>0</v>
      </c>
      <c r="BJ42" s="132"/>
      <c r="BK42" s="132"/>
      <c r="BL42" s="203"/>
      <c r="BM42" s="300" t="s">
        <v>506</v>
      </c>
      <c r="BN42" s="450"/>
      <c r="BO42" s="450">
        <v>9.0038560000000004E-2</v>
      </c>
      <c r="BP42" s="303">
        <f t="shared" si="1"/>
        <v>9.0038560000000004E-2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>
        <v>217.63525920401193</v>
      </c>
      <c r="BH43" s="448"/>
      <c r="BI43" s="449">
        <f t="shared" si="0"/>
        <v>217.63525920401193</v>
      </c>
      <c r="BJ43" s="132"/>
      <c r="BK43" s="132"/>
      <c r="BL43" s="203"/>
      <c r="BM43" s="300" t="s">
        <v>601</v>
      </c>
      <c r="BN43" s="450"/>
      <c r="BO43" s="450"/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>
        <v>0.12416072</v>
      </c>
      <c r="BF44" s="447"/>
      <c r="BG44" s="447"/>
      <c r="BH44" s="448"/>
      <c r="BI44" s="449">
        <f t="shared" si="0"/>
        <v>0.12416072</v>
      </c>
      <c r="BJ44" s="132"/>
      <c r="BK44" s="132"/>
      <c r="BL44" s="249"/>
      <c r="BM44" s="300" t="s">
        <v>502</v>
      </c>
      <c r="BN44" s="450"/>
      <c r="BO44" s="450"/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676</v>
      </c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8"/>
      <c r="BI45" s="449">
        <f t="shared" si="0"/>
        <v>0</v>
      </c>
      <c r="BJ45" s="132"/>
      <c r="BK45" s="132"/>
      <c r="BL45" s="203"/>
      <c r="BM45" s="300" t="s">
        <v>676</v>
      </c>
      <c r="BN45" s="450"/>
      <c r="BO45" s="450">
        <v>1.445899</v>
      </c>
      <c r="BP45" s="303">
        <f t="shared" si="1"/>
        <v>1.445899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8"/>
      <c r="BI46" s="449">
        <f t="shared" si="0"/>
        <v>0</v>
      </c>
      <c r="BJ46" s="132"/>
      <c r="BK46" s="132"/>
      <c r="BL46" s="300"/>
      <c r="BM46" s="300" t="s">
        <v>501</v>
      </c>
      <c r="BN46" s="450"/>
      <c r="BO46" s="450">
        <v>0.57429051399999997</v>
      </c>
      <c r="BP46" s="303">
        <f t="shared" si="1"/>
        <v>0.57429051399999997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8"/>
      <c r="BI47" s="449">
        <f t="shared" si="0"/>
        <v>0</v>
      </c>
      <c r="BJ47" s="132"/>
      <c r="BK47" s="132"/>
      <c r="BL47" s="203"/>
      <c r="BM47" s="300" t="s">
        <v>503</v>
      </c>
      <c r="BN47" s="450"/>
      <c r="BO47" s="450">
        <v>9.0038560000000004E-2</v>
      </c>
      <c r="BP47" s="303">
        <f t="shared" si="1"/>
        <v>9.0038560000000004E-2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>
        <v>8.4139320000000004E-2</v>
      </c>
      <c r="BG48" s="447"/>
      <c r="BH48" s="455"/>
      <c r="BI48" s="449">
        <f t="shared" si="0"/>
        <v>8.4139320000000004E-2</v>
      </c>
      <c r="BJ48" s="132"/>
      <c r="BK48" s="132"/>
      <c r="BL48" s="203"/>
      <c r="BM48" s="300" t="s">
        <v>635</v>
      </c>
      <c r="BN48" s="450"/>
      <c r="BO48" s="450"/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638</v>
      </c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>
        <v>8.4139320000000004E-2</v>
      </c>
      <c r="BI49" s="449">
        <f t="shared" si="0"/>
        <v>8.4139320000000004E-2</v>
      </c>
      <c r="BJ49" s="132"/>
      <c r="BK49" s="132"/>
      <c r="BL49" s="203"/>
      <c r="BM49" s="300" t="s">
        <v>638</v>
      </c>
      <c r="BN49" s="450">
        <v>8.4139320000000004E-2</v>
      </c>
      <c r="BO49" s="450"/>
      <c r="BP49" s="303">
        <f t="shared" si="1"/>
        <v>8.4139320000000004E-2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54">
        <v>217.91110910401193</v>
      </c>
      <c r="BI50" s="449">
        <f t="shared" si="0"/>
        <v>217.91110910401193</v>
      </c>
      <c r="BJ50" s="132"/>
      <c r="BK50" s="132"/>
      <c r="BL50" s="203"/>
      <c r="BM50" s="300" t="s">
        <v>525</v>
      </c>
      <c r="BN50" s="450"/>
      <c r="BO50" s="450"/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8"/>
      <c r="AU51" s="448"/>
      <c r="AV51" s="448"/>
      <c r="AW51" s="448"/>
      <c r="AX51" s="448"/>
      <c r="AY51" s="448"/>
      <c r="AZ51" s="448"/>
      <c r="BA51" s="448"/>
      <c r="BB51" s="448"/>
      <c r="BC51" s="448"/>
      <c r="BD51" s="448"/>
      <c r="BE51" s="448"/>
      <c r="BF51" s="448"/>
      <c r="BG51" s="448"/>
      <c r="BH51" s="448"/>
      <c r="BI51" s="449">
        <f t="shared" si="0"/>
        <v>0</v>
      </c>
      <c r="BJ51" s="132"/>
      <c r="BK51" s="132"/>
      <c r="BL51" s="203"/>
      <c r="BM51" s="300" t="s">
        <v>526</v>
      </c>
      <c r="BN51" s="450">
        <v>5.5844999999999999E-2</v>
      </c>
      <c r="BO51" s="450"/>
      <c r="BP51" s="303">
        <f t="shared" si="1"/>
        <v>5.5844999999999999E-2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57"/>
      <c r="AU52" s="457"/>
      <c r="AV52" s="457"/>
      <c r="AW52" s="457"/>
      <c r="AX52" s="457"/>
      <c r="AY52" s="457"/>
      <c r="AZ52" s="457"/>
      <c r="BA52" s="457"/>
      <c r="BB52" s="457"/>
      <c r="BC52" s="457"/>
      <c r="BD52" s="457"/>
      <c r="BE52" s="457"/>
      <c r="BF52" s="457"/>
      <c r="BG52" s="457"/>
      <c r="BH52" s="458"/>
      <c r="BI52" s="449">
        <f t="shared" si="0"/>
        <v>0</v>
      </c>
      <c r="BJ52" s="132"/>
      <c r="BK52" s="132"/>
      <c r="BL52" s="132"/>
      <c r="BM52" s="459" t="s">
        <v>527</v>
      </c>
      <c r="BN52" s="460"/>
      <c r="BO52" s="240">
        <v>0.15410336000000002</v>
      </c>
      <c r="BP52" s="303">
        <f t="shared" si="1"/>
        <v>0.15410336000000002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61"/>
      <c r="AU53" s="461"/>
      <c r="AV53" s="461"/>
      <c r="AW53" s="461"/>
      <c r="AX53" s="461"/>
      <c r="AY53" s="461"/>
      <c r="AZ53" s="461"/>
      <c r="BA53" s="461"/>
      <c r="BB53" s="461"/>
      <c r="BC53" s="461"/>
      <c r="BD53" s="461"/>
      <c r="BE53" s="461"/>
      <c r="BF53" s="461"/>
      <c r="BG53" s="461"/>
      <c r="BH53" s="461"/>
      <c r="BI53" s="449">
        <f t="shared" si="0"/>
        <v>0</v>
      </c>
      <c r="BJ53" s="132"/>
      <c r="BK53" s="132"/>
      <c r="BL53" s="132"/>
      <c r="BM53" s="459" t="s">
        <v>537</v>
      </c>
      <c r="BN53" s="460"/>
      <c r="BO53" s="240">
        <v>0.11616169999999999</v>
      </c>
      <c r="BP53" s="303">
        <f t="shared" si="1"/>
        <v>0.11616169999999999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0.70629643999999991</v>
      </c>
      <c r="AU55" s="468">
        <f t="shared" ref="AU55:BH55" si="2">SUM(AU18:AU53)</f>
        <v>0.52595921999999995</v>
      </c>
      <c r="AV55" s="468">
        <f t="shared" si="2"/>
        <v>754.56438097660657</v>
      </c>
      <c r="AW55" s="468">
        <f t="shared" si="2"/>
        <v>0.47896953999999997</v>
      </c>
      <c r="AX55" s="468">
        <f t="shared" si="2"/>
        <v>0.18440139999999999</v>
      </c>
      <c r="AY55" s="468">
        <f t="shared" si="2"/>
        <v>754.33705407660659</v>
      </c>
      <c r="AZ55" s="468">
        <f t="shared" si="2"/>
        <v>0.47896953999999997</v>
      </c>
      <c r="BA55" s="468">
        <f t="shared" si="2"/>
        <v>0.18440139999999999</v>
      </c>
      <c r="BB55" s="468">
        <f t="shared" si="2"/>
        <v>754.33705407660659</v>
      </c>
      <c r="BC55" s="468">
        <f t="shared" si="2"/>
        <v>0.26045644000000001</v>
      </c>
      <c r="BD55" s="468">
        <f t="shared" si="2"/>
        <v>754.41310911660662</v>
      </c>
      <c r="BE55" s="468">
        <f t="shared" si="2"/>
        <v>0.12416072</v>
      </c>
      <c r="BF55" s="468">
        <f t="shared" si="2"/>
        <v>8.4139320000000004E-2</v>
      </c>
      <c r="BG55" s="468">
        <f t="shared" si="2"/>
        <v>217.91110910401193</v>
      </c>
      <c r="BH55" s="468">
        <f t="shared" si="2"/>
        <v>218.21157226401192</v>
      </c>
      <c r="BJ55" s="132"/>
      <c r="BK55" s="132"/>
      <c r="BL55" s="132"/>
      <c r="BM55" s="132"/>
      <c r="BN55" s="456"/>
      <c r="BO55" s="132"/>
    </row>
    <row r="56" spans="5:68" ht="236" x14ac:dyDescent="0.2">
      <c r="E56" s="289"/>
      <c r="F56" s="204" t="s">
        <v>410</v>
      </c>
      <c r="G56" s="204" t="s">
        <v>412</v>
      </c>
      <c r="H56" s="204" t="s">
        <v>413</v>
      </c>
      <c r="I56" s="204" t="s">
        <v>432</v>
      </c>
      <c r="J56" s="204" t="s">
        <v>454</v>
      </c>
      <c r="K56" s="204" t="s">
        <v>546</v>
      </c>
      <c r="L56" s="204" t="s">
        <v>547</v>
      </c>
      <c r="M56" s="204" t="s">
        <v>491</v>
      </c>
      <c r="N56" s="204" t="s">
        <v>539</v>
      </c>
      <c r="O56" s="469" t="s">
        <v>522</v>
      </c>
      <c r="P56" s="470" t="s">
        <v>489</v>
      </c>
      <c r="Q56" s="469" t="s">
        <v>492</v>
      </c>
      <c r="R56" s="470" t="s">
        <v>517</v>
      </c>
      <c r="S56" s="207" t="s">
        <v>510</v>
      </c>
      <c r="T56" s="470" t="s">
        <v>496</v>
      </c>
      <c r="U56" s="469" t="s">
        <v>521</v>
      </c>
      <c r="V56" s="469" t="s">
        <v>516</v>
      </c>
      <c r="W56" s="469" t="s">
        <v>513</v>
      </c>
      <c r="X56" s="469" t="s">
        <v>519</v>
      </c>
      <c r="Y56" s="207" t="s">
        <v>518</v>
      </c>
      <c r="Z56" s="207" t="s">
        <v>504</v>
      </c>
      <c r="AA56" s="207" t="s">
        <v>536</v>
      </c>
      <c r="AB56" s="207" t="s">
        <v>505</v>
      </c>
      <c r="AC56" s="207" t="s">
        <v>507</v>
      </c>
      <c r="AD56" s="207" t="s">
        <v>506</v>
      </c>
      <c r="AE56" s="207" t="s">
        <v>601</v>
      </c>
      <c r="AF56" s="229" t="s">
        <v>502</v>
      </c>
      <c r="AG56" s="229" t="s">
        <v>676</v>
      </c>
      <c r="AH56" s="207" t="s">
        <v>501</v>
      </c>
      <c r="AI56" s="470" t="s">
        <v>503</v>
      </c>
      <c r="AJ56" s="207" t="s">
        <v>635</v>
      </c>
      <c r="AK56" s="207" t="s">
        <v>638</v>
      </c>
      <c r="AL56" s="207" t="s">
        <v>525</v>
      </c>
      <c r="AM56" s="207" t="s">
        <v>526</v>
      </c>
      <c r="AN56" s="207" t="s">
        <v>527</v>
      </c>
      <c r="AO56" s="207" t="s">
        <v>537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 x14ac:dyDescent="0.2">
      <c r="E57" s="300" t="s">
        <v>402</v>
      </c>
      <c r="F57" s="227"/>
      <c r="G57" s="227"/>
      <c r="H57" s="227"/>
      <c r="I57" s="227"/>
      <c r="J57" s="227"/>
      <c r="K57" s="227"/>
      <c r="L57" s="227"/>
      <c r="M57" s="227"/>
      <c r="N57" s="227"/>
      <c r="O57" s="447">
        <v>0.47896953999999997</v>
      </c>
      <c r="P57" s="447">
        <v>9.0038560000000004E-2</v>
      </c>
      <c r="Q57" s="447"/>
      <c r="R57" s="447"/>
      <c r="S57" s="447"/>
      <c r="T57" s="447"/>
      <c r="U57" s="447"/>
      <c r="V57" s="447"/>
      <c r="W57" s="447"/>
      <c r="X57" s="447"/>
      <c r="Y57" s="447"/>
      <c r="Z57" s="447"/>
      <c r="AA57" s="447"/>
      <c r="AB57" s="447"/>
      <c r="AC57" s="447"/>
      <c r="AD57" s="447"/>
      <c r="AE57" s="447"/>
      <c r="AF57" s="447"/>
      <c r="AG57" s="447"/>
      <c r="AH57" s="447"/>
      <c r="AI57" s="447"/>
      <c r="AJ57" s="447"/>
      <c r="AK57" s="447"/>
      <c r="AL57" s="447"/>
      <c r="AM57" s="447"/>
      <c r="AN57" s="447"/>
      <c r="AO57" s="44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403</v>
      </c>
      <c r="F58" s="227"/>
      <c r="G58" s="227"/>
      <c r="H58" s="227"/>
      <c r="I58" s="227"/>
      <c r="J58" s="227"/>
      <c r="K58" s="227"/>
      <c r="L58" s="227"/>
      <c r="M58" s="227"/>
      <c r="N58" s="227"/>
      <c r="O58" s="447"/>
      <c r="P58" s="447"/>
      <c r="Q58" s="447">
        <v>0.18440139999999999</v>
      </c>
      <c r="R58" s="447">
        <v>9.0038560000000004E-2</v>
      </c>
      <c r="S58" s="447"/>
      <c r="T58" s="447"/>
      <c r="U58" s="447"/>
      <c r="V58" s="447"/>
      <c r="W58" s="447"/>
      <c r="X58" s="447"/>
      <c r="Y58" s="447"/>
      <c r="Z58" s="447"/>
      <c r="AA58" s="447"/>
      <c r="AB58" s="447"/>
      <c r="AC58" s="447"/>
      <c r="AD58" s="447"/>
      <c r="AE58" s="447"/>
      <c r="AF58" s="447"/>
      <c r="AG58" s="447"/>
      <c r="AH58" s="447"/>
      <c r="AI58" s="447"/>
      <c r="AJ58" s="447"/>
      <c r="AK58" s="447"/>
      <c r="AL58" s="447"/>
      <c r="AM58" s="447"/>
      <c r="AN58" s="447"/>
      <c r="AO58" s="447"/>
      <c r="AP58" s="301">
        <f t="shared" ref="AP58:AP71" si="3">SUM(F58:AO58)</f>
        <v>0.27443995999999998</v>
      </c>
      <c r="AQ58" s="132"/>
      <c r="AR58" s="132"/>
      <c r="AS58" s="132"/>
      <c r="AT58" s="456"/>
      <c r="AU58" s="456"/>
      <c r="AV58" s="456"/>
      <c r="AW58" s="456"/>
      <c r="AX58" s="456"/>
      <c r="AY58" s="456"/>
      <c r="AZ58" s="456"/>
      <c r="BA58" s="456"/>
      <c r="BB58" s="456"/>
      <c r="BC58" s="456"/>
      <c r="BD58" s="456"/>
      <c r="BE58" s="456"/>
      <c r="BF58" s="456"/>
      <c r="BG58" s="456"/>
      <c r="BH58" s="132"/>
      <c r="BI58" s="132"/>
      <c r="BJ58" s="132"/>
      <c r="BK58" s="132"/>
      <c r="BL58" s="132"/>
      <c r="BM58" s="456"/>
      <c r="BN58" s="456"/>
      <c r="BO58" s="132"/>
    </row>
    <row r="59" spans="5:68" x14ac:dyDescent="0.2">
      <c r="E59" s="300" t="s">
        <v>404</v>
      </c>
      <c r="F59" s="227"/>
      <c r="G59" s="227"/>
      <c r="H59" s="227"/>
      <c r="I59" s="227"/>
      <c r="J59" s="227"/>
      <c r="K59" s="227"/>
      <c r="L59" s="227"/>
      <c r="M59" s="227"/>
      <c r="N59" s="227"/>
      <c r="O59" s="447"/>
      <c r="P59" s="447"/>
      <c r="Q59" s="447"/>
      <c r="R59" s="447"/>
      <c r="S59" s="447">
        <v>754.33705407660659</v>
      </c>
      <c r="T59" s="447">
        <v>9.0038560000000004E-2</v>
      </c>
      <c r="U59" s="447"/>
      <c r="V59" s="447"/>
      <c r="W59" s="447"/>
      <c r="X59" s="447"/>
      <c r="Y59" s="447"/>
      <c r="Z59" s="447"/>
      <c r="AA59" s="447"/>
      <c r="AB59" s="447"/>
      <c r="AC59" s="447"/>
      <c r="AD59" s="447"/>
      <c r="AE59" s="447"/>
      <c r="AF59" s="447"/>
      <c r="AG59" s="447"/>
      <c r="AH59" s="447"/>
      <c r="AI59" s="447"/>
      <c r="AJ59" s="447"/>
      <c r="AK59" s="447"/>
      <c r="AL59" s="447"/>
      <c r="AM59" s="447"/>
      <c r="AN59" s="447"/>
      <c r="AO59" s="447"/>
      <c r="AP59" s="301">
        <f t="shared" si="3"/>
        <v>754.42709263660663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535</v>
      </c>
      <c r="F60" s="227"/>
      <c r="G60" s="227"/>
      <c r="H60" s="227"/>
      <c r="I60" s="227"/>
      <c r="J60" s="227"/>
      <c r="K60" s="227"/>
      <c r="L60" s="227"/>
      <c r="M60" s="227"/>
      <c r="N60" s="227"/>
      <c r="O60" s="447"/>
      <c r="P60" s="447"/>
      <c r="Q60" s="447"/>
      <c r="R60" s="447"/>
      <c r="S60" s="447"/>
      <c r="T60" s="447"/>
      <c r="U60" s="447">
        <v>0.47896953999999997</v>
      </c>
      <c r="V60" s="447"/>
      <c r="W60" s="447"/>
      <c r="X60" s="447"/>
      <c r="Y60" s="447"/>
      <c r="Z60" s="447"/>
      <c r="AA60" s="447"/>
      <c r="AB60" s="447"/>
      <c r="AC60" s="447"/>
      <c r="AD60" s="447"/>
      <c r="AE60" s="447"/>
      <c r="AF60" s="447"/>
      <c r="AG60" s="447"/>
      <c r="AH60" s="447"/>
      <c r="AI60" s="447"/>
      <c r="AJ60" s="447"/>
      <c r="AK60" s="447"/>
      <c r="AL60" s="447"/>
      <c r="AM60" s="447"/>
      <c r="AN60" s="447"/>
      <c r="AO60" s="447"/>
      <c r="AP60" s="301">
        <f t="shared" si="3"/>
        <v>0.47896953999999997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515</v>
      </c>
      <c r="F61" s="227"/>
      <c r="G61" s="227"/>
      <c r="H61" s="227"/>
      <c r="I61" s="227"/>
      <c r="J61" s="227"/>
      <c r="K61" s="227"/>
      <c r="L61" s="227"/>
      <c r="M61" s="227"/>
      <c r="N61" s="227"/>
      <c r="O61" s="447"/>
      <c r="P61" s="447"/>
      <c r="Q61" s="447"/>
      <c r="R61" s="447"/>
      <c r="S61" s="447"/>
      <c r="T61" s="447"/>
      <c r="U61" s="447"/>
      <c r="V61" s="447">
        <v>0.18440139999999999</v>
      </c>
      <c r="W61" s="447"/>
      <c r="X61" s="447"/>
      <c r="Y61" s="447"/>
      <c r="Z61" s="447"/>
      <c r="AA61" s="447"/>
      <c r="AB61" s="447"/>
      <c r="AC61" s="447"/>
      <c r="AD61" s="447"/>
      <c r="AE61" s="447"/>
      <c r="AF61" s="447"/>
      <c r="AG61" s="447"/>
      <c r="AH61" s="447"/>
      <c r="AI61" s="447"/>
      <c r="AJ61" s="447"/>
      <c r="AK61" s="447"/>
      <c r="AL61" s="447"/>
      <c r="AM61" s="447"/>
      <c r="AN61" s="447"/>
      <c r="AO61" s="447"/>
      <c r="AP61" s="301">
        <f t="shared" si="3"/>
        <v>0.18440139999999999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514</v>
      </c>
      <c r="F62" s="227"/>
      <c r="G62" s="227"/>
      <c r="H62" s="227"/>
      <c r="I62" s="227"/>
      <c r="J62" s="227"/>
      <c r="K62" s="227"/>
      <c r="L62" s="227"/>
      <c r="M62" s="227"/>
      <c r="N62" s="227"/>
      <c r="O62" s="447"/>
      <c r="P62" s="447"/>
      <c r="Q62" s="447"/>
      <c r="R62" s="447"/>
      <c r="S62" s="447"/>
      <c r="T62" s="447"/>
      <c r="U62" s="447"/>
      <c r="V62" s="447"/>
      <c r="W62" s="447">
        <v>754.33705407660659</v>
      </c>
      <c r="X62" s="447"/>
      <c r="Y62" s="447"/>
      <c r="Z62" s="447"/>
      <c r="AA62" s="447"/>
      <c r="AB62" s="447"/>
      <c r="AC62" s="447"/>
      <c r="AD62" s="447"/>
      <c r="AE62" s="447"/>
      <c r="AF62" s="447"/>
      <c r="AG62" s="447"/>
      <c r="AH62" s="447"/>
      <c r="AI62" s="447"/>
      <c r="AJ62" s="447"/>
      <c r="AK62" s="447"/>
      <c r="AL62" s="447"/>
      <c r="AM62" s="447"/>
      <c r="AN62" s="447"/>
      <c r="AO62" s="447"/>
      <c r="AP62" s="301">
        <f t="shared" si="3"/>
        <v>754.33705407660659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428</v>
      </c>
      <c r="F63" s="227"/>
      <c r="G63" s="227"/>
      <c r="H63" s="227"/>
      <c r="I63" s="227"/>
      <c r="J63" s="227"/>
      <c r="K63" s="227"/>
      <c r="L63" s="227"/>
      <c r="M63" s="227"/>
      <c r="N63" s="227"/>
      <c r="O63" s="447"/>
      <c r="P63" s="447"/>
      <c r="Q63" s="447"/>
      <c r="R63" s="447"/>
      <c r="S63" s="447"/>
      <c r="T63" s="447"/>
      <c r="U63" s="447"/>
      <c r="V63" s="447"/>
      <c r="W63" s="447"/>
      <c r="X63" s="447">
        <v>0.21977250000000001</v>
      </c>
      <c r="Y63" s="447">
        <v>0.25919703999999999</v>
      </c>
      <c r="Z63" s="447"/>
      <c r="AA63" s="447"/>
      <c r="AB63" s="447"/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301">
        <f t="shared" si="3"/>
        <v>0.47896954000000003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425</v>
      </c>
      <c r="F64" s="227"/>
      <c r="G64" s="227"/>
      <c r="H64" s="227"/>
      <c r="I64" s="227"/>
      <c r="J64" s="227"/>
      <c r="K64" s="227"/>
      <c r="L64" s="227"/>
      <c r="M64" s="227"/>
      <c r="N64" s="227"/>
      <c r="O64" s="447"/>
      <c r="P64" s="447"/>
      <c r="Q64" s="447"/>
      <c r="R64" s="447"/>
      <c r="S64" s="447"/>
      <c r="T64" s="447"/>
      <c r="U64" s="447"/>
      <c r="V64" s="447"/>
      <c r="W64" s="447"/>
      <c r="X64" s="447"/>
      <c r="Y64" s="447"/>
      <c r="Z64" s="447">
        <v>0.18440139999999999</v>
      </c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447"/>
      <c r="AL64" s="447"/>
      <c r="AM64" s="447"/>
      <c r="AN64" s="447"/>
      <c r="AO64" s="447"/>
      <c r="AP64" s="301">
        <f t="shared" si="3"/>
        <v>0.18440139999999999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439</v>
      </c>
      <c r="F65" s="227"/>
      <c r="G65" s="227"/>
      <c r="H65" s="227"/>
      <c r="I65" s="227"/>
      <c r="J65" s="227"/>
      <c r="K65" s="227"/>
      <c r="L65" s="227"/>
      <c r="M65" s="227"/>
      <c r="N65" s="227"/>
      <c r="O65" s="447"/>
      <c r="P65" s="447"/>
      <c r="Q65" s="447"/>
      <c r="R65" s="447"/>
      <c r="S65" s="447"/>
      <c r="T65" s="447"/>
      <c r="U65" s="447"/>
      <c r="V65" s="447"/>
      <c r="W65" s="447"/>
      <c r="X65" s="447"/>
      <c r="Y65" s="447"/>
      <c r="Z65" s="447"/>
      <c r="AA65" s="447">
        <v>754.33705407660659</v>
      </c>
      <c r="AB65" s="447"/>
      <c r="AC65" s="447"/>
      <c r="AD65" s="447"/>
      <c r="AE65" s="447"/>
      <c r="AF65" s="447"/>
      <c r="AG65" s="447"/>
      <c r="AH65" s="447"/>
      <c r="AI65" s="447"/>
      <c r="AJ65" s="447"/>
      <c r="AK65" s="447"/>
      <c r="AL65" s="447"/>
      <c r="AM65" s="447"/>
      <c r="AN65" s="447"/>
      <c r="AO65" s="447"/>
      <c r="AP65" s="301">
        <f t="shared" si="3"/>
        <v>754.33705407660659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426</v>
      </c>
      <c r="F66" s="227"/>
      <c r="G66" s="227"/>
      <c r="H66" s="227"/>
      <c r="I66" s="227"/>
      <c r="J66" s="227"/>
      <c r="K66" s="227"/>
      <c r="L66" s="227"/>
      <c r="M66" s="227"/>
      <c r="N66" s="227"/>
      <c r="O66" s="447"/>
      <c r="P66" s="447"/>
      <c r="Q66" s="447"/>
      <c r="R66" s="447"/>
      <c r="S66" s="447"/>
      <c r="T66" s="447"/>
      <c r="U66" s="447"/>
      <c r="V66" s="447"/>
      <c r="W66" s="447"/>
      <c r="X66" s="447"/>
      <c r="Y66" s="447"/>
      <c r="Z66" s="447"/>
      <c r="AA66" s="447"/>
      <c r="AB66" s="447">
        <v>5.6077400000000006E-2</v>
      </c>
      <c r="AC66" s="447">
        <v>4.0304400000000004E-2</v>
      </c>
      <c r="AD66" s="447">
        <v>9.0038560000000004E-2</v>
      </c>
      <c r="AE66" s="447"/>
      <c r="AF66" s="447"/>
      <c r="AG66" s="447"/>
      <c r="AH66" s="447"/>
      <c r="AI66" s="447"/>
      <c r="AJ66" s="447"/>
      <c r="AK66" s="447"/>
      <c r="AL66" s="447"/>
      <c r="AM66" s="447"/>
      <c r="AN66" s="447"/>
      <c r="AO66" s="447"/>
      <c r="AP66" s="301">
        <f t="shared" si="3"/>
        <v>0.18642036000000001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421</v>
      </c>
      <c r="F67" s="227"/>
      <c r="G67" s="227"/>
      <c r="H67" s="227"/>
      <c r="I67" s="227"/>
      <c r="J67" s="227"/>
      <c r="K67" s="227"/>
      <c r="L67" s="227"/>
      <c r="M67" s="227"/>
      <c r="N67" s="227"/>
      <c r="O67" s="447"/>
      <c r="P67" s="447"/>
      <c r="Q67" s="447"/>
      <c r="R67" s="447"/>
      <c r="S67" s="447"/>
      <c r="T67" s="447"/>
      <c r="U67" s="447"/>
      <c r="V67" s="447"/>
      <c r="W67" s="447"/>
      <c r="X67" s="447"/>
      <c r="Y67" s="447"/>
      <c r="Z67" s="447"/>
      <c r="AA67" s="447"/>
      <c r="AB67" s="447"/>
      <c r="AC67" s="447"/>
      <c r="AD67" s="447"/>
      <c r="AE67" s="447">
        <v>217.63525920401193</v>
      </c>
      <c r="AF67" s="447">
        <v>0.12416072</v>
      </c>
      <c r="AG67" s="447">
        <v>1.445899</v>
      </c>
      <c r="AH67" s="447">
        <v>0.57429051399999997</v>
      </c>
      <c r="AI67" s="447">
        <v>9.0038560000000004E-2</v>
      </c>
      <c r="AJ67" s="447"/>
      <c r="AK67" s="447"/>
      <c r="AL67" s="447"/>
      <c r="AM67" s="447"/>
      <c r="AN67" s="447"/>
      <c r="AO67" s="44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 x14ac:dyDescent="0.2">
      <c r="E68" s="300" t="s">
        <v>634</v>
      </c>
      <c r="F68" s="227"/>
      <c r="G68" s="227"/>
      <c r="H68" s="227"/>
      <c r="I68" s="227"/>
      <c r="J68" s="227"/>
      <c r="K68" s="227"/>
      <c r="L68" s="227"/>
      <c r="M68" s="227"/>
      <c r="N68" s="227"/>
      <c r="O68" s="447"/>
      <c r="P68" s="447"/>
      <c r="Q68" s="447"/>
      <c r="R68" s="447"/>
      <c r="S68" s="447"/>
      <c r="T68" s="447"/>
      <c r="U68" s="447"/>
      <c r="V68" s="447"/>
      <c r="W68" s="447"/>
      <c r="X68" s="447"/>
      <c r="Y68" s="447"/>
      <c r="Z68" s="447"/>
      <c r="AA68" s="447"/>
      <c r="AB68" s="447"/>
      <c r="AC68" s="447"/>
      <c r="AD68" s="447"/>
      <c r="AE68" s="447"/>
      <c r="AF68" s="447"/>
      <c r="AG68" s="447"/>
      <c r="AH68" s="447"/>
      <c r="AI68" s="447"/>
      <c r="AJ68" s="447">
        <v>8.4139320000000004E-2</v>
      </c>
      <c r="AK68" s="447"/>
      <c r="AL68" s="447"/>
      <c r="AM68" s="447"/>
      <c r="AN68" s="447"/>
      <c r="AO68" s="44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637</v>
      </c>
      <c r="F69" s="227"/>
      <c r="G69" s="227"/>
      <c r="H69" s="227"/>
      <c r="I69" s="227"/>
      <c r="J69" s="227"/>
      <c r="K69" s="227"/>
      <c r="L69" s="227"/>
      <c r="M69" s="227"/>
      <c r="N69" s="227"/>
      <c r="O69" s="447"/>
      <c r="P69" s="447"/>
      <c r="Q69" s="447"/>
      <c r="R69" s="447"/>
      <c r="S69" s="447"/>
      <c r="T69" s="447"/>
      <c r="U69" s="447"/>
      <c r="V69" s="447"/>
      <c r="W69" s="447"/>
      <c r="X69" s="447"/>
      <c r="Y69" s="447"/>
      <c r="Z69" s="447"/>
      <c r="AA69" s="447"/>
      <c r="AB69" s="447"/>
      <c r="AC69" s="447"/>
      <c r="AD69" s="447"/>
      <c r="AE69" s="447"/>
      <c r="AF69" s="447"/>
      <c r="AG69" s="447"/>
      <c r="AH69" s="447"/>
      <c r="AI69" s="447"/>
      <c r="AJ69" s="447"/>
      <c r="AK69" s="447">
        <v>8.4139320000000004E-2</v>
      </c>
      <c r="AL69" s="447"/>
      <c r="AM69" s="447"/>
      <c r="AN69" s="447"/>
      <c r="AO69" s="44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447"/>
      <c r="P70" s="447"/>
      <c r="Q70" s="447"/>
      <c r="R70" s="447"/>
      <c r="S70" s="447"/>
      <c r="T70" s="447"/>
      <c r="U70" s="447"/>
      <c r="V70" s="447"/>
      <c r="W70" s="447"/>
      <c r="X70" s="447"/>
      <c r="Y70" s="447"/>
      <c r="Z70" s="447"/>
      <c r="AA70" s="447"/>
      <c r="AB70" s="447"/>
      <c r="AC70" s="447"/>
      <c r="AD70" s="447"/>
      <c r="AE70" s="447"/>
      <c r="AF70" s="447"/>
      <c r="AG70" s="447"/>
      <c r="AH70" s="447"/>
      <c r="AI70" s="454"/>
      <c r="AJ70" s="447"/>
      <c r="AK70" s="447"/>
      <c r="AL70" s="454">
        <v>217.91110910401193</v>
      </c>
      <c r="AM70" s="447"/>
      <c r="AN70" s="447"/>
      <c r="AO70" s="44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414</v>
      </c>
      <c r="F71" s="227"/>
      <c r="G71" s="227"/>
      <c r="H71" s="227"/>
      <c r="I71" s="239"/>
      <c r="J71" s="227"/>
      <c r="K71" s="227"/>
      <c r="L71" s="227"/>
      <c r="M71" s="227"/>
      <c r="N71" s="227"/>
      <c r="O71" s="447"/>
      <c r="P71" s="447"/>
      <c r="Q71" s="447"/>
      <c r="R71" s="447"/>
      <c r="S71" s="447"/>
      <c r="T71" s="447"/>
      <c r="U71" s="447"/>
      <c r="V71" s="447"/>
      <c r="W71" s="447"/>
      <c r="X71" s="447"/>
      <c r="Y71" s="447"/>
      <c r="Z71" s="447"/>
      <c r="AA71" s="447"/>
      <c r="AB71" s="447"/>
      <c r="AC71" s="447"/>
      <c r="AD71" s="471"/>
      <c r="AE71" s="447"/>
      <c r="AF71" s="447"/>
      <c r="AG71" s="447"/>
      <c r="AH71" s="447"/>
      <c r="AI71" s="447"/>
      <c r="AJ71" s="447"/>
      <c r="AK71" s="447"/>
      <c r="AL71" s="447"/>
      <c r="AM71" s="447">
        <v>5.5844999999999999E-2</v>
      </c>
      <c r="AN71" s="447">
        <v>0.15410336000000002</v>
      </c>
      <c r="AO71" s="44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/>
      <c r="F72" s="467" t="s">
        <v>406</v>
      </c>
      <c r="G72" s="467"/>
      <c r="H72" s="467"/>
      <c r="I72" s="467"/>
      <c r="J72" s="467"/>
      <c r="K72" s="467"/>
      <c r="L72" s="467"/>
      <c r="M72" s="467"/>
      <c r="N72" s="467"/>
      <c r="O72" s="467"/>
      <c r="P72" s="467"/>
      <c r="Q72" s="467"/>
      <c r="R72" s="467"/>
      <c r="S72" s="467"/>
      <c r="T72" s="467"/>
      <c r="U72" s="467"/>
      <c r="V72" s="467"/>
      <c r="W72" s="467"/>
      <c r="X72" s="467"/>
      <c r="Y72" s="467"/>
      <c r="Z72" s="467"/>
      <c r="AA72" s="467"/>
      <c r="AB72" s="467"/>
      <c r="AC72" s="467"/>
      <c r="AD72" s="467"/>
      <c r="AE72" s="467"/>
      <c r="AF72" s="467"/>
      <c r="AG72" s="467"/>
      <c r="AH72" s="467"/>
      <c r="AI72" s="467"/>
      <c r="AJ72" s="467"/>
      <c r="AK72" s="467"/>
      <c r="AL72" s="467"/>
      <c r="AM72" s="467"/>
      <c r="AN72" s="467"/>
      <c r="AO72" s="467"/>
      <c r="AP72" s="456" t="s">
        <v>442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467" t="s">
        <v>443</v>
      </c>
      <c r="G74" s="467"/>
      <c r="H74" s="467"/>
      <c r="I74" s="467"/>
      <c r="J74" s="467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7"/>
      <c r="Z74" s="467"/>
      <c r="AA74" s="467"/>
      <c r="AB74" s="467"/>
      <c r="AC74" s="467"/>
      <c r="AD74" s="467"/>
      <c r="AE74" s="467"/>
      <c r="AF74" s="467"/>
      <c r="AG74" s="467"/>
      <c r="AH74" s="467"/>
      <c r="AI74" s="467"/>
      <c r="AJ74" s="467"/>
      <c r="AK74" s="467"/>
      <c r="AL74" s="467"/>
      <c r="AM74" s="467"/>
      <c r="AN74" s="467"/>
      <c r="AO74" s="467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36" x14ac:dyDescent="0.2">
      <c r="E83" s="300"/>
      <c r="F83" s="470" t="s">
        <v>410</v>
      </c>
      <c r="G83" s="470" t="s">
        <v>412</v>
      </c>
      <c r="H83" s="470" t="s">
        <v>413</v>
      </c>
      <c r="I83" s="470" t="s">
        <v>432</v>
      </c>
      <c r="J83" s="470" t="s">
        <v>454</v>
      </c>
      <c r="K83" s="470" t="s">
        <v>546</v>
      </c>
      <c r="L83" s="470" t="s">
        <v>547</v>
      </c>
      <c r="M83" s="470" t="s">
        <v>491</v>
      </c>
      <c r="N83" s="470" t="s">
        <v>539</v>
      </c>
      <c r="O83" s="469" t="s">
        <v>522</v>
      </c>
      <c r="P83" s="470" t="s">
        <v>489</v>
      </c>
      <c r="Q83" s="469" t="s">
        <v>492</v>
      </c>
      <c r="R83" s="470" t="s">
        <v>517</v>
      </c>
      <c r="S83" s="207" t="s">
        <v>510</v>
      </c>
      <c r="T83" s="470" t="s">
        <v>496</v>
      </c>
      <c r="U83" s="469" t="s">
        <v>521</v>
      </c>
      <c r="V83" s="469" t="s">
        <v>516</v>
      </c>
      <c r="W83" s="469" t="s">
        <v>513</v>
      </c>
      <c r="X83" s="469" t="s">
        <v>519</v>
      </c>
      <c r="Y83" s="207" t="s">
        <v>518</v>
      </c>
      <c r="Z83" s="207" t="s">
        <v>504</v>
      </c>
      <c r="AA83" s="207" t="s">
        <v>536</v>
      </c>
      <c r="AB83" s="207" t="s">
        <v>505</v>
      </c>
      <c r="AC83" s="207" t="s">
        <v>507</v>
      </c>
      <c r="AD83" s="207" t="s">
        <v>506</v>
      </c>
      <c r="AE83" s="207" t="s">
        <v>601</v>
      </c>
      <c r="AF83" s="229" t="s">
        <v>502</v>
      </c>
      <c r="AG83" s="229" t="s">
        <v>676</v>
      </c>
      <c r="AH83" s="207" t="s">
        <v>501</v>
      </c>
      <c r="AI83" s="470" t="s">
        <v>503</v>
      </c>
      <c r="AJ83" s="207" t="s">
        <v>635</v>
      </c>
      <c r="AK83" s="207" t="s">
        <v>638</v>
      </c>
      <c r="AL83" s="207" t="s">
        <v>525</v>
      </c>
      <c r="AM83" s="207" t="s">
        <v>526</v>
      </c>
      <c r="AN83" s="207" t="s">
        <v>527</v>
      </c>
      <c r="AO83" s="207" t="s">
        <v>537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x14ac:dyDescent="0.2">
      <c r="E84" s="300" t="s">
        <v>409</v>
      </c>
      <c r="F84" s="472">
        <v>0.47896953999999997</v>
      </c>
      <c r="G84" s="472"/>
      <c r="H84" s="472"/>
      <c r="I84" s="472"/>
      <c r="J84" s="472"/>
      <c r="K84" s="472"/>
      <c r="L84" s="472"/>
      <c r="M84" s="472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72"/>
      <c r="AO84" s="47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6" x14ac:dyDescent="0.2">
      <c r="E85" s="452" t="s">
        <v>493</v>
      </c>
      <c r="F85" s="472"/>
      <c r="G85" s="472">
        <v>0.18440139999999999</v>
      </c>
      <c r="H85" s="472"/>
      <c r="I85" s="472"/>
      <c r="J85" s="472"/>
      <c r="K85" s="472"/>
      <c r="L85" s="472"/>
      <c r="M85" s="472"/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72"/>
      <c r="AO85" s="47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x14ac:dyDescent="0.2">
      <c r="E86" s="203" t="s">
        <v>433</v>
      </c>
      <c r="F86" s="472"/>
      <c r="G86" s="472"/>
      <c r="H86" s="472">
        <v>754.33705407660659</v>
      </c>
      <c r="I86" s="472"/>
      <c r="J86" s="472"/>
      <c r="K86" s="472"/>
      <c r="L86" s="472"/>
      <c r="M86" s="472"/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72"/>
      <c r="AO86" s="47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300" t="s">
        <v>457</v>
      </c>
      <c r="F87" s="472"/>
      <c r="G87" s="472"/>
      <c r="H87" s="472"/>
      <c r="I87" s="473">
        <v>6.0012280000000001E-2</v>
      </c>
      <c r="J87" s="472"/>
      <c r="K87" s="472"/>
      <c r="L87" s="472"/>
      <c r="M87" s="472"/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72"/>
      <c r="AO87" s="47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6" x14ac:dyDescent="0.2">
      <c r="E88" s="300" t="s">
        <v>453</v>
      </c>
      <c r="F88" s="472"/>
      <c r="G88" s="472"/>
      <c r="H88" s="472"/>
      <c r="I88" s="472"/>
      <c r="J88" s="474">
        <v>1.604276E-2</v>
      </c>
      <c r="K88" s="472"/>
      <c r="L88" s="472"/>
      <c r="M88" s="472"/>
      <c r="N88" s="472"/>
      <c r="O88" s="472"/>
      <c r="P88" s="472"/>
      <c r="Q88" s="472"/>
      <c r="R88" s="472"/>
      <c r="S88" s="472"/>
      <c r="T88" s="472"/>
      <c r="U88" s="472"/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72"/>
      <c r="AO88" s="47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549</v>
      </c>
      <c r="F89" s="472"/>
      <c r="G89" s="472"/>
      <c r="H89" s="472"/>
      <c r="I89" s="472"/>
      <c r="J89" s="472"/>
      <c r="K89" s="472">
        <v>0.16731462</v>
      </c>
      <c r="L89" s="472"/>
      <c r="M89" s="472"/>
      <c r="N89" s="472"/>
      <c r="O89" s="472"/>
      <c r="P89" s="472"/>
      <c r="Q89" s="472"/>
      <c r="R89" s="472"/>
      <c r="S89" s="472"/>
      <c r="T89" s="472"/>
      <c r="U89" s="472"/>
      <c r="V89" s="472"/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472"/>
      <c r="AJ89" s="472"/>
      <c r="AK89" s="472"/>
      <c r="AL89" s="472"/>
      <c r="AM89" s="472"/>
      <c r="AN89" s="472"/>
      <c r="AO89" s="472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548</v>
      </c>
      <c r="F90" s="472"/>
      <c r="G90" s="472"/>
      <c r="H90" s="472"/>
      <c r="I90" s="472"/>
      <c r="J90" s="472"/>
      <c r="K90" s="472"/>
      <c r="L90" s="472">
        <v>0.11423092</v>
      </c>
      <c r="M90" s="472"/>
      <c r="N90" s="472"/>
      <c r="O90" s="472"/>
      <c r="P90" s="472"/>
      <c r="Q90" s="472"/>
      <c r="R90" s="472"/>
      <c r="S90" s="472"/>
      <c r="T90" s="472"/>
      <c r="U90" s="472"/>
      <c r="V90" s="472"/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72"/>
      <c r="AJ90" s="472"/>
      <c r="AK90" s="472"/>
      <c r="AL90" s="472"/>
      <c r="AM90" s="472"/>
      <c r="AN90" s="472"/>
      <c r="AO90" s="47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490</v>
      </c>
      <c r="F91" s="472"/>
      <c r="G91" s="472"/>
      <c r="H91" s="472"/>
      <c r="I91" s="472"/>
      <c r="J91" s="472"/>
      <c r="K91" s="472"/>
      <c r="L91" s="472"/>
      <c r="M91" s="472">
        <v>0.1402688</v>
      </c>
      <c r="N91" s="472"/>
      <c r="O91" s="472"/>
      <c r="P91" s="472"/>
      <c r="Q91" s="472"/>
      <c r="R91" s="472"/>
      <c r="S91" s="472"/>
      <c r="T91" s="472"/>
      <c r="U91" s="472"/>
      <c r="V91" s="472"/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472"/>
      <c r="AI91" s="472"/>
      <c r="AJ91" s="472"/>
      <c r="AK91" s="472"/>
      <c r="AL91" s="472"/>
      <c r="AM91" s="472"/>
      <c r="AN91" s="472"/>
      <c r="AO91" s="47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538</v>
      </c>
      <c r="F92" s="472"/>
      <c r="G92" s="472"/>
      <c r="H92" s="472"/>
      <c r="I92" s="472"/>
      <c r="J92" s="472"/>
      <c r="K92" s="472"/>
      <c r="L92" s="472"/>
      <c r="M92" s="472"/>
      <c r="N92" s="472">
        <v>0</v>
      </c>
      <c r="O92" s="472"/>
      <c r="P92" s="472"/>
      <c r="Q92" s="472"/>
      <c r="R92" s="472"/>
      <c r="S92" s="472"/>
      <c r="T92" s="472"/>
      <c r="U92" s="472"/>
      <c r="V92" s="472"/>
      <c r="W92" s="472"/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472"/>
      <c r="AJ92" s="472"/>
      <c r="AK92" s="472"/>
      <c r="AL92" s="472"/>
      <c r="AM92" s="472"/>
      <c r="AN92" s="472"/>
      <c r="AO92" s="47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132"/>
      <c r="F93" s="467" t="s">
        <v>57</v>
      </c>
      <c r="G93" s="467"/>
      <c r="H93" s="467"/>
      <c r="I93" s="467"/>
      <c r="J93" s="467"/>
      <c r="K93" s="467"/>
      <c r="L93" s="467"/>
      <c r="M93" s="467"/>
      <c r="N93" s="467"/>
      <c r="O93" s="467"/>
      <c r="P93" s="467"/>
      <c r="Q93" s="467"/>
      <c r="R93" s="467"/>
      <c r="S93" s="467"/>
      <c r="T93" s="467"/>
      <c r="U93" s="467"/>
      <c r="V93" s="467"/>
      <c r="W93" s="467"/>
      <c r="X93" s="467"/>
      <c r="Y93" s="467"/>
      <c r="Z93" s="467"/>
      <c r="AA93" s="467"/>
      <c r="AB93" s="467"/>
      <c r="AC93" s="467"/>
      <c r="AD93" s="467"/>
      <c r="AE93" s="467"/>
      <c r="AF93" s="467"/>
      <c r="AG93" s="467"/>
      <c r="AH93" s="467"/>
      <c r="AI93" s="467"/>
      <c r="AJ93" s="467"/>
      <c r="AK93" s="467"/>
      <c r="AL93" s="467"/>
      <c r="AM93" s="467"/>
      <c r="AN93" s="467"/>
      <c r="AO93" s="467"/>
      <c r="AP93" s="45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54:G54"/>
    <mergeCell ref="AT54:BH54"/>
    <mergeCell ref="BN54:BO54"/>
    <mergeCell ref="F72:AO72"/>
    <mergeCell ref="F74:AO74"/>
    <mergeCell ref="F93:AO9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84" workbookViewId="0">
      <selection activeCell="O133" sqref="O133"/>
    </sheetView>
  </sheetViews>
  <sheetFormatPr baseColWidth="10" defaultRowHeight="15" x14ac:dyDescent="0.2"/>
  <sheetData>
    <row r="17" spans="5:68" ht="112" x14ac:dyDescent="0.2">
      <c r="AT17" s="204" t="s">
        <v>402</v>
      </c>
      <c r="AU17" s="204" t="s">
        <v>403</v>
      </c>
      <c r="AV17" s="204" t="s">
        <v>404</v>
      </c>
      <c r="AW17" s="204" t="s">
        <v>535</v>
      </c>
      <c r="AX17" s="204" t="s">
        <v>515</v>
      </c>
      <c r="AY17" s="204" t="s">
        <v>514</v>
      </c>
      <c r="AZ17" s="204" t="s">
        <v>428</v>
      </c>
      <c r="BA17" s="204" t="s">
        <v>425</v>
      </c>
      <c r="BB17" s="204" t="s">
        <v>439</v>
      </c>
      <c r="BC17" s="204" t="s">
        <v>426</v>
      </c>
      <c r="BD17" s="204" t="s">
        <v>421</v>
      </c>
      <c r="BE17" s="204" t="s">
        <v>634</v>
      </c>
      <c r="BF17" s="204" t="s">
        <v>637</v>
      </c>
      <c r="BG17" s="204" t="s">
        <v>81</v>
      </c>
      <c r="BH17" s="204" t="s">
        <v>414</v>
      </c>
    </row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f>MCC_M_RUVY_matrices_mat_level!AR83*MCC_h_RUVY_matrices_mat_level!AR83 /MCC_MW_RUVY_matrices_mat_level!AT18</f>
        <v>-1777985.4355511186</v>
      </c>
      <c r="AU18" s="447">
        <v>0</v>
      </c>
      <c r="AV18" s="447">
        <v>0</v>
      </c>
      <c r="AW18" s="447">
        <v>0</v>
      </c>
      <c r="AX18" s="447">
        <v>0</v>
      </c>
      <c r="AY18" s="447">
        <v>0</v>
      </c>
      <c r="AZ18" s="447">
        <v>0</v>
      </c>
      <c r="BA18" s="447">
        <v>0</v>
      </c>
      <c r="BB18" s="447">
        <v>0</v>
      </c>
      <c r="BC18" s="447">
        <v>0</v>
      </c>
      <c r="BD18" s="447">
        <v>0</v>
      </c>
      <c r="BE18" s="447">
        <v>0</v>
      </c>
      <c r="BF18" s="447">
        <v>0</v>
      </c>
      <c r="BG18" s="447">
        <v>0</v>
      </c>
      <c r="BH18" s="447">
        <v>0</v>
      </c>
      <c r="BI18" s="449">
        <f>SUM(AT18:BH18)</f>
        <v>-1777985.4355511186</v>
      </c>
      <c r="BJ18" s="132"/>
      <c r="BK18" s="132"/>
      <c r="BL18" s="300"/>
      <c r="BM18" s="300" t="s">
        <v>410</v>
      </c>
      <c r="BN18" s="450">
        <v>0</v>
      </c>
      <c r="BO18" s="450">
        <v>0</v>
      </c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>
        <v>0</v>
      </c>
      <c r="AU19" s="447">
        <f>MCC_M_RUVY_matrices_mat_level!AS84*MCC_h_RUVY_matrices_mat_level!AS84 /MCC_MW_RUVY_matrices_mat_level!AU19</f>
        <v>-1359457.7959575919</v>
      </c>
      <c r="AV19" s="447">
        <v>0</v>
      </c>
      <c r="AW19" s="447">
        <v>0</v>
      </c>
      <c r="AX19" s="447">
        <v>0</v>
      </c>
      <c r="AY19" s="447">
        <v>0</v>
      </c>
      <c r="AZ19" s="447">
        <v>0</v>
      </c>
      <c r="BA19" s="447">
        <v>0</v>
      </c>
      <c r="BB19" s="447">
        <v>0</v>
      </c>
      <c r="BC19" s="447">
        <v>0</v>
      </c>
      <c r="BD19" s="447">
        <v>0</v>
      </c>
      <c r="BE19" s="447">
        <v>0</v>
      </c>
      <c r="BF19" s="447">
        <v>0</v>
      </c>
      <c r="BG19" s="447">
        <v>0</v>
      </c>
      <c r="BH19" s="447">
        <v>0</v>
      </c>
      <c r="BI19" s="449">
        <f t="shared" ref="BI19:BI53" si="0">SUM(AT19:BH19)</f>
        <v>-1359457.7959575919</v>
      </c>
      <c r="BJ19" s="132"/>
      <c r="BK19" s="132"/>
      <c r="BL19" s="300"/>
      <c r="BM19" s="300" t="s">
        <v>412</v>
      </c>
      <c r="BN19" s="450">
        <v>0</v>
      </c>
      <c r="BO19" s="450">
        <v>0</v>
      </c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>
        <v>0</v>
      </c>
      <c r="AU20" s="447">
        <v>0</v>
      </c>
      <c r="AV20" s="447">
        <f>MCC_M_RUVY_matrices_mat_level!AT85*MCC_h_RUVY_matrices_mat_level!AT85 /MCC_MW_RUVY_matrices_mat_level!AV20</f>
        <v>9126570.1860198174</v>
      </c>
      <c r="AW20" s="447">
        <v>0</v>
      </c>
      <c r="AX20" s="447">
        <v>0</v>
      </c>
      <c r="AY20" s="447">
        <v>0</v>
      </c>
      <c r="AZ20" s="447">
        <v>0</v>
      </c>
      <c r="BA20" s="447">
        <v>0</v>
      </c>
      <c r="BB20" s="447">
        <v>0</v>
      </c>
      <c r="BC20" s="447">
        <v>0</v>
      </c>
      <c r="BD20" s="447">
        <v>0</v>
      </c>
      <c r="BE20" s="447">
        <v>0</v>
      </c>
      <c r="BF20" s="447">
        <v>0</v>
      </c>
      <c r="BG20" s="447">
        <v>0</v>
      </c>
      <c r="BH20" s="447">
        <v>0</v>
      </c>
      <c r="BI20" s="449">
        <f t="shared" si="0"/>
        <v>9126570.1860198174</v>
      </c>
      <c r="BJ20" s="132"/>
      <c r="BK20" s="132"/>
      <c r="BL20" s="300"/>
      <c r="BM20" s="300" t="s">
        <v>413</v>
      </c>
      <c r="BN20" s="450">
        <v>0</v>
      </c>
      <c r="BO20" s="450">
        <v>0</v>
      </c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f>MCC_M_RUVY_matrices_mat_level!AR86*MCC_h_RUVY_matrices_mat_level!AR86 /MCC_MW_RUVY_matrices_mat_level!AT21</f>
        <v>0</v>
      </c>
      <c r="AU21" s="447">
        <f>MCC_M_RUVY_matrices_mat_level!AS86*MCC_h_RUVY_matrices_mat_level!AS86 /MCC_MW_RUVY_matrices_mat_level!AU21</f>
        <v>0</v>
      </c>
      <c r="AV21" s="447">
        <f>MCC_M_RUVY_matrices_mat_level!AT86*MCC_h_RUVY_matrices_mat_level!AT86 /MCC_MW_RUVY_matrices_mat_level!AV21</f>
        <v>0</v>
      </c>
      <c r="AW21" s="447">
        <v>0</v>
      </c>
      <c r="AX21" s="447">
        <v>0</v>
      </c>
      <c r="AY21" s="447">
        <v>0</v>
      </c>
      <c r="AZ21" s="447">
        <v>0</v>
      </c>
      <c r="BA21" s="447">
        <v>0</v>
      </c>
      <c r="BB21" s="447">
        <v>0</v>
      </c>
      <c r="BC21" s="447">
        <f>MCC_M_RUVY_matrices_mat_level!BA86*MCC_h_RUVY_matrices_mat_level!BA86 /MCC_MW_RUVY_matrices_mat_level!BC21</f>
        <v>0</v>
      </c>
      <c r="BD21" s="447">
        <f>MCC_M_RUVY_matrices_mat_level!BB86*MCC_h_RUVY_matrices_mat_level!BB86 /MCC_MW_RUVY_matrices_mat_level!BD21</f>
        <v>0</v>
      </c>
      <c r="BE21" s="447">
        <v>0</v>
      </c>
      <c r="BF21" s="447">
        <v>0</v>
      </c>
      <c r="BG21" s="447">
        <v>0</v>
      </c>
      <c r="BH21" s="447">
        <f>MCC_M_RUVY_matrices_mat_level!BF86*MCC_h_RUVY_matrices_mat_level!BF86 /MCC_MW_RUVY_matrices_mat_level!BH21</f>
        <v>0</v>
      </c>
      <c r="BI21" s="449">
        <f t="shared" si="0"/>
        <v>0</v>
      </c>
      <c r="BJ21" s="132"/>
      <c r="BK21" s="132"/>
      <c r="BL21" s="300"/>
      <c r="BM21" s="300" t="s">
        <v>432</v>
      </c>
      <c r="BN21" s="450">
        <v>0</v>
      </c>
      <c r="BO21" s="450">
        <v>0</v>
      </c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>
        <v>0</v>
      </c>
      <c r="AU22" s="447">
        <v>0</v>
      </c>
      <c r="AV22" s="447">
        <v>0</v>
      </c>
      <c r="AW22" s="447">
        <v>0</v>
      </c>
      <c r="AX22" s="447">
        <v>0</v>
      </c>
      <c r="AY22" s="447">
        <v>0</v>
      </c>
      <c r="AZ22" s="447">
        <v>0</v>
      </c>
      <c r="BA22" s="447">
        <v>0</v>
      </c>
      <c r="BB22" s="447">
        <v>0</v>
      </c>
      <c r="BC22" s="447">
        <f>MCC_M_RUVY_matrices_mat_level!BA87*MCC_h_RUVY_matrices_mat_level!BA87 /MCC_MW_RUVY_matrices_mat_level!BC22</f>
        <v>-174982.33358796954</v>
      </c>
      <c r="BD22" s="447">
        <f>MCC_M_RUVY_matrices_mat_level!BB87*MCC_h_RUVY_matrices_mat_level!BB87 /MCC_MW_RUVY_matrices_mat_level!BD22</f>
        <v>-949206.42548067577</v>
      </c>
      <c r="BE22" s="447">
        <v>0</v>
      </c>
      <c r="BF22" s="447">
        <v>0</v>
      </c>
      <c r="BG22" s="447">
        <v>0</v>
      </c>
      <c r="BH22" s="447">
        <f>MCC_M_RUVY_matrices_mat_level!BF87*MCC_h_RUVY_matrices_mat_level!BF87 /MCC_MW_RUVY_matrices_mat_level!BH22</f>
        <v>-208916.35016621815</v>
      </c>
      <c r="BI22" s="449">
        <f t="shared" si="0"/>
        <v>-1333105.1092348634</v>
      </c>
      <c r="BJ22" s="132"/>
      <c r="BK22" s="132"/>
      <c r="BL22" s="300"/>
      <c r="BM22" s="300" t="s">
        <v>454</v>
      </c>
      <c r="BN22" s="450">
        <v>0</v>
      </c>
      <c r="BO22" s="450">
        <v>0</v>
      </c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f>MCC_M_RUVY_matrices_mat_level!AR88*MCC_h_RUVY_matrices_mat_level!AR88 /MCC_MW_RUVY_matrices_mat_level!AT23</f>
        <v>88160.656904773379</v>
      </c>
      <c r="AU23" s="447">
        <f>MCC_M_RUVY_matrices_mat_level!AS88*MCC_h_RUVY_matrices_mat_level!AS88 /MCC_MW_RUVY_matrices_mat_level!AU23</f>
        <v>241.59146310558404</v>
      </c>
      <c r="AV23" s="447">
        <f>MCC_M_RUVY_matrices_mat_level!AT88*MCC_h_RUVY_matrices_mat_level!AT88 /MCC_MW_RUVY_matrices_mat_level!AV23</f>
        <v>21827.121921766418</v>
      </c>
      <c r="AW23" s="447">
        <v>0</v>
      </c>
      <c r="AX23" s="447">
        <v>0</v>
      </c>
      <c r="AY23" s="447">
        <v>0</v>
      </c>
      <c r="AZ23" s="447">
        <v>0</v>
      </c>
      <c r="BA23" s="447">
        <v>0</v>
      </c>
      <c r="BB23" s="447">
        <v>0</v>
      </c>
      <c r="BC23" s="447">
        <v>0</v>
      </c>
      <c r="BD23" s="447">
        <v>0</v>
      </c>
      <c r="BE23" s="447">
        <v>0</v>
      </c>
      <c r="BF23" s="447">
        <v>0</v>
      </c>
      <c r="BG23" s="447">
        <v>0</v>
      </c>
      <c r="BH23" s="447">
        <v>0</v>
      </c>
      <c r="BI23" s="449">
        <f t="shared" si="0"/>
        <v>110229.37028964538</v>
      </c>
      <c r="BJ23" s="132"/>
      <c r="BK23" s="132"/>
      <c r="BL23" s="300"/>
      <c r="BM23" s="300" t="s">
        <v>546</v>
      </c>
      <c r="BN23" s="450">
        <v>0</v>
      </c>
      <c r="BO23" s="450">
        <v>0</v>
      </c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>
        <v>0</v>
      </c>
      <c r="AU24" s="447">
        <f>MCC_M_RUVY_matrices_mat_level!AS89*MCC_h_RUVY_matrices_mat_level!AS89 /MCC_MW_RUVY_matrices_mat_level!AU24</f>
        <v>-1.1322425723331082</v>
      </c>
      <c r="AV24" s="447">
        <v>0</v>
      </c>
      <c r="AW24" s="447">
        <v>0</v>
      </c>
      <c r="AX24" s="447">
        <v>0</v>
      </c>
      <c r="AY24" s="447">
        <v>0</v>
      </c>
      <c r="AZ24" s="447">
        <v>0</v>
      </c>
      <c r="BA24" s="447">
        <v>0</v>
      </c>
      <c r="BB24" s="447">
        <v>0</v>
      </c>
      <c r="BC24" s="447">
        <v>0</v>
      </c>
      <c r="BD24" s="447">
        <v>0</v>
      </c>
      <c r="BE24" s="447">
        <v>0</v>
      </c>
      <c r="BF24" s="447">
        <v>0</v>
      </c>
      <c r="BG24" s="447">
        <v>0</v>
      </c>
      <c r="BH24" s="447">
        <v>0</v>
      </c>
      <c r="BI24" s="449">
        <f t="shared" si="0"/>
        <v>-1.1322425723331082</v>
      </c>
      <c r="BJ24" s="132"/>
      <c r="BK24" s="132"/>
      <c r="BL24" s="300"/>
      <c r="BM24" s="300" t="s">
        <v>547</v>
      </c>
      <c r="BN24" s="450">
        <v>0</v>
      </c>
      <c r="BO24" s="450">
        <v>0</v>
      </c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>
        <v>0</v>
      </c>
      <c r="AU25" s="447">
        <v>0</v>
      </c>
      <c r="AV25" s="447">
        <v>0</v>
      </c>
      <c r="AW25" s="447">
        <v>0</v>
      </c>
      <c r="AX25" s="447">
        <v>0</v>
      </c>
      <c r="AY25" s="447">
        <v>0</v>
      </c>
      <c r="AZ25" s="447">
        <v>0</v>
      </c>
      <c r="BA25" s="447">
        <v>0</v>
      </c>
      <c r="BB25" s="447">
        <v>0</v>
      </c>
      <c r="BC25" s="447">
        <v>0</v>
      </c>
      <c r="BD25" s="447">
        <v>0</v>
      </c>
      <c r="BE25" s="447">
        <v>0</v>
      </c>
      <c r="BF25" s="447">
        <v>0</v>
      </c>
      <c r="BG25" s="447">
        <v>0</v>
      </c>
      <c r="BH25" s="447">
        <f>MCC_M_RUVY_matrices_mat_level!BF90*MCC_h_RUVY_matrices_mat_level!BF90 /MCC_MW_RUVY_matrices_mat_level!BH25</f>
        <v>194131.36779323625</v>
      </c>
      <c r="BI25" s="449">
        <f t="shared" si="0"/>
        <v>194131.36779323625</v>
      </c>
      <c r="BJ25" s="132"/>
      <c r="BK25" s="132"/>
      <c r="BL25" s="300"/>
      <c r="BM25" s="300" t="s">
        <v>491</v>
      </c>
      <c r="BN25" s="450">
        <v>0</v>
      </c>
      <c r="BO25" s="450">
        <v>0</v>
      </c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>
        <v>0</v>
      </c>
      <c r="AU26" s="447">
        <v>0</v>
      </c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>
        <v>0</v>
      </c>
      <c r="BD26" s="447">
        <v>0</v>
      </c>
      <c r="BE26" s="447">
        <v>0</v>
      </c>
      <c r="BF26" s="447">
        <v>0</v>
      </c>
      <c r="BG26" s="447">
        <v>0</v>
      </c>
      <c r="BH26" s="447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>
        <v>0</v>
      </c>
      <c r="BO26" s="450">
        <v>0</v>
      </c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>
        <v>0</v>
      </c>
      <c r="AU27" s="447">
        <v>0</v>
      </c>
      <c r="AV27" s="447">
        <v>0</v>
      </c>
      <c r="AW27" s="447">
        <f>MCC_M_RUVY_matrices_mat_level!AU92*MCC_h_RUVY_matrices_mat_level!AU92 /MCC_MW_RUVY_matrices_mat_level!AW27</f>
        <v>-1777985.4355511186</v>
      </c>
      <c r="AX27" s="447">
        <v>0</v>
      </c>
      <c r="AY27" s="447">
        <v>0</v>
      </c>
      <c r="AZ27" s="447">
        <v>0</v>
      </c>
      <c r="BA27" s="447">
        <v>0</v>
      </c>
      <c r="BB27" s="447">
        <v>0</v>
      </c>
      <c r="BC27" s="447">
        <v>0</v>
      </c>
      <c r="BD27" s="447">
        <v>0</v>
      </c>
      <c r="BE27" s="447">
        <v>0</v>
      </c>
      <c r="BF27" s="447">
        <v>0</v>
      </c>
      <c r="BG27" s="447">
        <v>0</v>
      </c>
      <c r="BH27" s="447">
        <v>0</v>
      </c>
      <c r="BI27" s="449">
        <f t="shared" si="0"/>
        <v>-1777985.4355511186</v>
      </c>
      <c r="BJ27" s="132"/>
      <c r="BK27" s="132"/>
      <c r="BL27" s="452"/>
      <c r="BM27" s="300" t="s">
        <v>522</v>
      </c>
      <c r="BN27" s="450">
        <v>0</v>
      </c>
      <c r="BO27" s="450">
        <v>0</v>
      </c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>
        <v>0</v>
      </c>
      <c r="AU28" s="447">
        <v>0</v>
      </c>
      <c r="AV28" s="447">
        <v>0</v>
      </c>
      <c r="AW28" s="447">
        <v>0</v>
      </c>
      <c r="AX28" s="447">
        <v>0</v>
      </c>
      <c r="AY28" s="447">
        <v>0</v>
      </c>
      <c r="AZ28" s="447">
        <v>0</v>
      </c>
      <c r="BA28" s="447">
        <v>0</v>
      </c>
      <c r="BB28" s="447">
        <v>0</v>
      </c>
      <c r="BC28" s="447">
        <v>0</v>
      </c>
      <c r="BD28" s="447">
        <v>0</v>
      </c>
      <c r="BE28" s="447">
        <v>0</v>
      </c>
      <c r="BF28" s="447">
        <v>0</v>
      </c>
      <c r="BG28" s="447">
        <v>0</v>
      </c>
      <c r="BH28" s="447">
        <v>0</v>
      </c>
      <c r="BI28" s="449">
        <f t="shared" si="0"/>
        <v>0</v>
      </c>
      <c r="BJ28" s="132"/>
      <c r="BK28" s="132"/>
      <c r="BL28" s="300"/>
      <c r="BM28" s="300" t="s">
        <v>489</v>
      </c>
      <c r="BN28" s="450">
        <v>0</v>
      </c>
      <c r="BO28" s="45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>
        <v>0</v>
      </c>
      <c r="AU29" s="447">
        <v>0</v>
      </c>
      <c r="AV29" s="447">
        <v>0</v>
      </c>
      <c r="AW29" s="447">
        <v>0</v>
      </c>
      <c r="AX29" s="447">
        <f>MCC_M_RUVY_matrices_mat_level!AV94*MCC_h_RUVY_matrices_mat_level!AV94 /MCC_MW_RUVY_matrices_mat_level!AX29</f>
        <v>-1359457.7959575919</v>
      </c>
      <c r="AY29" s="447">
        <v>0</v>
      </c>
      <c r="AZ29" s="447">
        <v>0</v>
      </c>
      <c r="BA29" s="447">
        <v>0</v>
      </c>
      <c r="BB29" s="447">
        <v>0</v>
      </c>
      <c r="BC29" s="447">
        <v>0</v>
      </c>
      <c r="BD29" s="447">
        <v>0</v>
      </c>
      <c r="BE29" s="447">
        <v>0</v>
      </c>
      <c r="BF29" s="447">
        <v>0</v>
      </c>
      <c r="BG29" s="447">
        <v>0</v>
      </c>
      <c r="BH29" s="447">
        <v>0</v>
      </c>
      <c r="BI29" s="449">
        <f t="shared" si="0"/>
        <v>-1359457.7959575919</v>
      </c>
      <c r="BJ29" s="132"/>
      <c r="BK29" s="132"/>
      <c r="BL29" s="452"/>
      <c r="BM29" s="300" t="s">
        <v>492</v>
      </c>
      <c r="BN29" s="450">
        <v>0</v>
      </c>
      <c r="BO29" s="450">
        <v>0</v>
      </c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>
        <v>0</v>
      </c>
      <c r="AU30" s="447">
        <v>0</v>
      </c>
      <c r="AV30" s="447">
        <v>0</v>
      </c>
      <c r="AW30" s="447">
        <v>0</v>
      </c>
      <c r="AX30" s="447">
        <v>0</v>
      </c>
      <c r="AY30" s="447">
        <v>0</v>
      </c>
      <c r="AZ30" s="447">
        <v>0</v>
      </c>
      <c r="BA30" s="447">
        <v>0</v>
      </c>
      <c r="BB30" s="447">
        <v>0</v>
      </c>
      <c r="BC30" s="447">
        <v>0</v>
      </c>
      <c r="BD30" s="447">
        <v>0</v>
      </c>
      <c r="BE30" s="447">
        <v>0</v>
      </c>
      <c r="BF30" s="447">
        <v>0</v>
      </c>
      <c r="BG30" s="447">
        <v>0</v>
      </c>
      <c r="BH30" s="447">
        <v>0</v>
      </c>
      <c r="BI30" s="449">
        <f t="shared" si="0"/>
        <v>0</v>
      </c>
      <c r="BJ30" s="132"/>
      <c r="BK30" s="132"/>
      <c r="BL30" s="300"/>
      <c r="BM30" s="300" t="s">
        <v>517</v>
      </c>
      <c r="BN30" s="450">
        <v>0</v>
      </c>
      <c r="BO30" s="45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>
        <v>0</v>
      </c>
      <c r="AU31" s="447">
        <v>0</v>
      </c>
      <c r="AV31" s="447">
        <v>0</v>
      </c>
      <c r="AW31" s="447">
        <v>0</v>
      </c>
      <c r="AX31" s="447">
        <v>0</v>
      </c>
      <c r="AY31" s="447">
        <f>MCC_M_RUVY_matrices_mat_level!AW96*MCC_h_RUVY_matrices_mat_level!AW96 /MCC_MW_RUVY_matrices_mat_level!AY31</f>
        <v>-112.78165025676648</v>
      </c>
      <c r="AZ31" s="447">
        <v>0</v>
      </c>
      <c r="BA31" s="447">
        <v>0</v>
      </c>
      <c r="BB31" s="447">
        <v>0</v>
      </c>
      <c r="BC31" s="447">
        <v>0</v>
      </c>
      <c r="BD31" s="447">
        <v>0</v>
      </c>
      <c r="BE31" s="447">
        <v>0</v>
      </c>
      <c r="BF31" s="447">
        <v>0</v>
      </c>
      <c r="BG31" s="447">
        <v>0</v>
      </c>
      <c r="BH31" s="447">
        <v>0</v>
      </c>
      <c r="BI31" s="449">
        <f t="shared" si="0"/>
        <v>-112.78165025676648</v>
      </c>
      <c r="BJ31" s="132"/>
      <c r="BK31" s="132"/>
      <c r="BL31" s="203"/>
      <c r="BM31" s="300" t="s">
        <v>510</v>
      </c>
      <c r="BN31" s="450">
        <v>0</v>
      </c>
      <c r="BO31" s="450">
        <v>0</v>
      </c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>
        <v>0</v>
      </c>
      <c r="AU32" s="447">
        <v>0</v>
      </c>
      <c r="AV32" s="447">
        <v>0</v>
      </c>
      <c r="AW32" s="447">
        <v>0</v>
      </c>
      <c r="AX32" s="447">
        <v>0</v>
      </c>
      <c r="AY32" s="447">
        <v>0</v>
      </c>
      <c r="AZ32" s="447">
        <v>0</v>
      </c>
      <c r="BA32" s="447">
        <v>0</v>
      </c>
      <c r="BB32" s="447">
        <v>0</v>
      </c>
      <c r="BC32" s="447">
        <v>0</v>
      </c>
      <c r="BD32" s="447">
        <v>0</v>
      </c>
      <c r="BE32" s="447">
        <v>0</v>
      </c>
      <c r="BF32" s="447">
        <v>0</v>
      </c>
      <c r="BG32" s="447">
        <v>0</v>
      </c>
      <c r="BH32" s="447">
        <v>0</v>
      </c>
      <c r="BI32" s="449">
        <f t="shared" si="0"/>
        <v>0</v>
      </c>
      <c r="BJ32" s="132"/>
      <c r="BK32" s="132"/>
      <c r="BL32" s="300"/>
      <c r="BM32" s="300" t="s">
        <v>496</v>
      </c>
      <c r="BN32" s="450">
        <v>0</v>
      </c>
      <c r="BO32" s="45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>
        <v>0</v>
      </c>
      <c r="AU33" s="447">
        <v>0</v>
      </c>
      <c r="AV33" s="447">
        <v>0</v>
      </c>
      <c r="AW33" s="447">
        <v>0</v>
      </c>
      <c r="AX33" s="447">
        <v>0</v>
      </c>
      <c r="AY33" s="447">
        <v>0</v>
      </c>
      <c r="AZ33" s="447">
        <f>MCC_M_RUVY_matrices_mat_level!AX98*MCC_h_RUVY_matrices_mat_level!AX98 /MCC_MW_RUVY_matrices_mat_level!AZ33</f>
        <v>-1777985.4355511186</v>
      </c>
      <c r="BA33" s="447">
        <v>0</v>
      </c>
      <c r="BB33" s="447">
        <v>0</v>
      </c>
      <c r="BC33" s="447">
        <v>0</v>
      </c>
      <c r="BD33" s="447">
        <v>0</v>
      </c>
      <c r="BE33" s="447">
        <v>0</v>
      </c>
      <c r="BF33" s="447">
        <v>0</v>
      </c>
      <c r="BG33" s="447">
        <v>0</v>
      </c>
      <c r="BH33" s="447">
        <v>0</v>
      </c>
      <c r="BI33" s="449">
        <f t="shared" si="0"/>
        <v>-1777985.4355511186</v>
      </c>
      <c r="BJ33" s="132"/>
      <c r="BK33" s="132"/>
      <c r="BL33" s="452"/>
      <c r="BM33" s="300" t="s">
        <v>521</v>
      </c>
      <c r="BN33" s="450">
        <v>0</v>
      </c>
      <c r="BO33" s="450">
        <v>0</v>
      </c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>
        <v>0</v>
      </c>
      <c r="AU34" s="447">
        <v>0</v>
      </c>
      <c r="AV34" s="447">
        <v>0</v>
      </c>
      <c r="AW34" s="447">
        <v>0</v>
      </c>
      <c r="AX34" s="447">
        <v>0</v>
      </c>
      <c r="AY34" s="447">
        <v>0</v>
      </c>
      <c r="AZ34" s="447">
        <v>0</v>
      </c>
      <c r="BA34" s="447">
        <f>MCC_M_RUVY_matrices_mat_level!AY99*MCC_h_RUVY_matrices_mat_level!AY99 /MCC_MW_RUVY_matrices_mat_level!BA34</f>
        <v>-1359457.7959575919</v>
      </c>
      <c r="BB34" s="447">
        <v>0</v>
      </c>
      <c r="BC34" s="447">
        <v>0</v>
      </c>
      <c r="BD34" s="447">
        <v>0</v>
      </c>
      <c r="BE34" s="447">
        <v>0</v>
      </c>
      <c r="BF34" s="447">
        <v>0</v>
      </c>
      <c r="BG34" s="447">
        <v>0</v>
      </c>
      <c r="BH34" s="447">
        <v>0</v>
      </c>
      <c r="BI34" s="449">
        <f t="shared" si="0"/>
        <v>-1359457.7959575919</v>
      </c>
      <c r="BJ34" s="132"/>
      <c r="BK34" s="132"/>
      <c r="BL34" s="452"/>
      <c r="BM34" s="300" t="s">
        <v>516</v>
      </c>
      <c r="BN34" s="450">
        <v>0</v>
      </c>
      <c r="BO34" s="450">
        <v>0</v>
      </c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>
        <v>0</v>
      </c>
      <c r="AU35" s="447">
        <v>0</v>
      </c>
      <c r="AV35" s="447">
        <v>0</v>
      </c>
      <c r="AW35" s="447">
        <v>0</v>
      </c>
      <c r="AX35" s="447">
        <v>0</v>
      </c>
      <c r="AY35" s="447">
        <v>0</v>
      </c>
      <c r="AZ35" s="447">
        <v>0</v>
      </c>
      <c r="BA35" s="447">
        <v>0</v>
      </c>
      <c r="BB35" s="447">
        <f>MCC_M_RUVY_matrices_mat_level!AZ100*MCC_h_RUVY_matrices_mat_level!AZ100 /MCC_MW_RUVY_matrices_mat_level!BB35</f>
        <v>-112.78165025676648</v>
      </c>
      <c r="BC35" s="447">
        <v>0</v>
      </c>
      <c r="BD35" s="447">
        <v>0</v>
      </c>
      <c r="BE35" s="447">
        <v>0</v>
      </c>
      <c r="BF35" s="447">
        <v>0</v>
      </c>
      <c r="BG35" s="447">
        <v>0</v>
      </c>
      <c r="BH35" s="447">
        <v>0</v>
      </c>
      <c r="BI35" s="449">
        <f t="shared" si="0"/>
        <v>-112.78165025676648</v>
      </c>
      <c r="BJ35" s="132"/>
      <c r="BK35" s="132"/>
      <c r="BL35" s="452"/>
      <c r="BM35" s="300" t="s">
        <v>513</v>
      </c>
      <c r="BN35" s="450">
        <v>0</v>
      </c>
      <c r="BO35" s="450">
        <v>0</v>
      </c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>
        <v>0</v>
      </c>
      <c r="AU36" s="447">
        <v>0</v>
      </c>
      <c r="AV36" s="447">
        <v>0</v>
      </c>
      <c r="AW36" s="447">
        <v>0</v>
      </c>
      <c r="AX36" s="447">
        <v>0</v>
      </c>
      <c r="AY36" s="447">
        <v>0</v>
      </c>
      <c r="AZ36" s="447">
        <v>0</v>
      </c>
      <c r="BA36" s="447">
        <v>0</v>
      </c>
      <c r="BB36" s="447">
        <v>0</v>
      </c>
      <c r="BC36" s="447">
        <v>0</v>
      </c>
      <c r="BD36" s="447">
        <v>0</v>
      </c>
      <c r="BE36" s="447">
        <v>0</v>
      </c>
      <c r="BF36" s="447">
        <v>0</v>
      </c>
      <c r="BG36" s="447">
        <f>MCC_M_RUVY_matrices_mat_level!BE101*MCC_h_RUVY_matrices_mat_level!BE101 /MCC_MW_RUVY_matrices_mat_level!BG36</f>
        <v>-3797055.1820632704</v>
      </c>
      <c r="BH36" s="447">
        <v>0</v>
      </c>
      <c r="BI36" s="449">
        <f t="shared" si="0"/>
        <v>-3797055.1820632704</v>
      </c>
      <c r="BJ36" s="132"/>
      <c r="BK36" s="132"/>
      <c r="BL36" s="452"/>
      <c r="BM36" s="300" t="s">
        <v>519</v>
      </c>
      <c r="BN36" s="450">
        <v>0</v>
      </c>
      <c r="BO36" s="450">
        <v>0</v>
      </c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>
        <v>0</v>
      </c>
      <c r="AU37" s="447">
        <v>0</v>
      </c>
      <c r="AV37" s="447">
        <v>0</v>
      </c>
      <c r="AW37" s="447">
        <v>0</v>
      </c>
      <c r="AX37" s="447">
        <v>0</v>
      </c>
      <c r="AY37" s="447">
        <v>0</v>
      </c>
      <c r="AZ37" s="447">
        <v>0</v>
      </c>
      <c r="BA37" s="447">
        <v>0</v>
      </c>
      <c r="BB37" s="447">
        <v>0</v>
      </c>
      <c r="BC37" s="447">
        <v>0</v>
      </c>
      <c r="BD37" s="447">
        <v>0</v>
      </c>
      <c r="BE37" s="447">
        <v>0</v>
      </c>
      <c r="BF37" s="447">
        <v>0</v>
      </c>
      <c r="BG37" s="447">
        <v>0</v>
      </c>
      <c r="BH37" s="447">
        <v>0</v>
      </c>
      <c r="BI37" s="449">
        <f t="shared" si="0"/>
        <v>0</v>
      </c>
      <c r="BJ37" s="456"/>
      <c r="BK37" s="132"/>
      <c r="BL37" s="203"/>
      <c r="BM37" s="300" t="s">
        <v>518</v>
      </c>
      <c r="BN37" s="450">
        <v>0</v>
      </c>
      <c r="BO37" s="45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>
        <v>0</v>
      </c>
      <c r="AU38" s="447">
        <v>0</v>
      </c>
      <c r="AV38" s="447">
        <v>0</v>
      </c>
      <c r="AW38" s="447">
        <v>0</v>
      </c>
      <c r="AX38" s="447">
        <v>0</v>
      </c>
      <c r="AY38" s="447">
        <v>0</v>
      </c>
      <c r="AZ38" s="447">
        <v>0</v>
      </c>
      <c r="BA38" s="447">
        <v>0</v>
      </c>
      <c r="BB38" s="447">
        <v>0</v>
      </c>
      <c r="BC38" s="447">
        <f>MCC_M_RUVY_matrices_mat_level!BA103*MCC_h_RUVY_matrices_mat_level!BA103 /MCC_MW_RUVY_matrices_mat_level!BC38</f>
        <v>-1359457.7959575919</v>
      </c>
      <c r="BD38" s="447">
        <v>0</v>
      </c>
      <c r="BE38" s="447">
        <v>0</v>
      </c>
      <c r="BF38" s="447">
        <v>0</v>
      </c>
      <c r="BG38" s="447">
        <v>0</v>
      </c>
      <c r="BH38" s="447">
        <v>0</v>
      </c>
      <c r="BI38" s="449">
        <f t="shared" si="0"/>
        <v>-1359457.7959575919</v>
      </c>
      <c r="BJ38" s="132"/>
      <c r="BK38" s="132"/>
      <c r="BL38" s="203"/>
      <c r="BM38" s="300" t="s">
        <v>504</v>
      </c>
      <c r="BN38" s="450">
        <v>0</v>
      </c>
      <c r="BO38" s="450">
        <v>0</v>
      </c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>
        <v>0</v>
      </c>
      <c r="AU39" s="447">
        <v>0</v>
      </c>
      <c r="AV39" s="447">
        <v>0</v>
      </c>
      <c r="AW39" s="447">
        <v>0</v>
      </c>
      <c r="AX39" s="447">
        <v>0</v>
      </c>
      <c r="AY39" s="447">
        <v>0</v>
      </c>
      <c r="AZ39" s="447">
        <v>0</v>
      </c>
      <c r="BA39" s="447">
        <v>0</v>
      </c>
      <c r="BB39" s="447">
        <v>0</v>
      </c>
      <c r="BC39" s="447">
        <v>0</v>
      </c>
      <c r="BD39" s="447">
        <f>MCC_M_RUVY_matrices_mat_level!BB104*MCC_h_RUVY_matrices_mat_level!BB104 /MCC_MW_RUVY_matrices_mat_level!BD39</f>
        <v>-112.78165025676648</v>
      </c>
      <c r="BE39" s="447">
        <v>0</v>
      </c>
      <c r="BF39" s="447">
        <v>0</v>
      </c>
      <c r="BG39" s="447">
        <v>0</v>
      </c>
      <c r="BH39" s="447">
        <v>0</v>
      </c>
      <c r="BI39" s="449">
        <f t="shared" si="0"/>
        <v>-112.78165025676648</v>
      </c>
      <c r="BJ39" s="132"/>
      <c r="BK39" s="132"/>
      <c r="BL39" s="203"/>
      <c r="BM39" s="300" t="s">
        <v>536</v>
      </c>
      <c r="BN39" s="450">
        <v>0</v>
      </c>
      <c r="BO39" s="450">
        <v>0</v>
      </c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>
        <v>0</v>
      </c>
      <c r="AU40" s="447">
        <v>0</v>
      </c>
      <c r="AV40" s="447">
        <v>0</v>
      </c>
      <c r="AW40" s="447">
        <v>0</v>
      </c>
      <c r="AX40" s="447">
        <v>0</v>
      </c>
      <c r="AY40" s="447">
        <v>0</v>
      </c>
      <c r="AZ40" s="447">
        <v>0</v>
      </c>
      <c r="BA40" s="447">
        <v>0</v>
      </c>
      <c r="BB40" s="447">
        <v>0</v>
      </c>
      <c r="BC40" s="447">
        <v>0</v>
      </c>
      <c r="BD40" s="447">
        <v>0</v>
      </c>
      <c r="BE40" s="447">
        <v>0</v>
      </c>
      <c r="BF40" s="447">
        <v>0</v>
      </c>
      <c r="BG40" s="447">
        <f>MCC_M_RUVY_matrices_mat_level!BE105*MCC_h_RUVY_matrices_mat_level!BE105 /MCC_MW_RUVY_matrices_mat_level!BG40</f>
        <v>-1256817.6045988721</v>
      </c>
      <c r="BH40" s="447">
        <v>0</v>
      </c>
      <c r="BI40" s="449">
        <f t="shared" si="0"/>
        <v>-1256817.6045988721</v>
      </c>
      <c r="BJ40" s="132"/>
      <c r="BK40" s="132"/>
      <c r="BL40" s="203"/>
      <c r="BM40" s="300" t="s">
        <v>505</v>
      </c>
      <c r="BN40" s="450">
        <v>0</v>
      </c>
      <c r="BO40" s="450">
        <v>0</v>
      </c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>
        <v>0</v>
      </c>
      <c r="AU41" s="447">
        <v>0</v>
      </c>
      <c r="AV41" s="447">
        <v>0</v>
      </c>
      <c r="AW41" s="447">
        <v>0</v>
      </c>
      <c r="AX41" s="447">
        <v>0</v>
      </c>
      <c r="AY41" s="447">
        <v>0</v>
      </c>
      <c r="AZ41" s="447">
        <v>0</v>
      </c>
      <c r="BA41" s="447">
        <v>0</v>
      </c>
      <c r="BB41" s="447">
        <v>0</v>
      </c>
      <c r="BC41" s="447">
        <v>0</v>
      </c>
      <c r="BD41" s="447">
        <v>0</v>
      </c>
      <c r="BE41" s="447">
        <v>0</v>
      </c>
      <c r="BF41" s="447">
        <v>0</v>
      </c>
      <c r="BG41" s="447">
        <v>0</v>
      </c>
      <c r="BH41" s="447">
        <v>0</v>
      </c>
      <c r="BI41" s="449">
        <f t="shared" si="0"/>
        <v>0</v>
      </c>
      <c r="BJ41" s="132"/>
      <c r="BK41" s="132"/>
      <c r="BL41" s="203"/>
      <c r="BM41" s="300" t="s">
        <v>507</v>
      </c>
      <c r="BN41" s="450">
        <v>0</v>
      </c>
      <c r="BO41" s="45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>
        <v>0</v>
      </c>
      <c r="AU42" s="447">
        <v>0</v>
      </c>
      <c r="AV42" s="447">
        <v>0</v>
      </c>
      <c r="AW42" s="447">
        <v>0</v>
      </c>
      <c r="AX42" s="447">
        <v>0</v>
      </c>
      <c r="AY42" s="447">
        <v>0</v>
      </c>
      <c r="AZ42" s="447">
        <v>0</v>
      </c>
      <c r="BA42" s="447">
        <v>0</v>
      </c>
      <c r="BB42" s="447">
        <v>0</v>
      </c>
      <c r="BC42" s="447">
        <v>0</v>
      </c>
      <c r="BD42" s="447">
        <v>0</v>
      </c>
      <c r="BE42" s="447">
        <v>0</v>
      </c>
      <c r="BF42" s="447">
        <v>0</v>
      </c>
      <c r="BG42" s="447">
        <v>0</v>
      </c>
      <c r="BH42" s="447">
        <v>0</v>
      </c>
      <c r="BI42" s="449">
        <f t="shared" si="0"/>
        <v>0</v>
      </c>
      <c r="BJ42" s="132"/>
      <c r="BK42" s="132"/>
      <c r="BL42" s="203"/>
      <c r="BM42" s="300" t="s">
        <v>506</v>
      </c>
      <c r="BN42" s="450">
        <v>0</v>
      </c>
      <c r="BO42" s="45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>
        <v>0</v>
      </c>
      <c r="AU43" s="447">
        <v>0</v>
      </c>
      <c r="AV43" s="447">
        <v>0</v>
      </c>
      <c r="AW43" s="447">
        <v>0</v>
      </c>
      <c r="AX43" s="447">
        <v>0</v>
      </c>
      <c r="AY43" s="447">
        <v>0</v>
      </c>
      <c r="AZ43" s="447">
        <v>0</v>
      </c>
      <c r="BA43" s="447">
        <v>0</v>
      </c>
      <c r="BB43" s="447">
        <v>0</v>
      </c>
      <c r="BC43" s="447">
        <v>0</v>
      </c>
      <c r="BD43" s="447">
        <v>0</v>
      </c>
      <c r="BE43" s="447">
        <v>0</v>
      </c>
      <c r="BF43" s="447">
        <v>0</v>
      </c>
      <c r="BG43" s="447">
        <f>MCC_M_RUVY_matrices_mat_level!BE108*MCC_h_RUVY_matrices_mat_level!BE108 /MCC_MW_RUVY_matrices_mat_level!BG43</f>
        <v>6114656.4031687425</v>
      </c>
      <c r="BH43" s="447">
        <v>0</v>
      </c>
      <c r="BI43" s="449">
        <f t="shared" si="0"/>
        <v>6114656.4031687425</v>
      </c>
      <c r="BJ43" s="132"/>
      <c r="BK43" s="132"/>
      <c r="BL43" s="203"/>
      <c r="BM43" s="300" t="s">
        <v>601</v>
      </c>
      <c r="BN43" s="450">
        <v>0</v>
      </c>
      <c r="BO43" s="450">
        <v>0</v>
      </c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>
        <v>0</v>
      </c>
      <c r="AU44" s="447">
        <v>0</v>
      </c>
      <c r="AV44" s="447">
        <v>0</v>
      </c>
      <c r="AW44" s="447">
        <v>0</v>
      </c>
      <c r="AX44" s="447">
        <v>0</v>
      </c>
      <c r="AY44" s="447">
        <v>0</v>
      </c>
      <c r="AZ44" s="447">
        <v>0</v>
      </c>
      <c r="BA44" s="447">
        <v>0</v>
      </c>
      <c r="BB44" s="447">
        <v>0</v>
      </c>
      <c r="BC44" s="447">
        <v>0</v>
      </c>
      <c r="BD44" s="447">
        <v>0</v>
      </c>
      <c r="BE44" s="447">
        <f>MCC_M_RUVY_matrices_mat_level!BC109*MCC_h_RUVY_matrices_mat_level!BC109 /MCC_MW_RUVY_matrices_mat_level!BE44</f>
        <v>-13740.19434752778</v>
      </c>
      <c r="BF44" s="447">
        <v>0</v>
      </c>
      <c r="BG44" s="447">
        <v>0</v>
      </c>
      <c r="BH44" s="447">
        <v>0</v>
      </c>
      <c r="BI44" s="449">
        <f t="shared" si="0"/>
        <v>-13740.19434752778</v>
      </c>
      <c r="BJ44" s="132"/>
      <c r="BK44" s="132"/>
      <c r="BL44" s="249"/>
      <c r="BM44" s="300" t="s">
        <v>502</v>
      </c>
      <c r="BN44" s="450">
        <v>0</v>
      </c>
      <c r="BO44" s="450">
        <v>0</v>
      </c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676</v>
      </c>
      <c r="AT45" s="447">
        <v>0</v>
      </c>
      <c r="AU45" s="447">
        <v>0</v>
      </c>
      <c r="AV45" s="447">
        <v>0</v>
      </c>
      <c r="AW45" s="447">
        <v>0</v>
      </c>
      <c r="AX45" s="447">
        <v>0</v>
      </c>
      <c r="AY45" s="447">
        <v>0</v>
      </c>
      <c r="AZ45" s="447">
        <v>0</v>
      </c>
      <c r="BA45" s="447">
        <v>0</v>
      </c>
      <c r="BB45" s="447">
        <v>0</v>
      </c>
      <c r="BC45" s="447">
        <v>0</v>
      </c>
      <c r="BD45" s="447">
        <v>0</v>
      </c>
      <c r="BE45" s="447">
        <v>0</v>
      </c>
      <c r="BF45" s="447">
        <v>0</v>
      </c>
      <c r="BG45" s="447">
        <v>0</v>
      </c>
      <c r="BH45" s="447">
        <v>0</v>
      </c>
      <c r="BI45" s="449">
        <f t="shared" si="0"/>
        <v>0</v>
      </c>
      <c r="BJ45" s="132"/>
      <c r="BK45" s="132"/>
      <c r="BL45" s="203"/>
      <c r="BM45" s="300" t="s">
        <v>676</v>
      </c>
      <c r="BN45" s="450">
        <v>0</v>
      </c>
      <c r="BO45" s="45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>
        <v>0</v>
      </c>
      <c r="AU46" s="447">
        <v>0</v>
      </c>
      <c r="AV46" s="447">
        <v>0</v>
      </c>
      <c r="AW46" s="447">
        <v>0</v>
      </c>
      <c r="AX46" s="447">
        <v>0</v>
      </c>
      <c r="AY46" s="447">
        <v>0</v>
      </c>
      <c r="AZ46" s="447">
        <v>0</v>
      </c>
      <c r="BA46" s="447">
        <v>0</v>
      </c>
      <c r="BB46" s="447">
        <v>0</v>
      </c>
      <c r="BC46" s="447">
        <v>0</v>
      </c>
      <c r="BD46" s="447">
        <v>0</v>
      </c>
      <c r="BE46" s="447">
        <v>0</v>
      </c>
      <c r="BF46" s="447">
        <v>0</v>
      </c>
      <c r="BG46" s="447">
        <v>0</v>
      </c>
      <c r="BH46" s="447">
        <v>0</v>
      </c>
      <c r="BI46" s="449">
        <f t="shared" si="0"/>
        <v>0</v>
      </c>
      <c r="BJ46" s="132"/>
      <c r="BK46" s="132"/>
      <c r="BL46" s="300"/>
      <c r="BM46" s="300" t="s">
        <v>501</v>
      </c>
      <c r="BN46" s="450">
        <v>0</v>
      </c>
      <c r="BO46" s="45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>
        <v>0</v>
      </c>
      <c r="AU47" s="447">
        <v>0</v>
      </c>
      <c r="AV47" s="447">
        <v>0</v>
      </c>
      <c r="AW47" s="447">
        <v>0</v>
      </c>
      <c r="AX47" s="447">
        <v>0</v>
      </c>
      <c r="AY47" s="447">
        <v>0</v>
      </c>
      <c r="AZ47" s="447">
        <v>0</v>
      </c>
      <c r="BA47" s="447">
        <v>0</v>
      </c>
      <c r="BB47" s="447">
        <v>0</v>
      </c>
      <c r="BC47" s="447">
        <v>0</v>
      </c>
      <c r="BD47" s="447">
        <v>0</v>
      </c>
      <c r="BE47" s="447">
        <v>0</v>
      </c>
      <c r="BF47" s="447">
        <v>0</v>
      </c>
      <c r="BG47" s="447">
        <v>0</v>
      </c>
      <c r="BH47" s="447">
        <v>0</v>
      </c>
      <c r="BI47" s="449">
        <f t="shared" si="0"/>
        <v>0</v>
      </c>
      <c r="BJ47" s="132"/>
      <c r="BK47" s="132"/>
      <c r="BL47" s="203"/>
      <c r="BM47" s="300" t="s">
        <v>503</v>
      </c>
      <c r="BN47" s="450">
        <v>0</v>
      </c>
      <c r="BO47" s="45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>
        <v>0</v>
      </c>
      <c r="AU48" s="447">
        <v>0</v>
      </c>
      <c r="AV48" s="447">
        <v>0</v>
      </c>
      <c r="AW48" s="447">
        <v>0</v>
      </c>
      <c r="AX48" s="447">
        <v>0</v>
      </c>
      <c r="AY48" s="447">
        <v>0</v>
      </c>
      <c r="AZ48" s="447">
        <v>0</v>
      </c>
      <c r="BA48" s="447">
        <v>0</v>
      </c>
      <c r="BB48" s="447">
        <v>0</v>
      </c>
      <c r="BC48" s="447">
        <v>0</v>
      </c>
      <c r="BD48" s="447">
        <v>0</v>
      </c>
      <c r="BE48" s="447">
        <v>0</v>
      </c>
      <c r="BF48" s="447">
        <f>MCC_M_RUVY_matrices_mat_level!BD113*MCC_h_RUVY_matrices_mat_level!BD113 /MCC_MW_RUVY_matrices_mat_level!BF48</f>
        <v>-13104.628581498642</v>
      </c>
      <c r="BG48" s="447">
        <v>0</v>
      </c>
      <c r="BH48" s="447">
        <v>0</v>
      </c>
      <c r="BI48" s="449">
        <f t="shared" si="0"/>
        <v>-13104.628581498642</v>
      </c>
      <c r="BJ48" s="132"/>
      <c r="BK48" s="132"/>
      <c r="BL48" s="203"/>
      <c r="BM48" s="300" t="s">
        <v>635</v>
      </c>
      <c r="BN48" s="450">
        <v>0</v>
      </c>
      <c r="BO48" s="450">
        <v>0</v>
      </c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638</v>
      </c>
      <c r="AT49" s="447">
        <v>0</v>
      </c>
      <c r="AU49" s="447">
        <v>0</v>
      </c>
      <c r="AV49" s="447">
        <v>0</v>
      </c>
      <c r="AW49" s="447">
        <v>0</v>
      </c>
      <c r="AX49" s="447">
        <v>0</v>
      </c>
      <c r="AY49" s="447">
        <v>0</v>
      </c>
      <c r="AZ49" s="447">
        <v>0</v>
      </c>
      <c r="BA49" s="447">
        <v>0</v>
      </c>
      <c r="BB49" s="447">
        <v>0</v>
      </c>
      <c r="BC49" s="447">
        <v>0</v>
      </c>
      <c r="BD49" s="447">
        <v>0</v>
      </c>
      <c r="BE49" s="447">
        <v>0</v>
      </c>
      <c r="BF49" s="447">
        <v>0</v>
      </c>
      <c r="BG49" s="447">
        <v>0</v>
      </c>
      <c r="BH49" s="447">
        <f>MCC_M_RUVY_matrices_mat_level!BF114*MCC_h_RUVY_matrices_mat_level!BF114 /MCC_MW_RUVY_matrices_mat_level!BH49</f>
        <v>-9173.2400070490494</v>
      </c>
      <c r="BI49" s="449">
        <f t="shared" si="0"/>
        <v>-9173.2400070490494</v>
      </c>
      <c r="BJ49" s="132"/>
      <c r="BK49" s="132"/>
      <c r="BL49" s="203"/>
      <c r="BM49" s="300" t="s">
        <v>638</v>
      </c>
      <c r="BN49" s="450">
        <f>MCC_M_RUVY_matrices_mat_level!BL114*MCC_h_RUVY_matrices_mat_level!BL114 / MCC_MW_RUVY_matrices_mat_level!BN49</f>
        <v>-3931.3885744495929</v>
      </c>
      <c r="BO49" s="450">
        <v>0</v>
      </c>
      <c r="BP49" s="303">
        <f t="shared" si="1"/>
        <v>-3931.3885744495929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>
        <v>0</v>
      </c>
      <c r="AU50" s="447">
        <v>0</v>
      </c>
      <c r="AV50" s="447">
        <v>0</v>
      </c>
      <c r="AW50" s="447">
        <v>0</v>
      </c>
      <c r="AX50" s="447">
        <v>0</v>
      </c>
      <c r="AY50" s="447">
        <v>0</v>
      </c>
      <c r="AZ50" s="447">
        <v>0</v>
      </c>
      <c r="BA50" s="447">
        <v>0</v>
      </c>
      <c r="BB50" s="447">
        <v>0</v>
      </c>
      <c r="BC50" s="447">
        <v>0</v>
      </c>
      <c r="BD50" s="447">
        <v>0</v>
      </c>
      <c r="BE50" s="447">
        <v>0</v>
      </c>
      <c r="BF50" s="447">
        <v>0</v>
      </c>
      <c r="BG50" s="447">
        <v>0</v>
      </c>
      <c r="BH50" s="447">
        <f>MCC_M_RUVY_matrices_mat_level!BF115*MCC_h_RUVY_matrices_mat_level!BF115 /MCC_MW_RUVY_matrices_mat_level!BH50</f>
        <v>23907.404496491064</v>
      </c>
      <c r="BI50" s="449">
        <f t="shared" si="0"/>
        <v>23907.404496491064</v>
      </c>
      <c r="BJ50" s="132"/>
      <c r="BK50" s="132"/>
      <c r="BL50" s="203"/>
      <c r="BM50" s="300" t="s">
        <v>525</v>
      </c>
      <c r="BN50" s="450">
        <v>0</v>
      </c>
      <c r="BO50" s="450">
        <v>0</v>
      </c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7">
        <v>0</v>
      </c>
      <c r="AU51" s="447">
        <v>0</v>
      </c>
      <c r="AV51" s="447">
        <v>0</v>
      </c>
      <c r="AW51" s="447">
        <v>0</v>
      </c>
      <c r="AX51" s="447">
        <v>0</v>
      </c>
      <c r="AY51" s="447">
        <v>0</v>
      </c>
      <c r="AZ51" s="447">
        <v>0</v>
      </c>
      <c r="BA51" s="447">
        <v>0</v>
      </c>
      <c r="BB51" s="447">
        <v>0</v>
      </c>
      <c r="BC51" s="447">
        <v>0</v>
      </c>
      <c r="BD51" s="447">
        <v>0</v>
      </c>
      <c r="BE51" s="447">
        <v>0</v>
      </c>
      <c r="BF51" s="447">
        <v>0</v>
      </c>
      <c r="BG51" s="447">
        <v>0</v>
      </c>
      <c r="BH51" s="447">
        <v>0</v>
      </c>
      <c r="BI51" s="449">
        <f t="shared" si="0"/>
        <v>0</v>
      </c>
      <c r="BJ51" s="132"/>
      <c r="BK51" s="132"/>
      <c r="BL51" s="203"/>
      <c r="BM51" s="300" t="s">
        <v>526</v>
      </c>
      <c r="BN51" s="450">
        <f>MCC_M_RUVY_matrices_mat_level!BL116*MCC_h_RUVY_matrices_mat_level!BL116 / MCC_MW_RUVY_matrices_mat_level!BN51</f>
        <v>0</v>
      </c>
      <c r="BO51" s="450">
        <v>0</v>
      </c>
      <c r="BP51" s="303">
        <f t="shared" si="1"/>
        <v>0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47">
        <v>0</v>
      </c>
      <c r="AU52" s="447">
        <v>0</v>
      </c>
      <c r="AV52" s="447">
        <v>0</v>
      </c>
      <c r="AW52" s="447">
        <v>0</v>
      </c>
      <c r="AX52" s="447">
        <v>0</v>
      </c>
      <c r="AY52" s="447">
        <v>0</v>
      </c>
      <c r="AZ52" s="447">
        <v>0</v>
      </c>
      <c r="BA52" s="447">
        <v>0</v>
      </c>
      <c r="BB52" s="447">
        <v>0</v>
      </c>
      <c r="BC52" s="447">
        <v>0</v>
      </c>
      <c r="BD52" s="447">
        <v>0</v>
      </c>
      <c r="BE52" s="447">
        <v>0</v>
      </c>
      <c r="BF52" s="447">
        <v>0</v>
      </c>
      <c r="BG52" s="447">
        <v>0</v>
      </c>
      <c r="BH52" s="447">
        <v>0</v>
      </c>
      <c r="BI52" s="449">
        <f t="shared" si="0"/>
        <v>0</v>
      </c>
      <c r="BJ52" s="132"/>
      <c r="BK52" s="132"/>
      <c r="BL52" s="132"/>
      <c r="BM52" s="459" t="s">
        <v>527</v>
      </c>
      <c r="BN52" s="450">
        <v>0</v>
      </c>
      <c r="BO52" s="45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47">
        <v>0</v>
      </c>
      <c r="AU53" s="447">
        <v>0</v>
      </c>
      <c r="AV53" s="447">
        <v>0</v>
      </c>
      <c r="AW53" s="447">
        <v>0</v>
      </c>
      <c r="AX53" s="447">
        <v>0</v>
      </c>
      <c r="AY53" s="447">
        <v>0</v>
      </c>
      <c r="AZ53" s="447">
        <v>0</v>
      </c>
      <c r="BA53" s="447">
        <v>0</v>
      </c>
      <c r="BB53" s="447">
        <v>0</v>
      </c>
      <c r="BC53" s="447">
        <v>0</v>
      </c>
      <c r="BD53" s="447">
        <v>0</v>
      </c>
      <c r="BE53" s="447">
        <v>0</v>
      </c>
      <c r="BF53" s="447">
        <v>0</v>
      </c>
      <c r="BG53" s="447">
        <v>0</v>
      </c>
      <c r="BH53" s="447">
        <v>0</v>
      </c>
      <c r="BI53" s="449">
        <f t="shared" si="0"/>
        <v>0</v>
      </c>
      <c r="BJ53" s="132"/>
      <c r="BK53" s="132"/>
      <c r="BL53" s="132"/>
      <c r="BM53" s="459" t="s">
        <v>537</v>
      </c>
      <c r="BN53" s="450">
        <v>0</v>
      </c>
      <c r="BO53" s="45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-1689824.7786463453</v>
      </c>
      <c r="AU55" s="468">
        <f t="shared" ref="AU55:BH55" si="2">SUM(AU18:AU53)</f>
        <v>-1359217.3367370586</v>
      </c>
      <c r="AV55" s="468">
        <f t="shared" si="2"/>
        <v>9148397.3079415839</v>
      </c>
      <c r="AW55" s="468">
        <f t="shared" si="2"/>
        <v>-1777985.4355511186</v>
      </c>
      <c r="AX55" s="468">
        <f t="shared" si="2"/>
        <v>-1359457.7959575919</v>
      </c>
      <c r="AY55" s="468">
        <f t="shared" si="2"/>
        <v>-112.78165025676648</v>
      </c>
      <c r="AZ55" s="468">
        <f t="shared" si="2"/>
        <v>-1777985.4355511186</v>
      </c>
      <c r="BA55" s="468">
        <f t="shared" si="2"/>
        <v>-1359457.7959575919</v>
      </c>
      <c r="BB55" s="468">
        <f t="shared" si="2"/>
        <v>-112.78165025676648</v>
      </c>
      <c r="BC55" s="468">
        <f t="shared" si="2"/>
        <v>-1534440.1295455615</v>
      </c>
      <c r="BD55" s="468">
        <f t="shared" si="2"/>
        <v>-949319.20713093248</v>
      </c>
      <c r="BE55" s="468">
        <f t="shared" si="2"/>
        <v>-13740.19434752778</v>
      </c>
      <c r="BF55" s="468">
        <f t="shared" si="2"/>
        <v>-13104.628581498642</v>
      </c>
      <c r="BG55" s="468">
        <f t="shared" si="2"/>
        <v>1060783.6165065998</v>
      </c>
      <c r="BH55" s="468">
        <f t="shared" si="2"/>
        <v>-50.81788353988668</v>
      </c>
      <c r="BJ55" s="132"/>
      <c r="BK55" s="132"/>
      <c r="BL55" s="132"/>
      <c r="BM55" s="132"/>
      <c r="BN55" s="456"/>
      <c r="BO55" s="132"/>
    </row>
    <row r="56" spans="5:68" x14ac:dyDescent="0.2">
      <c r="AQ56" s="132"/>
      <c r="AR56" s="132"/>
      <c r="AS56" s="132"/>
      <c r="AT56" s="405" t="s">
        <v>445</v>
      </c>
      <c r="AU56" s="405"/>
      <c r="AV56" s="405"/>
      <c r="AW56" s="405"/>
      <c r="AX56" s="405"/>
      <c r="AY56" s="405"/>
      <c r="AZ56" s="405"/>
      <c r="BA56" s="405"/>
      <c r="BB56" s="405"/>
      <c r="BC56" s="405"/>
      <c r="BD56" s="405"/>
      <c r="BE56" s="405"/>
      <c r="BF56" s="405"/>
      <c r="BG56" s="405"/>
      <c r="BH56" s="405"/>
      <c r="BJ56" s="132"/>
      <c r="BK56" s="132"/>
      <c r="BL56" s="132"/>
      <c r="BM56" s="132"/>
      <c r="BN56" s="456"/>
      <c r="BO56" s="132"/>
    </row>
    <row r="57" spans="5:68" ht="236" x14ac:dyDescent="0.2">
      <c r="E57" s="289"/>
      <c r="F57" s="204" t="s">
        <v>410</v>
      </c>
      <c r="G57" s="204" t="s">
        <v>412</v>
      </c>
      <c r="H57" s="204" t="s">
        <v>413</v>
      </c>
      <c r="I57" s="204" t="s">
        <v>432</v>
      </c>
      <c r="J57" s="204" t="s">
        <v>454</v>
      </c>
      <c r="K57" s="204" t="s">
        <v>546</v>
      </c>
      <c r="L57" s="204" t="s">
        <v>547</v>
      </c>
      <c r="M57" s="204" t="s">
        <v>491</v>
      </c>
      <c r="N57" s="204" t="s">
        <v>539</v>
      </c>
      <c r="O57" s="469" t="s">
        <v>522</v>
      </c>
      <c r="P57" s="470" t="s">
        <v>489</v>
      </c>
      <c r="Q57" s="469" t="s">
        <v>492</v>
      </c>
      <c r="R57" s="470" t="s">
        <v>517</v>
      </c>
      <c r="S57" s="207" t="s">
        <v>510</v>
      </c>
      <c r="T57" s="470" t="s">
        <v>496</v>
      </c>
      <c r="U57" s="469" t="s">
        <v>521</v>
      </c>
      <c r="V57" s="469" t="s">
        <v>516</v>
      </c>
      <c r="W57" s="469" t="s">
        <v>513</v>
      </c>
      <c r="X57" s="469" t="s">
        <v>519</v>
      </c>
      <c r="Y57" s="207" t="s">
        <v>518</v>
      </c>
      <c r="Z57" s="207" t="s">
        <v>504</v>
      </c>
      <c r="AA57" s="207" t="s">
        <v>536</v>
      </c>
      <c r="AB57" s="207" t="s">
        <v>505</v>
      </c>
      <c r="AC57" s="207" t="s">
        <v>507</v>
      </c>
      <c r="AD57" s="207" t="s">
        <v>506</v>
      </c>
      <c r="AE57" s="207" t="s">
        <v>601</v>
      </c>
      <c r="AF57" s="229" t="s">
        <v>502</v>
      </c>
      <c r="AG57" s="229" t="s">
        <v>676</v>
      </c>
      <c r="AH57" s="207" t="s">
        <v>501</v>
      </c>
      <c r="AI57" s="470" t="s">
        <v>503</v>
      </c>
      <c r="AJ57" s="207" t="s">
        <v>635</v>
      </c>
      <c r="AK57" s="207" t="s">
        <v>638</v>
      </c>
      <c r="AL57" s="207" t="s">
        <v>525</v>
      </c>
      <c r="AM57" s="207" t="s">
        <v>526</v>
      </c>
      <c r="AN57" s="207" t="s">
        <v>527</v>
      </c>
      <c r="AO57" s="207" t="s">
        <v>537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402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 x14ac:dyDescent="0.2">
      <c r="E59" s="300" t="s">
        <v>403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404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535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515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514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428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425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439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426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456"/>
      <c r="AU67" s="456"/>
      <c r="AV67" s="456"/>
      <c r="AW67" s="456"/>
      <c r="AX67" s="456"/>
      <c r="AY67" s="456"/>
      <c r="AZ67" s="456"/>
      <c r="BA67" s="456"/>
      <c r="BB67" s="456"/>
      <c r="BC67" s="456"/>
      <c r="BD67" s="456"/>
      <c r="BE67" s="456"/>
      <c r="BF67" s="456"/>
      <c r="BG67" s="456"/>
      <c r="BH67" s="132"/>
      <c r="BI67" s="132"/>
      <c r="BJ67" s="132"/>
      <c r="BK67" s="132"/>
      <c r="BL67" s="132"/>
      <c r="BM67" s="456"/>
      <c r="BN67" s="456"/>
      <c r="BO67" s="132"/>
    </row>
    <row r="68" spans="5:67" x14ac:dyDescent="0.2">
      <c r="E68" s="300" t="s">
        <v>421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634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637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 t="s">
        <v>414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467" t="s">
        <v>406</v>
      </c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7"/>
      <c r="T73" s="467"/>
      <c r="U73" s="467"/>
      <c r="V73" s="467"/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467"/>
      <c r="AI73" s="467"/>
      <c r="AJ73" s="467"/>
      <c r="AK73" s="467"/>
      <c r="AL73" s="467"/>
      <c r="AM73" s="467"/>
      <c r="AN73" s="467"/>
      <c r="AO73" s="467"/>
      <c r="AP73" s="456" t="s">
        <v>442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467" t="s">
        <v>443</v>
      </c>
      <c r="G75" s="467"/>
      <c r="H75" s="467"/>
      <c r="I75" s="467"/>
      <c r="J75" s="467"/>
      <c r="K75" s="467"/>
      <c r="L75" s="467"/>
      <c r="M75" s="467"/>
      <c r="N75" s="467"/>
      <c r="O75" s="467"/>
      <c r="P75" s="467"/>
      <c r="Q75" s="467"/>
      <c r="R75" s="467"/>
      <c r="S75" s="467"/>
      <c r="T75" s="467"/>
      <c r="U75" s="467"/>
      <c r="V75" s="467"/>
      <c r="W75" s="467"/>
      <c r="X75" s="467"/>
      <c r="Y75" s="467"/>
      <c r="Z75" s="467"/>
      <c r="AA75" s="467"/>
      <c r="AB75" s="467"/>
      <c r="AC75" s="467"/>
      <c r="AD75" s="467"/>
      <c r="AE75" s="467"/>
      <c r="AF75" s="467"/>
      <c r="AG75" s="467"/>
      <c r="AH75" s="467"/>
      <c r="AI75" s="467"/>
      <c r="AJ75" s="467"/>
      <c r="AK75" s="467"/>
      <c r="AL75" s="467"/>
      <c r="AM75" s="467"/>
      <c r="AN75" s="467"/>
      <c r="AO75" s="467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x14ac:dyDescent="0.2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36" x14ac:dyDescent="0.2">
      <c r="E84" s="300"/>
      <c r="F84" s="470" t="s">
        <v>410</v>
      </c>
      <c r="G84" s="470" t="s">
        <v>412</v>
      </c>
      <c r="H84" s="470" t="s">
        <v>413</v>
      </c>
      <c r="I84" s="470" t="s">
        <v>432</v>
      </c>
      <c r="J84" s="470" t="s">
        <v>454</v>
      </c>
      <c r="K84" s="470" t="s">
        <v>546</v>
      </c>
      <c r="L84" s="470" t="s">
        <v>547</v>
      </c>
      <c r="M84" s="470" t="s">
        <v>491</v>
      </c>
      <c r="N84" s="470" t="s">
        <v>539</v>
      </c>
      <c r="O84" s="469" t="s">
        <v>522</v>
      </c>
      <c r="P84" s="470" t="s">
        <v>489</v>
      </c>
      <c r="Q84" s="469" t="s">
        <v>492</v>
      </c>
      <c r="R84" s="470" t="s">
        <v>517</v>
      </c>
      <c r="S84" s="207" t="s">
        <v>510</v>
      </c>
      <c r="T84" s="470" t="s">
        <v>496</v>
      </c>
      <c r="U84" s="469" t="s">
        <v>521</v>
      </c>
      <c r="V84" s="469" t="s">
        <v>516</v>
      </c>
      <c r="W84" s="469" t="s">
        <v>513</v>
      </c>
      <c r="X84" s="469" t="s">
        <v>519</v>
      </c>
      <c r="Y84" s="207" t="s">
        <v>518</v>
      </c>
      <c r="Z84" s="207" t="s">
        <v>504</v>
      </c>
      <c r="AA84" s="207" t="s">
        <v>536</v>
      </c>
      <c r="AB84" s="207" t="s">
        <v>505</v>
      </c>
      <c r="AC84" s="207" t="s">
        <v>507</v>
      </c>
      <c r="AD84" s="207" t="s">
        <v>506</v>
      </c>
      <c r="AE84" s="207" t="s">
        <v>601</v>
      </c>
      <c r="AF84" s="229" t="s">
        <v>502</v>
      </c>
      <c r="AG84" s="229" t="s">
        <v>676</v>
      </c>
      <c r="AH84" s="207" t="s">
        <v>501</v>
      </c>
      <c r="AI84" s="470" t="s">
        <v>503</v>
      </c>
      <c r="AJ84" s="207" t="s">
        <v>635</v>
      </c>
      <c r="AK84" s="207" t="s">
        <v>638</v>
      </c>
      <c r="AL84" s="207" t="s">
        <v>525</v>
      </c>
      <c r="AM84" s="207" t="s">
        <v>526</v>
      </c>
      <c r="AN84" s="207" t="s">
        <v>527</v>
      </c>
      <c r="AO84" s="207" t="s">
        <v>537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x14ac:dyDescent="0.2">
      <c r="E85" s="300" t="s">
        <v>409</v>
      </c>
      <c r="F85" s="472">
        <f>MCC_M_RUVY_matrices_mat_level!C153*MCC_h_RUVY_matrices_mat_level!C152 / MCC_MW_RUVY_matrices_mat_level!F84</f>
        <v>-1777985.4355511186</v>
      </c>
      <c r="G85" s="472">
        <v>0</v>
      </c>
      <c r="H85" s="472">
        <v>0</v>
      </c>
      <c r="I85" s="472">
        <v>0</v>
      </c>
      <c r="J85" s="472">
        <v>0</v>
      </c>
      <c r="K85" s="472">
        <v>0</v>
      </c>
      <c r="L85" s="472">
        <v>0</v>
      </c>
      <c r="M85" s="472">
        <v>0</v>
      </c>
      <c r="N85" s="472">
        <v>0</v>
      </c>
      <c r="O85" s="472">
        <v>0</v>
      </c>
      <c r="P85" s="472">
        <v>0</v>
      </c>
      <c r="Q85" s="472">
        <v>0</v>
      </c>
      <c r="R85" s="472">
        <v>0</v>
      </c>
      <c r="S85" s="472">
        <v>0</v>
      </c>
      <c r="T85" s="472">
        <v>0</v>
      </c>
      <c r="U85" s="472">
        <v>0</v>
      </c>
      <c r="V85" s="472">
        <v>0</v>
      </c>
      <c r="W85" s="472">
        <v>0</v>
      </c>
      <c r="X85" s="472">
        <v>0</v>
      </c>
      <c r="Y85" s="472">
        <v>0</v>
      </c>
      <c r="Z85" s="472">
        <v>0</v>
      </c>
      <c r="AA85" s="472">
        <v>0</v>
      </c>
      <c r="AB85" s="472">
        <v>0</v>
      </c>
      <c r="AC85" s="472">
        <v>0</v>
      </c>
      <c r="AD85" s="472">
        <v>0</v>
      </c>
      <c r="AE85" s="472">
        <v>0</v>
      </c>
      <c r="AF85" s="472">
        <v>0</v>
      </c>
      <c r="AG85" s="472">
        <v>0</v>
      </c>
      <c r="AH85" s="472">
        <v>0</v>
      </c>
      <c r="AI85" s="472">
        <v>0</v>
      </c>
      <c r="AJ85" s="472">
        <v>0</v>
      </c>
      <c r="AK85" s="472">
        <v>0</v>
      </c>
      <c r="AL85" s="472">
        <v>0</v>
      </c>
      <c r="AM85" s="472">
        <v>0</v>
      </c>
      <c r="AN85" s="472">
        <v>0</v>
      </c>
      <c r="AO85" s="472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6" x14ac:dyDescent="0.2">
      <c r="E86" s="452" t="s">
        <v>493</v>
      </c>
      <c r="F86" s="472">
        <v>0</v>
      </c>
      <c r="G86" s="472">
        <f>MCC_M_RUVY_matrices_mat_level!D154*MCC_h_RUVY_matrices_mat_level!D153 / MCC_MW_RUVY_matrices_mat_level!G85</f>
        <v>-1359457.7959575919</v>
      </c>
      <c r="H86" s="472">
        <v>0</v>
      </c>
      <c r="I86" s="472">
        <v>0</v>
      </c>
      <c r="J86" s="472">
        <v>0</v>
      </c>
      <c r="K86" s="472">
        <v>0</v>
      </c>
      <c r="L86" s="472">
        <v>0</v>
      </c>
      <c r="M86" s="472">
        <v>0</v>
      </c>
      <c r="N86" s="472">
        <v>0</v>
      </c>
      <c r="O86" s="472">
        <v>0</v>
      </c>
      <c r="P86" s="472">
        <v>0</v>
      </c>
      <c r="Q86" s="472">
        <v>0</v>
      </c>
      <c r="R86" s="472">
        <v>0</v>
      </c>
      <c r="S86" s="472">
        <v>0</v>
      </c>
      <c r="T86" s="472">
        <v>0</v>
      </c>
      <c r="U86" s="472">
        <v>0</v>
      </c>
      <c r="V86" s="472">
        <v>0</v>
      </c>
      <c r="W86" s="472">
        <v>0</v>
      </c>
      <c r="X86" s="472">
        <v>0</v>
      </c>
      <c r="Y86" s="472">
        <v>0</v>
      </c>
      <c r="Z86" s="472">
        <v>0</v>
      </c>
      <c r="AA86" s="472">
        <v>0</v>
      </c>
      <c r="AB86" s="472">
        <v>0</v>
      </c>
      <c r="AC86" s="472">
        <v>0</v>
      </c>
      <c r="AD86" s="472">
        <v>0</v>
      </c>
      <c r="AE86" s="472">
        <v>0</v>
      </c>
      <c r="AF86" s="472">
        <v>0</v>
      </c>
      <c r="AG86" s="472">
        <v>0</v>
      </c>
      <c r="AH86" s="472">
        <v>0</v>
      </c>
      <c r="AI86" s="472">
        <v>0</v>
      </c>
      <c r="AJ86" s="472">
        <v>0</v>
      </c>
      <c r="AK86" s="472">
        <v>0</v>
      </c>
      <c r="AL86" s="472">
        <v>0</v>
      </c>
      <c r="AM86" s="472">
        <v>0</v>
      </c>
      <c r="AN86" s="472">
        <v>0</v>
      </c>
      <c r="AO86" s="472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203" t="s">
        <v>433</v>
      </c>
      <c r="F87" s="472">
        <v>0</v>
      </c>
      <c r="G87" s="472">
        <v>0</v>
      </c>
      <c r="H87" s="472">
        <f>MCC_M_RUVY_matrices_mat_level!E155*MCC_h_RUVY_matrices_mat_level!E154 / MCC_MW_RUVY_matrices_mat_level!H86</f>
        <v>9126570.1860198174</v>
      </c>
      <c r="I87" s="472">
        <v>0</v>
      </c>
      <c r="J87" s="472">
        <v>0</v>
      </c>
      <c r="K87" s="472">
        <v>0</v>
      </c>
      <c r="L87" s="472">
        <v>0</v>
      </c>
      <c r="M87" s="472">
        <v>0</v>
      </c>
      <c r="N87" s="472">
        <v>0</v>
      </c>
      <c r="O87" s="472">
        <v>0</v>
      </c>
      <c r="P87" s="472">
        <v>0</v>
      </c>
      <c r="Q87" s="472">
        <v>0</v>
      </c>
      <c r="R87" s="472">
        <v>0</v>
      </c>
      <c r="S87" s="472">
        <v>0</v>
      </c>
      <c r="T87" s="472">
        <v>0</v>
      </c>
      <c r="U87" s="472">
        <v>0</v>
      </c>
      <c r="V87" s="472">
        <v>0</v>
      </c>
      <c r="W87" s="472">
        <v>0</v>
      </c>
      <c r="X87" s="472">
        <v>0</v>
      </c>
      <c r="Y87" s="472">
        <v>0</v>
      </c>
      <c r="Z87" s="472">
        <v>0</v>
      </c>
      <c r="AA87" s="472">
        <v>0</v>
      </c>
      <c r="AB87" s="472">
        <v>0</v>
      </c>
      <c r="AC87" s="472">
        <v>0</v>
      </c>
      <c r="AD87" s="472">
        <v>0</v>
      </c>
      <c r="AE87" s="472">
        <v>0</v>
      </c>
      <c r="AF87" s="472">
        <v>0</v>
      </c>
      <c r="AG87" s="472">
        <v>0</v>
      </c>
      <c r="AH87" s="472">
        <v>0</v>
      </c>
      <c r="AI87" s="472">
        <v>0</v>
      </c>
      <c r="AJ87" s="472">
        <v>0</v>
      </c>
      <c r="AK87" s="472">
        <v>0</v>
      </c>
      <c r="AL87" s="472">
        <v>0</v>
      </c>
      <c r="AM87" s="472">
        <v>0</v>
      </c>
      <c r="AN87" s="472">
        <v>0</v>
      </c>
      <c r="AO87" s="472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x14ac:dyDescent="0.2">
      <c r="E88" s="300" t="s">
        <v>457</v>
      </c>
      <c r="F88" s="472">
        <v>0</v>
      </c>
      <c r="G88" s="472">
        <v>0</v>
      </c>
      <c r="H88" s="472">
        <v>0</v>
      </c>
      <c r="I88" s="472">
        <f>MCC_M_RUVY_matrices_mat_level!F156*MCC_h_RUVY_matrices_mat_level!F155 / MCC_MW_RUVY_matrices_mat_level!I87</f>
        <v>0</v>
      </c>
      <c r="J88" s="472">
        <v>0</v>
      </c>
      <c r="K88" s="472">
        <v>0</v>
      </c>
      <c r="L88" s="472">
        <v>0</v>
      </c>
      <c r="M88" s="472">
        <v>0</v>
      </c>
      <c r="N88" s="472">
        <v>0</v>
      </c>
      <c r="O88" s="472">
        <v>0</v>
      </c>
      <c r="P88" s="472">
        <v>0</v>
      </c>
      <c r="Q88" s="472">
        <v>0</v>
      </c>
      <c r="R88" s="472">
        <v>0</v>
      </c>
      <c r="S88" s="472">
        <v>0</v>
      </c>
      <c r="T88" s="472">
        <v>0</v>
      </c>
      <c r="U88" s="472">
        <v>0</v>
      </c>
      <c r="V88" s="472">
        <v>0</v>
      </c>
      <c r="W88" s="472">
        <v>0</v>
      </c>
      <c r="X88" s="472">
        <v>0</v>
      </c>
      <c r="Y88" s="472">
        <v>0</v>
      </c>
      <c r="Z88" s="472">
        <v>0</v>
      </c>
      <c r="AA88" s="472">
        <v>0</v>
      </c>
      <c r="AB88" s="472">
        <v>0</v>
      </c>
      <c r="AC88" s="472">
        <v>0</v>
      </c>
      <c r="AD88" s="472">
        <v>0</v>
      </c>
      <c r="AE88" s="472">
        <v>0</v>
      </c>
      <c r="AF88" s="472">
        <v>0</v>
      </c>
      <c r="AG88" s="472">
        <v>0</v>
      </c>
      <c r="AH88" s="472">
        <v>0</v>
      </c>
      <c r="AI88" s="472">
        <v>0</v>
      </c>
      <c r="AJ88" s="472">
        <v>0</v>
      </c>
      <c r="AK88" s="472">
        <v>0</v>
      </c>
      <c r="AL88" s="472">
        <v>0</v>
      </c>
      <c r="AM88" s="472">
        <v>0</v>
      </c>
      <c r="AN88" s="472">
        <v>0</v>
      </c>
      <c r="AO88" s="472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453</v>
      </c>
      <c r="F89" s="472">
        <v>0</v>
      </c>
      <c r="G89" s="472">
        <v>0</v>
      </c>
      <c r="H89" s="472">
        <v>0</v>
      </c>
      <c r="I89" s="472">
        <v>0</v>
      </c>
      <c r="J89" s="472">
        <f>MCC_M_RUVY_matrices_mat_level!G157*MCC_h_RUVY_matrices_mat_level!G156 / MCC_MW_RUVY_matrices_mat_level!J88</f>
        <v>-1333105.1092348634</v>
      </c>
      <c r="K89" s="472">
        <v>0</v>
      </c>
      <c r="L89" s="472">
        <v>0</v>
      </c>
      <c r="M89" s="472">
        <v>0</v>
      </c>
      <c r="N89" s="472">
        <v>0</v>
      </c>
      <c r="O89" s="472">
        <v>0</v>
      </c>
      <c r="P89" s="472">
        <v>0</v>
      </c>
      <c r="Q89" s="472">
        <v>0</v>
      </c>
      <c r="R89" s="472">
        <v>0</v>
      </c>
      <c r="S89" s="472">
        <v>0</v>
      </c>
      <c r="T89" s="472">
        <v>0</v>
      </c>
      <c r="U89" s="472">
        <v>0</v>
      </c>
      <c r="V89" s="472">
        <v>0</v>
      </c>
      <c r="W89" s="472">
        <v>0</v>
      </c>
      <c r="X89" s="472">
        <v>0</v>
      </c>
      <c r="Y89" s="472">
        <v>0</v>
      </c>
      <c r="Z89" s="472">
        <v>0</v>
      </c>
      <c r="AA89" s="472">
        <v>0</v>
      </c>
      <c r="AB89" s="472">
        <v>0</v>
      </c>
      <c r="AC89" s="472">
        <v>0</v>
      </c>
      <c r="AD89" s="472">
        <v>0</v>
      </c>
      <c r="AE89" s="472">
        <v>0</v>
      </c>
      <c r="AF89" s="472">
        <v>0</v>
      </c>
      <c r="AG89" s="472">
        <v>0</v>
      </c>
      <c r="AH89" s="472">
        <v>0</v>
      </c>
      <c r="AI89" s="472">
        <v>0</v>
      </c>
      <c r="AJ89" s="472">
        <v>0</v>
      </c>
      <c r="AK89" s="472">
        <v>0</v>
      </c>
      <c r="AL89" s="472">
        <v>0</v>
      </c>
      <c r="AM89" s="472">
        <v>0</v>
      </c>
      <c r="AN89" s="472">
        <v>0</v>
      </c>
      <c r="AO89" s="472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549</v>
      </c>
      <c r="F90" s="472">
        <v>0</v>
      </c>
      <c r="G90" s="472">
        <v>0</v>
      </c>
      <c r="H90" s="472">
        <v>0</v>
      </c>
      <c r="I90" s="472">
        <v>0</v>
      </c>
      <c r="J90" s="472">
        <v>0</v>
      </c>
      <c r="K90" s="472">
        <f>MCC_M_RUVY_matrices_mat_level!H158*MCC_h_RUVY_matrices_mat_level!H157 / MCC_MW_RUVY_matrices_mat_level!K89</f>
        <v>110229.37028964539</v>
      </c>
      <c r="L90" s="472">
        <v>0</v>
      </c>
      <c r="M90" s="472">
        <v>0</v>
      </c>
      <c r="N90" s="472">
        <v>0</v>
      </c>
      <c r="O90" s="472">
        <v>0</v>
      </c>
      <c r="P90" s="472">
        <v>0</v>
      </c>
      <c r="Q90" s="472">
        <v>0</v>
      </c>
      <c r="R90" s="472">
        <v>0</v>
      </c>
      <c r="S90" s="472">
        <v>0</v>
      </c>
      <c r="T90" s="472">
        <v>0</v>
      </c>
      <c r="U90" s="472">
        <v>0</v>
      </c>
      <c r="V90" s="472">
        <v>0</v>
      </c>
      <c r="W90" s="472">
        <v>0</v>
      </c>
      <c r="X90" s="472">
        <v>0</v>
      </c>
      <c r="Y90" s="472">
        <v>0</v>
      </c>
      <c r="Z90" s="472">
        <v>0</v>
      </c>
      <c r="AA90" s="472">
        <v>0</v>
      </c>
      <c r="AB90" s="472">
        <v>0</v>
      </c>
      <c r="AC90" s="472">
        <v>0</v>
      </c>
      <c r="AD90" s="472">
        <v>0</v>
      </c>
      <c r="AE90" s="472">
        <v>0</v>
      </c>
      <c r="AF90" s="472">
        <v>0</v>
      </c>
      <c r="AG90" s="472">
        <v>0</v>
      </c>
      <c r="AH90" s="472">
        <v>0</v>
      </c>
      <c r="AI90" s="472">
        <v>0</v>
      </c>
      <c r="AJ90" s="472">
        <v>0</v>
      </c>
      <c r="AK90" s="472">
        <v>0</v>
      </c>
      <c r="AL90" s="472">
        <v>0</v>
      </c>
      <c r="AM90" s="472">
        <v>0</v>
      </c>
      <c r="AN90" s="472">
        <v>0</v>
      </c>
      <c r="AO90" s="472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548</v>
      </c>
      <c r="F91" s="472">
        <v>0</v>
      </c>
      <c r="G91" s="472">
        <v>0</v>
      </c>
      <c r="H91" s="472">
        <v>0</v>
      </c>
      <c r="I91" s="472">
        <v>0</v>
      </c>
      <c r="J91" s="472">
        <v>0</v>
      </c>
      <c r="K91" s="472">
        <v>0</v>
      </c>
      <c r="L91" s="472">
        <f>MCC_M_RUVY_matrices_mat_level!I159*MCC_h_RUVY_matrices_mat_level!I158 / MCC_MW_RUVY_matrices_mat_level!L90</f>
        <v>-1.1322425723331082</v>
      </c>
      <c r="M91" s="472">
        <v>0</v>
      </c>
      <c r="N91" s="472">
        <v>0</v>
      </c>
      <c r="O91" s="472">
        <v>0</v>
      </c>
      <c r="P91" s="472">
        <v>0</v>
      </c>
      <c r="Q91" s="472">
        <v>0</v>
      </c>
      <c r="R91" s="472">
        <v>0</v>
      </c>
      <c r="S91" s="472">
        <v>0</v>
      </c>
      <c r="T91" s="472">
        <v>0</v>
      </c>
      <c r="U91" s="472">
        <v>0</v>
      </c>
      <c r="V91" s="472">
        <v>0</v>
      </c>
      <c r="W91" s="472">
        <v>0</v>
      </c>
      <c r="X91" s="472">
        <v>0</v>
      </c>
      <c r="Y91" s="472">
        <v>0</v>
      </c>
      <c r="Z91" s="472">
        <v>0</v>
      </c>
      <c r="AA91" s="472">
        <v>0</v>
      </c>
      <c r="AB91" s="472">
        <v>0</v>
      </c>
      <c r="AC91" s="472">
        <v>0</v>
      </c>
      <c r="AD91" s="472">
        <v>0</v>
      </c>
      <c r="AE91" s="472">
        <v>0</v>
      </c>
      <c r="AF91" s="472">
        <v>0</v>
      </c>
      <c r="AG91" s="472">
        <v>0</v>
      </c>
      <c r="AH91" s="472">
        <v>0</v>
      </c>
      <c r="AI91" s="472">
        <v>0</v>
      </c>
      <c r="AJ91" s="472">
        <v>0</v>
      </c>
      <c r="AK91" s="472">
        <v>0</v>
      </c>
      <c r="AL91" s="472">
        <v>0</v>
      </c>
      <c r="AM91" s="472">
        <v>0</v>
      </c>
      <c r="AN91" s="472">
        <v>0</v>
      </c>
      <c r="AO91" s="472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490</v>
      </c>
      <c r="F92" s="472">
        <v>0</v>
      </c>
      <c r="G92" s="472">
        <v>0</v>
      </c>
      <c r="H92" s="472">
        <v>0</v>
      </c>
      <c r="I92" s="472">
        <v>0</v>
      </c>
      <c r="J92" s="472">
        <v>0</v>
      </c>
      <c r="K92" s="472">
        <v>0</v>
      </c>
      <c r="L92" s="472">
        <v>0</v>
      </c>
      <c r="M92" s="472">
        <f>MCC_M_RUVY_matrices_mat_level!J160*MCC_h_RUVY_matrices_mat_level!J159 / MCC_MW_RUVY_matrices_mat_level!M91</f>
        <v>194131.36779323625</v>
      </c>
      <c r="N92" s="472">
        <v>0</v>
      </c>
      <c r="O92" s="472">
        <v>0</v>
      </c>
      <c r="P92" s="472">
        <v>0</v>
      </c>
      <c r="Q92" s="472">
        <v>0</v>
      </c>
      <c r="R92" s="472">
        <v>0</v>
      </c>
      <c r="S92" s="472">
        <v>0</v>
      </c>
      <c r="T92" s="472">
        <v>0</v>
      </c>
      <c r="U92" s="472">
        <v>0</v>
      </c>
      <c r="V92" s="472">
        <v>0</v>
      </c>
      <c r="W92" s="472">
        <v>0</v>
      </c>
      <c r="X92" s="472">
        <v>0</v>
      </c>
      <c r="Y92" s="472">
        <v>0</v>
      </c>
      <c r="Z92" s="472">
        <v>0</v>
      </c>
      <c r="AA92" s="472">
        <v>0</v>
      </c>
      <c r="AB92" s="472">
        <v>0</v>
      </c>
      <c r="AC92" s="472">
        <v>0</v>
      </c>
      <c r="AD92" s="472">
        <v>0</v>
      </c>
      <c r="AE92" s="472">
        <v>0</v>
      </c>
      <c r="AF92" s="472">
        <v>0</v>
      </c>
      <c r="AG92" s="472">
        <v>0</v>
      </c>
      <c r="AH92" s="472">
        <v>0</v>
      </c>
      <c r="AI92" s="472">
        <v>0</v>
      </c>
      <c r="AJ92" s="472">
        <v>0</v>
      </c>
      <c r="AK92" s="472">
        <v>0</v>
      </c>
      <c r="AL92" s="472">
        <v>0</v>
      </c>
      <c r="AM92" s="472">
        <v>0</v>
      </c>
      <c r="AN92" s="472">
        <v>0</v>
      </c>
      <c r="AO92" s="472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300" t="s">
        <v>538</v>
      </c>
      <c r="F93" s="472">
        <v>0</v>
      </c>
      <c r="G93" s="472">
        <v>0</v>
      </c>
      <c r="H93" s="472">
        <v>0</v>
      </c>
      <c r="I93" s="472">
        <v>0</v>
      </c>
      <c r="J93" s="472">
        <v>0</v>
      </c>
      <c r="K93" s="472">
        <v>0</v>
      </c>
      <c r="L93" s="472">
        <v>0</v>
      </c>
      <c r="M93" s="472">
        <v>0</v>
      </c>
      <c r="N93" s="472">
        <v>0</v>
      </c>
      <c r="O93" s="472">
        <v>0</v>
      </c>
      <c r="P93" s="472">
        <v>0</v>
      </c>
      <c r="Q93" s="472">
        <v>0</v>
      </c>
      <c r="R93" s="472">
        <v>0</v>
      </c>
      <c r="S93" s="472">
        <v>0</v>
      </c>
      <c r="T93" s="472">
        <v>0</v>
      </c>
      <c r="U93" s="472">
        <v>0</v>
      </c>
      <c r="V93" s="472">
        <v>0</v>
      </c>
      <c r="W93" s="472">
        <v>0</v>
      </c>
      <c r="X93" s="472">
        <v>0</v>
      </c>
      <c r="Y93" s="472">
        <v>0</v>
      </c>
      <c r="Z93" s="472">
        <v>0</v>
      </c>
      <c r="AA93" s="472">
        <v>0</v>
      </c>
      <c r="AB93" s="472">
        <v>0</v>
      </c>
      <c r="AC93" s="472">
        <v>0</v>
      </c>
      <c r="AD93" s="472">
        <v>0</v>
      </c>
      <c r="AE93" s="472">
        <v>0</v>
      </c>
      <c r="AF93" s="472">
        <v>0</v>
      </c>
      <c r="AG93" s="472">
        <v>0</v>
      </c>
      <c r="AH93" s="472">
        <v>0</v>
      </c>
      <c r="AI93" s="472">
        <v>0</v>
      </c>
      <c r="AJ93" s="472">
        <v>0</v>
      </c>
      <c r="AK93" s="472">
        <v>0</v>
      </c>
      <c r="AL93" s="472">
        <v>0</v>
      </c>
      <c r="AM93" s="472">
        <v>0</v>
      </c>
      <c r="AN93" s="472">
        <v>0</v>
      </c>
      <c r="AO93" s="472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467" t="s">
        <v>57</v>
      </c>
      <c r="G94" s="467"/>
      <c r="H94" s="467"/>
      <c r="I94" s="467"/>
      <c r="J94" s="467"/>
      <c r="K94" s="467"/>
      <c r="L94" s="467"/>
      <c r="M94" s="467"/>
      <c r="N94" s="467"/>
      <c r="O94" s="467"/>
      <c r="P94" s="467"/>
      <c r="Q94" s="467"/>
      <c r="R94" s="467"/>
      <c r="S94" s="467"/>
      <c r="T94" s="467"/>
      <c r="U94" s="467"/>
      <c r="V94" s="467"/>
      <c r="W94" s="467"/>
      <c r="X94" s="467"/>
      <c r="Y94" s="467"/>
      <c r="Z94" s="467"/>
      <c r="AA94" s="467"/>
      <c r="AB94" s="467"/>
      <c r="AC94" s="467"/>
      <c r="AD94" s="467"/>
      <c r="AE94" s="467"/>
      <c r="AF94" s="467"/>
      <c r="AG94" s="467"/>
      <c r="AH94" s="467"/>
      <c r="AI94" s="467"/>
      <c r="AJ94" s="467"/>
      <c r="AK94" s="467"/>
      <c r="AL94" s="467"/>
      <c r="AM94" s="467"/>
      <c r="AN94" s="467"/>
      <c r="AO94" s="467"/>
      <c r="AP94" s="45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 x14ac:dyDescent="0.2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 x14ac:dyDescent="0.2">
      <c r="E99" s="3"/>
      <c r="F99" s="405" t="s">
        <v>632</v>
      </c>
      <c r="G99" s="405"/>
      <c r="H99" s="405"/>
      <c r="I99" s="405"/>
      <c r="J99" s="405"/>
      <c r="K99" s="405"/>
      <c r="L99" s="405"/>
      <c r="M99" s="405"/>
      <c r="N99" s="405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201" t="s">
        <v>410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 x14ac:dyDescent="0.2">
      <c r="E103" s="201" t="s">
        <v>412</v>
      </c>
      <c r="F103" s="248">
        <v>-1359457.7959575919</v>
      </c>
      <c r="G103" s="3"/>
      <c r="H103" s="248">
        <v>0</v>
      </c>
      <c r="I103" s="3"/>
      <c r="J103" s="248">
        <f>BI19</f>
        <v>-1359457.7959575919</v>
      </c>
      <c r="K103" s="3"/>
      <c r="L103" s="248">
        <v>0</v>
      </c>
      <c r="M103" s="3"/>
      <c r="N103" s="295">
        <f t="shared" ref="N103:N137" si="6">F103+H103-J103-L103</f>
        <v>0</v>
      </c>
    </row>
    <row r="104" spans="5:14" x14ac:dyDescent="0.2">
      <c r="E104" s="201" t="s">
        <v>413</v>
      </c>
      <c r="F104" s="248">
        <v>9126570.1860198174</v>
      </c>
      <c r="G104" s="3"/>
      <c r="H104" s="248">
        <v>0</v>
      </c>
      <c r="I104" s="3"/>
      <c r="J104" s="248">
        <f>BI20</f>
        <v>9126570.1860198174</v>
      </c>
      <c r="K104" s="3"/>
      <c r="L104" s="248">
        <v>0</v>
      </c>
      <c r="M104" s="3"/>
      <c r="N104" s="295">
        <f t="shared" si="6"/>
        <v>0</v>
      </c>
    </row>
    <row r="105" spans="5:14" x14ac:dyDescent="0.2">
      <c r="E105" s="201" t="s">
        <v>432</v>
      </c>
      <c r="F105" s="248">
        <v>0</v>
      </c>
      <c r="G105" s="3"/>
      <c r="H105" s="248">
        <v>0</v>
      </c>
      <c r="I105" s="3"/>
      <c r="J105" s="248">
        <f>BI21</f>
        <v>0</v>
      </c>
      <c r="K105" s="3"/>
      <c r="L105" s="248">
        <v>0</v>
      </c>
      <c r="M105" s="3"/>
      <c r="N105" s="295">
        <f t="shared" si="6"/>
        <v>0</v>
      </c>
    </row>
    <row r="106" spans="5:14" x14ac:dyDescent="0.2">
      <c r="E106" s="201" t="s">
        <v>454</v>
      </c>
      <c r="F106" s="248">
        <v>-1333105.1092348634</v>
      </c>
      <c r="G106" s="3"/>
      <c r="H106" s="248">
        <v>0</v>
      </c>
      <c r="I106" s="3"/>
      <c r="J106" s="248">
        <f>BI22</f>
        <v>-1333105.1092348634</v>
      </c>
      <c r="K106" s="3"/>
      <c r="L106" s="248">
        <v>0</v>
      </c>
      <c r="M106" s="3"/>
      <c r="N106" s="295">
        <f t="shared" si="6"/>
        <v>0</v>
      </c>
    </row>
    <row r="107" spans="5:14" x14ac:dyDescent="0.2">
      <c r="E107" s="201" t="s">
        <v>487</v>
      </c>
      <c r="F107" s="248">
        <v>110229.37028964539</v>
      </c>
      <c r="G107" s="3"/>
      <c r="H107" s="248">
        <v>0</v>
      </c>
      <c r="I107" s="3"/>
      <c r="J107" s="248">
        <f>BI23</f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 x14ac:dyDescent="0.2">
      <c r="E108" s="201" t="s">
        <v>488</v>
      </c>
      <c r="F108" s="248">
        <v>-1.1322425723331082</v>
      </c>
      <c r="G108" s="3"/>
      <c r="H108" s="248">
        <v>0</v>
      </c>
      <c r="I108" s="3"/>
      <c r="J108" s="248">
        <f>BI24</f>
        <v>-1.1322425723331082</v>
      </c>
      <c r="K108" s="3"/>
      <c r="L108" s="248">
        <v>0</v>
      </c>
      <c r="M108" s="3"/>
      <c r="N108" s="295">
        <f t="shared" si="6"/>
        <v>0</v>
      </c>
    </row>
    <row r="109" spans="5:14" x14ac:dyDescent="0.2">
      <c r="E109" s="201" t="s">
        <v>491</v>
      </c>
      <c r="F109" s="248">
        <v>194131.36779323625</v>
      </c>
      <c r="G109" s="3"/>
      <c r="H109" s="248">
        <v>0</v>
      </c>
      <c r="I109" s="3"/>
      <c r="J109" s="248">
        <f>BI25</f>
        <v>194131.36779323625</v>
      </c>
      <c r="K109" s="3"/>
      <c r="L109" s="248">
        <v>0</v>
      </c>
      <c r="M109" s="3"/>
      <c r="N109" s="295">
        <f t="shared" si="6"/>
        <v>0</v>
      </c>
    </row>
    <row r="110" spans="5:14" x14ac:dyDescent="0.2">
      <c r="E110" s="201" t="s">
        <v>539</v>
      </c>
      <c r="F110" s="248">
        <v>0</v>
      </c>
      <c r="G110" s="3"/>
      <c r="H110" s="248">
        <v>0</v>
      </c>
      <c r="I110" s="3"/>
      <c r="J110" s="248">
        <f>BI26</f>
        <v>0</v>
      </c>
      <c r="K110" s="3"/>
      <c r="L110" s="248">
        <v>0</v>
      </c>
      <c r="M110" s="3"/>
      <c r="N110" s="295">
        <f t="shared" si="6"/>
        <v>0</v>
      </c>
    </row>
    <row r="111" spans="5:14" ht="16" x14ac:dyDescent="0.2">
      <c r="E111" s="202" t="s">
        <v>522</v>
      </c>
      <c r="F111" s="248">
        <v>0</v>
      </c>
      <c r="G111" s="3"/>
      <c r="H111" s="248">
        <v>-1777985.4355511186</v>
      </c>
      <c r="I111" s="3"/>
      <c r="J111" s="248">
        <f>BI27</f>
        <v>-1777985.4355511186</v>
      </c>
      <c r="K111" s="3"/>
      <c r="L111" s="248">
        <v>0</v>
      </c>
      <c r="M111" s="3"/>
      <c r="N111" s="295">
        <f t="shared" si="6"/>
        <v>0</v>
      </c>
    </row>
    <row r="112" spans="5:14" x14ac:dyDescent="0.2">
      <c r="E112" s="201" t="s">
        <v>489</v>
      </c>
      <c r="F112" s="248">
        <v>0</v>
      </c>
      <c r="G112" s="3"/>
      <c r="H112" s="248">
        <v>-35429.897676176748</v>
      </c>
      <c r="I112" s="3"/>
      <c r="J112" s="248">
        <f>BI28</f>
        <v>0</v>
      </c>
      <c r="K112" s="3"/>
      <c r="L112" s="248">
        <v>-35429.897676176748</v>
      </c>
      <c r="M112" s="3"/>
      <c r="N112" s="295">
        <f t="shared" si="6"/>
        <v>0</v>
      </c>
    </row>
    <row r="113" spans="5:14" ht="16" x14ac:dyDescent="0.2">
      <c r="E113" s="202" t="s">
        <v>492</v>
      </c>
      <c r="F113" s="248">
        <v>0</v>
      </c>
      <c r="G113" s="3"/>
      <c r="H113" s="248">
        <v>-1359457.7959575919</v>
      </c>
      <c r="I113" s="3"/>
      <c r="J113" s="248">
        <f>BI29</f>
        <v>-1359457.7959575919</v>
      </c>
      <c r="K113" s="3"/>
      <c r="L113" s="248">
        <v>0</v>
      </c>
      <c r="M113" s="3"/>
      <c r="N113" s="295">
        <f t="shared" si="6"/>
        <v>0</v>
      </c>
    </row>
    <row r="114" spans="5:14" x14ac:dyDescent="0.2">
      <c r="E114" s="201" t="s">
        <v>517</v>
      </c>
      <c r="F114" s="248">
        <v>0</v>
      </c>
      <c r="G114" s="3"/>
      <c r="H114" s="248">
        <v>-106.02767886152715</v>
      </c>
      <c r="I114" s="3"/>
      <c r="J114" s="248">
        <f>BI30</f>
        <v>0</v>
      </c>
      <c r="K114" s="3"/>
      <c r="L114" s="248">
        <v>-106.02767886152715</v>
      </c>
      <c r="M114" s="3"/>
      <c r="N114" s="295">
        <f t="shared" si="6"/>
        <v>0</v>
      </c>
    </row>
    <row r="115" spans="5:14" x14ac:dyDescent="0.2">
      <c r="E115" s="203" t="s">
        <v>510</v>
      </c>
      <c r="F115" s="248">
        <v>0</v>
      </c>
      <c r="G115" s="255" t="s">
        <v>448</v>
      </c>
      <c r="H115" s="248">
        <v>-112.78165025676648</v>
      </c>
      <c r="I115" s="169" t="s">
        <v>450</v>
      </c>
      <c r="J115" s="248">
        <f>BI31</f>
        <v>-112.78165025676648</v>
      </c>
      <c r="K115" s="169" t="s">
        <v>450</v>
      </c>
      <c r="L115" s="248">
        <v>0</v>
      </c>
      <c r="M115" s="255" t="s">
        <v>451</v>
      </c>
      <c r="N115" s="295">
        <f t="shared" si="6"/>
        <v>0</v>
      </c>
    </row>
    <row r="116" spans="5:14" x14ac:dyDescent="0.2">
      <c r="E116" s="201" t="s">
        <v>496</v>
      </c>
      <c r="F116" s="248">
        <v>0</v>
      </c>
      <c r="G116" s="3"/>
      <c r="H116" s="248">
        <v>-8771.8572366008211</v>
      </c>
      <c r="I116" s="3"/>
      <c r="J116" s="248">
        <f>BI32</f>
        <v>0</v>
      </c>
      <c r="K116" s="3"/>
      <c r="L116" s="248">
        <v>-8771.8572366008211</v>
      </c>
      <c r="M116" s="3"/>
      <c r="N116" s="295">
        <f t="shared" si="6"/>
        <v>0</v>
      </c>
    </row>
    <row r="117" spans="5:14" ht="16" x14ac:dyDescent="0.2">
      <c r="E117" s="202" t="s">
        <v>521</v>
      </c>
      <c r="F117" s="248">
        <v>0</v>
      </c>
      <c r="G117" s="3"/>
      <c r="H117" s="248">
        <v>-1777985.4355511186</v>
      </c>
      <c r="I117" s="3"/>
      <c r="J117" s="248">
        <f>BI33</f>
        <v>-1777985.4355511186</v>
      </c>
      <c r="K117" s="3"/>
      <c r="L117" s="248">
        <v>0</v>
      </c>
      <c r="M117" s="3"/>
      <c r="N117" s="295">
        <f t="shared" si="6"/>
        <v>0</v>
      </c>
    </row>
    <row r="118" spans="5:14" ht="16" x14ac:dyDescent="0.2">
      <c r="E118" s="202" t="s">
        <v>516</v>
      </c>
      <c r="F118" s="248">
        <v>0</v>
      </c>
      <c r="G118" s="3"/>
      <c r="H118" s="248">
        <v>-1359457.7959575919</v>
      </c>
      <c r="I118" s="3"/>
      <c r="J118" s="248">
        <f>BI34</f>
        <v>-1359457.7959575919</v>
      </c>
      <c r="K118" s="3"/>
      <c r="L118" s="248">
        <v>0</v>
      </c>
      <c r="M118" s="3"/>
      <c r="N118" s="295">
        <f t="shared" si="6"/>
        <v>0</v>
      </c>
    </row>
    <row r="119" spans="5:14" ht="16" x14ac:dyDescent="0.2">
      <c r="E119" s="202" t="s">
        <v>513</v>
      </c>
      <c r="F119" s="248">
        <v>0</v>
      </c>
      <c r="G119" s="3"/>
      <c r="H119" s="248">
        <v>-112.78165025676648</v>
      </c>
      <c r="I119" s="3"/>
      <c r="J119" s="248">
        <f>BI35</f>
        <v>-112.78165025676648</v>
      </c>
      <c r="K119" s="3"/>
      <c r="L119" s="248">
        <v>0</v>
      </c>
      <c r="M119" s="3"/>
      <c r="N119" s="295">
        <f t="shared" si="6"/>
        <v>0</v>
      </c>
    </row>
    <row r="120" spans="5:14" ht="16" x14ac:dyDescent="0.2">
      <c r="E120" s="202" t="s">
        <v>519</v>
      </c>
      <c r="F120" s="248">
        <v>0</v>
      </c>
      <c r="G120" s="3"/>
      <c r="H120" s="248">
        <v>-3797055.1820632704</v>
      </c>
      <c r="I120" s="3"/>
      <c r="J120" s="248">
        <f>BI36</f>
        <v>-3797055.1820632704</v>
      </c>
      <c r="K120" s="3"/>
      <c r="L120" s="248">
        <v>0</v>
      </c>
      <c r="M120" s="3"/>
      <c r="N120" s="295">
        <f t="shared" si="6"/>
        <v>0</v>
      </c>
    </row>
    <row r="121" spans="5:14" x14ac:dyDescent="0.2">
      <c r="E121" s="203" t="s">
        <v>518</v>
      </c>
      <c r="F121" s="248">
        <v>0</v>
      </c>
      <c r="G121" s="3"/>
      <c r="H121" s="248">
        <v>-66021.418271669754</v>
      </c>
      <c r="I121" s="3"/>
      <c r="J121" s="248">
        <f>BI37</f>
        <v>0</v>
      </c>
      <c r="K121" s="3"/>
      <c r="L121" s="248">
        <v>-66021.418271669754</v>
      </c>
      <c r="M121" s="3"/>
      <c r="N121" s="295">
        <f t="shared" si="6"/>
        <v>0</v>
      </c>
    </row>
    <row r="122" spans="5:14" x14ac:dyDescent="0.2">
      <c r="E122" s="203" t="s">
        <v>504</v>
      </c>
      <c r="F122" s="248">
        <v>0</v>
      </c>
      <c r="G122" s="3"/>
      <c r="H122" s="248">
        <v>-1359457.7959575919</v>
      </c>
      <c r="I122" s="3"/>
      <c r="J122" s="248">
        <f>BI38</f>
        <v>-1359457.7959575919</v>
      </c>
      <c r="K122" s="3"/>
      <c r="L122" s="248">
        <v>0</v>
      </c>
      <c r="M122" s="3"/>
      <c r="N122" s="295">
        <f t="shared" si="6"/>
        <v>0</v>
      </c>
    </row>
    <row r="123" spans="5:14" x14ac:dyDescent="0.2">
      <c r="E123" s="203" t="s">
        <v>536</v>
      </c>
      <c r="F123" s="248">
        <v>0</v>
      </c>
      <c r="G123" s="3"/>
      <c r="H123" s="248">
        <v>-112.78165025676648</v>
      </c>
      <c r="I123" s="3"/>
      <c r="J123" s="248">
        <f>BI39</f>
        <v>-112.78165025676648</v>
      </c>
      <c r="K123" s="3"/>
      <c r="L123" s="248">
        <v>0</v>
      </c>
      <c r="M123" s="3"/>
      <c r="N123" s="295">
        <f t="shared" si="6"/>
        <v>0</v>
      </c>
    </row>
    <row r="124" spans="5:14" x14ac:dyDescent="0.2">
      <c r="E124" s="203" t="s">
        <v>505</v>
      </c>
      <c r="F124" s="248">
        <v>0</v>
      </c>
      <c r="G124" s="3"/>
      <c r="H124" s="248">
        <v>-1256817.6045988721</v>
      </c>
      <c r="I124" s="3"/>
      <c r="J124" s="248">
        <f>BI40</f>
        <v>-1256817.6045988721</v>
      </c>
      <c r="K124" s="3"/>
      <c r="L124" s="248">
        <v>0</v>
      </c>
      <c r="M124" s="3"/>
      <c r="N124" s="295">
        <f t="shared" si="6"/>
        <v>0</v>
      </c>
    </row>
    <row r="125" spans="5:14" x14ac:dyDescent="0.2">
      <c r="E125" s="203" t="s">
        <v>507</v>
      </c>
      <c r="F125" s="248">
        <v>0</v>
      </c>
      <c r="G125" s="3"/>
      <c r="H125" s="248">
        <v>-74404.460335125405</v>
      </c>
      <c r="I125" s="3"/>
      <c r="J125" s="248">
        <f>BI41</f>
        <v>0</v>
      </c>
      <c r="K125" s="3"/>
      <c r="L125" s="248">
        <v>-74404.460335125405</v>
      </c>
      <c r="M125" s="3"/>
      <c r="N125" s="295">
        <f t="shared" si="6"/>
        <v>0</v>
      </c>
    </row>
    <row r="126" spans="5:14" x14ac:dyDescent="0.2">
      <c r="E126" s="203" t="s">
        <v>506</v>
      </c>
      <c r="F126" s="248">
        <v>0</v>
      </c>
      <c r="G126" s="3"/>
      <c r="H126" s="248">
        <v>-1082643.9792420177</v>
      </c>
      <c r="I126" s="3"/>
      <c r="J126" s="248">
        <f>BI42</f>
        <v>0</v>
      </c>
      <c r="K126" s="3"/>
      <c r="L126" s="248">
        <v>-1082643.9792420177</v>
      </c>
      <c r="M126" s="3"/>
      <c r="N126" s="295">
        <f t="shared" si="6"/>
        <v>0</v>
      </c>
    </row>
    <row r="127" spans="5:14" x14ac:dyDescent="0.2">
      <c r="E127" s="203" t="s">
        <v>601</v>
      </c>
      <c r="F127" s="248">
        <v>0</v>
      </c>
      <c r="G127" s="3"/>
      <c r="H127" s="248">
        <v>6114656.4031687425</v>
      </c>
      <c r="I127" s="3"/>
      <c r="J127" s="248">
        <f>BI43</f>
        <v>6114656.4031687425</v>
      </c>
      <c r="K127" s="3"/>
      <c r="L127" s="248">
        <v>0</v>
      </c>
      <c r="M127" s="3"/>
      <c r="N127" s="295">
        <f t="shared" si="6"/>
        <v>0</v>
      </c>
    </row>
    <row r="128" spans="5:14" ht="16" x14ac:dyDescent="0.2">
      <c r="E128" s="249" t="s">
        <v>502</v>
      </c>
      <c r="F128" s="248">
        <v>0</v>
      </c>
      <c r="G128" s="3"/>
      <c r="H128" s="248">
        <v>-13740.19434752778</v>
      </c>
      <c r="I128" s="3"/>
      <c r="J128" s="248">
        <f>BI44</f>
        <v>-13740.19434752778</v>
      </c>
      <c r="K128" s="3"/>
      <c r="L128" s="248">
        <v>0</v>
      </c>
      <c r="M128" s="3"/>
      <c r="N128" s="295">
        <f t="shared" si="6"/>
        <v>0</v>
      </c>
    </row>
    <row r="129" spans="5:14" ht="16" x14ac:dyDescent="0.2">
      <c r="E129" s="249" t="s">
        <v>676</v>
      </c>
      <c r="F129" s="248">
        <v>0</v>
      </c>
      <c r="G129" s="3"/>
      <c r="H129" s="248">
        <v>-3677.1587424372706</v>
      </c>
      <c r="I129" s="3"/>
      <c r="J129" s="248">
        <f>BI45</f>
        <v>0</v>
      </c>
      <c r="K129" s="3"/>
      <c r="L129" s="248">
        <v>-3677.1587424372706</v>
      </c>
      <c r="M129" s="3"/>
      <c r="N129" s="295">
        <f t="shared" si="6"/>
        <v>0</v>
      </c>
    </row>
    <row r="130" spans="5:14" x14ac:dyDescent="0.2">
      <c r="E130" s="203" t="s">
        <v>501</v>
      </c>
      <c r="F130" s="248">
        <v>0</v>
      </c>
      <c r="G130" s="3"/>
      <c r="H130" s="248">
        <v>-12527.870530226932</v>
      </c>
      <c r="I130" s="3"/>
      <c r="J130" s="248">
        <f>BI46</f>
        <v>0</v>
      </c>
      <c r="K130" s="3"/>
      <c r="L130" s="248">
        <v>-12527.870530226932</v>
      </c>
      <c r="M130" s="3"/>
      <c r="N130" s="295">
        <f t="shared" si="6"/>
        <v>0</v>
      </c>
    </row>
    <row r="131" spans="5:14" x14ac:dyDescent="0.2">
      <c r="E131" s="201" t="s">
        <v>503</v>
      </c>
      <c r="F131" s="248">
        <v>0</v>
      </c>
      <c r="G131" s="3"/>
      <c r="H131" s="248">
        <v>-3678478.5848042481</v>
      </c>
      <c r="I131" s="3"/>
      <c r="J131" s="248">
        <f>BI47</f>
        <v>0</v>
      </c>
      <c r="K131" s="3"/>
      <c r="L131" s="248">
        <v>-3678478.5848042481</v>
      </c>
      <c r="M131" s="3"/>
      <c r="N131" s="295">
        <f t="shared" si="6"/>
        <v>0</v>
      </c>
    </row>
    <row r="132" spans="5:14" x14ac:dyDescent="0.2">
      <c r="E132" s="203" t="s">
        <v>635</v>
      </c>
      <c r="F132" s="248">
        <v>0</v>
      </c>
      <c r="G132" s="3"/>
      <c r="H132" s="248">
        <v>-13104.628581498642</v>
      </c>
      <c r="I132" s="3"/>
      <c r="J132" s="248">
        <f>BI48</f>
        <v>-13104.628581498642</v>
      </c>
      <c r="K132" s="3"/>
      <c r="L132" s="248">
        <v>0</v>
      </c>
      <c r="M132" s="3"/>
      <c r="N132" s="295">
        <f t="shared" si="6"/>
        <v>0</v>
      </c>
    </row>
    <row r="133" spans="5:14" x14ac:dyDescent="0.2">
      <c r="E133" s="203" t="s">
        <v>638</v>
      </c>
      <c r="F133" s="248">
        <v>0</v>
      </c>
      <c r="G133" s="3"/>
      <c r="H133" s="248">
        <v>-13104.628581498642</v>
      </c>
      <c r="I133" s="3"/>
      <c r="J133" s="248">
        <f>BI49</f>
        <v>-9173.2400070490494</v>
      </c>
      <c r="K133" s="3"/>
      <c r="L133" s="248">
        <v>-3931.3885744495929</v>
      </c>
      <c r="M133" s="3"/>
      <c r="N133" s="295">
        <f t="shared" si="6"/>
        <v>0</v>
      </c>
    </row>
    <row r="134" spans="5:14" x14ac:dyDescent="0.2">
      <c r="E134" s="203" t="s">
        <v>525</v>
      </c>
      <c r="F134" s="248">
        <v>0</v>
      </c>
      <c r="G134" s="3"/>
      <c r="H134" s="248">
        <v>23907.404496491064</v>
      </c>
      <c r="I134" s="3"/>
      <c r="J134" s="248">
        <f>BI50</f>
        <v>23907.404496491064</v>
      </c>
      <c r="K134" s="3"/>
      <c r="L134" s="248">
        <v>0</v>
      </c>
      <c r="M134" s="3"/>
      <c r="N134" s="295">
        <f t="shared" si="6"/>
        <v>0</v>
      </c>
    </row>
    <row r="135" spans="5:14" x14ac:dyDescent="0.2">
      <c r="E135" s="203" t="s">
        <v>526</v>
      </c>
      <c r="F135" s="248">
        <v>0</v>
      </c>
      <c r="G135" s="3"/>
      <c r="H135" s="248">
        <v>0</v>
      </c>
      <c r="I135" s="3"/>
      <c r="J135" s="248">
        <f>BI51</f>
        <v>0</v>
      </c>
      <c r="K135" s="3"/>
      <c r="L135" s="248">
        <v>0</v>
      </c>
      <c r="M135" s="3"/>
      <c r="N135" s="295">
        <f t="shared" si="6"/>
        <v>0</v>
      </c>
    </row>
    <row r="136" spans="5:14" x14ac:dyDescent="0.2">
      <c r="E136" s="203" t="s">
        <v>527</v>
      </c>
      <c r="F136" s="248">
        <v>0</v>
      </c>
      <c r="G136" s="3"/>
      <c r="H136" s="248">
        <v>-2788514.0257371739</v>
      </c>
      <c r="I136" s="3"/>
      <c r="J136" s="248">
        <f>BI52</f>
        <v>0</v>
      </c>
      <c r="K136" s="3"/>
      <c r="L136" s="248">
        <v>-2788514.0257371739</v>
      </c>
      <c r="M136" s="3"/>
      <c r="N136" s="295">
        <f t="shared" si="6"/>
        <v>0</v>
      </c>
    </row>
    <row r="137" spans="5:14" x14ac:dyDescent="0.2">
      <c r="E137" s="203" t="s">
        <v>537</v>
      </c>
      <c r="F137" s="248">
        <v>0</v>
      </c>
      <c r="G137" s="3"/>
      <c r="H137" s="248">
        <v>-177387.6603372262</v>
      </c>
      <c r="I137" s="3"/>
      <c r="J137" s="248">
        <f>BI53</f>
        <v>0</v>
      </c>
      <c r="K137" s="3"/>
      <c r="L137" s="248">
        <v>-177387.6603372262</v>
      </c>
      <c r="M137" s="3"/>
      <c r="N137" s="295">
        <f t="shared" si="6"/>
        <v>0</v>
      </c>
    </row>
    <row r="138" spans="5:14" ht="17" x14ac:dyDescent="0.2">
      <c r="E138" s="203"/>
      <c r="F138" s="3" t="s">
        <v>447</v>
      </c>
      <c r="G138" s="3"/>
      <c r="H138" s="3" t="s">
        <v>449</v>
      </c>
      <c r="I138" s="3"/>
      <c r="J138" s="25" t="s">
        <v>446</v>
      </c>
      <c r="K138" s="3"/>
      <c r="L138" s="25" t="s">
        <v>39</v>
      </c>
      <c r="M138" s="3"/>
      <c r="N138" s="25">
        <f>SUM(N102:N137)</f>
        <v>0</v>
      </c>
    </row>
    <row r="142" spans="5:14" x14ac:dyDescent="0.2">
      <c r="E142" s="132"/>
      <c r="F142" s="467" t="s">
        <v>703</v>
      </c>
      <c r="G142" s="467"/>
      <c r="H142" s="467"/>
      <c r="I142" s="467"/>
      <c r="J142" s="467"/>
      <c r="K142" s="132"/>
      <c r="L142" s="132"/>
    </row>
    <row r="143" spans="5:14" x14ac:dyDescent="0.2">
      <c r="E143" s="132"/>
      <c r="F143" s="132"/>
      <c r="G143" s="132"/>
      <c r="H143" s="132"/>
      <c r="I143" s="132"/>
      <c r="J143" s="132"/>
      <c r="K143" s="132"/>
      <c r="L143" s="132"/>
    </row>
    <row r="144" spans="5:14" x14ac:dyDescent="0.2">
      <c r="E144" s="132"/>
      <c r="F144" s="132"/>
      <c r="G144" s="132"/>
      <c r="H144" s="132"/>
      <c r="I144" s="132"/>
      <c r="J144" s="132"/>
      <c r="K144" s="132"/>
      <c r="L144" s="132"/>
    </row>
    <row r="145" spans="5:12" x14ac:dyDescent="0.2">
      <c r="E145" s="300" t="s">
        <v>402</v>
      </c>
      <c r="F145" s="301" cm="1">
        <f t="array" ref="F145:F159">TRANSPOSE(AT55:BH55)</f>
        <v>-1689824.7786463453</v>
      </c>
      <c r="G145" s="476"/>
      <c r="H145" s="301">
        <v>0</v>
      </c>
      <c r="I145" s="132"/>
      <c r="J145" s="301">
        <f>AP58</f>
        <v>-1813415.3332272954</v>
      </c>
      <c r="K145" s="132"/>
      <c r="L145" s="475">
        <f>F145+H145-J145</f>
        <v>123590.55458095018</v>
      </c>
    </row>
    <row r="146" spans="5:12" x14ac:dyDescent="0.2">
      <c r="E146" s="300" t="s">
        <v>403</v>
      </c>
      <c r="F146" s="301">
        <v>-1359217.3367370586</v>
      </c>
      <c r="G146" s="476"/>
      <c r="H146" s="301">
        <v>0</v>
      </c>
      <c r="I146" s="132"/>
      <c r="J146" s="301">
        <f t="shared" ref="J146:J159" si="7">AP59</f>
        <v>-1359563.8236364534</v>
      </c>
      <c r="K146" s="132"/>
      <c r="L146" s="475">
        <f t="shared" ref="L146:L159" si="8">F146+H146-J146</f>
        <v>346.48689939477481</v>
      </c>
    </row>
    <row r="147" spans="5:12" x14ac:dyDescent="0.2">
      <c r="E147" s="300" t="s">
        <v>404</v>
      </c>
      <c r="F147" s="301">
        <v>9148397.3079415839</v>
      </c>
      <c r="G147" s="476"/>
      <c r="H147" s="301">
        <f>Ore_to_PI!AC195</f>
        <v>80616.370239891301</v>
      </c>
      <c r="I147" s="132"/>
      <c r="J147" s="301">
        <f t="shared" si="7"/>
        <v>-8884.6388868575868</v>
      </c>
      <c r="K147" s="132"/>
      <c r="L147" s="475">
        <f t="shared" si="8"/>
        <v>9237898.3170683328</v>
      </c>
    </row>
    <row r="148" spans="5:12" x14ac:dyDescent="0.2">
      <c r="E148" s="300" t="s">
        <v>535</v>
      </c>
      <c r="F148" s="301">
        <v>-1777985.4355511186</v>
      </c>
      <c r="G148" s="476"/>
      <c r="H148" s="301">
        <f>Ore_to_PI!AU28</f>
        <v>609792.2517593482</v>
      </c>
      <c r="I148" s="477"/>
      <c r="J148" s="301">
        <f t="shared" si="7"/>
        <v>-1777985.4355511186</v>
      </c>
      <c r="K148" s="477"/>
      <c r="L148" s="475">
        <f t="shared" si="8"/>
        <v>609792.2517593482</v>
      </c>
    </row>
    <row r="149" spans="5:12" x14ac:dyDescent="0.2">
      <c r="E149" s="300" t="s">
        <v>515</v>
      </c>
      <c r="F149" s="301">
        <v>-1359457.7959575919</v>
      </c>
      <c r="G149" s="476"/>
      <c r="H149" s="301">
        <f>Ore_to_PI!AU113</f>
        <v>2824.8856477449194</v>
      </c>
      <c r="I149" s="132"/>
      <c r="J149" s="301">
        <f t="shared" si="7"/>
        <v>-1359457.7959575919</v>
      </c>
      <c r="K149" s="132"/>
      <c r="L149" s="475">
        <f t="shared" si="8"/>
        <v>2824.8856477448717</v>
      </c>
    </row>
    <row r="150" spans="5:12" x14ac:dyDescent="0.2">
      <c r="E150" s="300" t="s">
        <v>514</v>
      </c>
      <c r="F150" s="301">
        <v>-112.78165025676648</v>
      </c>
      <c r="G150" s="476"/>
      <c r="H150" s="301">
        <f>Ore_to_PI!AU190</f>
        <v>282.1287710315147</v>
      </c>
      <c r="I150" s="132"/>
      <c r="J150" s="301">
        <f t="shared" si="7"/>
        <v>-112.78165025676648</v>
      </c>
      <c r="K150" s="132"/>
      <c r="L150" s="475">
        <f t="shared" si="8"/>
        <v>282.1287710315147</v>
      </c>
    </row>
    <row r="151" spans="5:12" x14ac:dyDescent="0.2">
      <c r="E151" s="300" t="s">
        <v>428</v>
      </c>
      <c r="F151" s="301">
        <v>-1777985.4355511186</v>
      </c>
      <c r="G151" s="476"/>
      <c r="H151" s="301">
        <f>Ore_to_PI!BN35</f>
        <v>12626.098826338684</v>
      </c>
      <c r="I151" s="132"/>
      <c r="J151" s="301">
        <f t="shared" si="7"/>
        <v>-3863076.60033494</v>
      </c>
      <c r="K151" s="132"/>
      <c r="L151" s="475">
        <f t="shared" si="8"/>
        <v>2097717.26361016</v>
      </c>
    </row>
    <row r="152" spans="5:12" x14ac:dyDescent="0.2">
      <c r="E152" s="300" t="s">
        <v>425</v>
      </c>
      <c r="F152" s="301">
        <v>-1359457.7959575919</v>
      </c>
      <c r="G152" s="476" t="s">
        <v>448</v>
      </c>
      <c r="H152" s="301">
        <f>Ore_to_PI!BM116</f>
        <v>34.678095164114971</v>
      </c>
      <c r="I152" s="302" t="s">
        <v>455</v>
      </c>
      <c r="J152" s="301">
        <f t="shared" si="7"/>
        <v>-1359457.7959575919</v>
      </c>
      <c r="K152" s="302" t="s">
        <v>451</v>
      </c>
      <c r="L152" s="475">
        <f t="shared" si="8"/>
        <v>34.678095164010301</v>
      </c>
    </row>
    <row r="153" spans="5:12" x14ac:dyDescent="0.2">
      <c r="E153" s="300" t="s">
        <v>439</v>
      </c>
      <c r="F153" s="301">
        <v>-112.78165025676648</v>
      </c>
      <c r="G153" s="476"/>
      <c r="H153" s="301">
        <f>Ore_to_PI!BM195</f>
        <v>50.358084153937838</v>
      </c>
      <c r="I153" s="132"/>
      <c r="J153" s="301">
        <f t="shared" si="7"/>
        <v>-112.78165025676648</v>
      </c>
      <c r="K153" s="132"/>
      <c r="L153" s="475">
        <f t="shared" si="8"/>
        <v>50.358084153937838</v>
      </c>
    </row>
    <row r="154" spans="5:12" x14ac:dyDescent="0.2">
      <c r="E154" s="300" t="s">
        <v>426</v>
      </c>
      <c r="F154" s="301">
        <v>-1534440.1295455615</v>
      </c>
      <c r="G154" s="476"/>
      <c r="H154" s="301">
        <v>0</v>
      </c>
      <c r="I154" s="132"/>
      <c r="J154" s="301">
        <f t="shared" si="7"/>
        <v>-2413866.0441760151</v>
      </c>
      <c r="K154" s="132"/>
      <c r="L154" s="475">
        <f t="shared" si="8"/>
        <v>879425.91463045357</v>
      </c>
    </row>
    <row r="155" spans="5:12" x14ac:dyDescent="0.2">
      <c r="E155" s="300" t="s">
        <v>421</v>
      </c>
      <c r="F155" s="301">
        <v>-949319.20713093248</v>
      </c>
      <c r="G155" s="476"/>
      <c r="H155" s="301">
        <v>0</v>
      </c>
      <c r="I155" s="132"/>
      <c r="J155" s="301">
        <f t="shared" si="7"/>
        <v>2406232.5947443023</v>
      </c>
      <c r="K155" s="132"/>
      <c r="L155" s="475">
        <f t="shared" si="8"/>
        <v>-3355551.8018752346</v>
      </c>
    </row>
    <row r="156" spans="5:12" x14ac:dyDescent="0.2">
      <c r="E156" s="201" t="s">
        <v>634</v>
      </c>
      <c r="F156" s="301">
        <v>-13740.19434752778</v>
      </c>
      <c r="G156" s="476"/>
      <c r="H156" s="301">
        <f>Ore_to_PI!DD229</f>
        <v>33191.859393697465</v>
      </c>
      <c r="I156" s="132"/>
      <c r="J156" s="301">
        <f t="shared" si="7"/>
        <v>-13104.628581498642</v>
      </c>
      <c r="K156" s="132"/>
      <c r="L156" s="475">
        <f t="shared" si="8"/>
        <v>32556.293627668325</v>
      </c>
    </row>
    <row r="157" spans="5:12" x14ac:dyDescent="0.2">
      <c r="E157" s="201" t="s">
        <v>637</v>
      </c>
      <c r="F157" s="301">
        <v>-13104.628581498642</v>
      </c>
      <c r="G157" s="476"/>
      <c r="H157" s="301">
        <v>0</v>
      </c>
      <c r="I157" s="132"/>
      <c r="J157" s="301">
        <f t="shared" si="7"/>
        <v>-13104.628581498642</v>
      </c>
      <c r="K157" s="132"/>
      <c r="L157" s="475">
        <f t="shared" si="8"/>
        <v>0</v>
      </c>
    </row>
    <row r="158" spans="5:12" x14ac:dyDescent="0.2">
      <c r="E158" s="201" t="s">
        <v>81</v>
      </c>
      <c r="F158" s="301">
        <v>1060783.6165065998</v>
      </c>
      <c r="G158" s="476"/>
      <c r="H158" s="301">
        <v>0</v>
      </c>
      <c r="I158" s="132"/>
      <c r="J158" s="301">
        <f t="shared" si="7"/>
        <v>23907.404496491064</v>
      </c>
      <c r="K158" s="132"/>
      <c r="L158" s="475">
        <f t="shared" si="8"/>
        <v>1036876.2120101087</v>
      </c>
    </row>
    <row r="159" spans="5:12" x14ac:dyDescent="0.2">
      <c r="E159" s="201" t="s">
        <v>414</v>
      </c>
      <c r="F159" s="301">
        <v>-50.81788353988668</v>
      </c>
      <c r="G159" s="476"/>
      <c r="H159" s="303">
        <f>Ore_to_PI!EU117</f>
        <v>318930.1042317453</v>
      </c>
      <c r="I159" s="302"/>
      <c r="J159" s="301">
        <f t="shared" si="7"/>
        <v>-2965901.6860743999</v>
      </c>
      <c r="K159" s="132"/>
      <c r="L159" s="475">
        <f t="shared" si="8"/>
        <v>3284780.9724226054</v>
      </c>
    </row>
    <row r="160" spans="5:12" ht="17" x14ac:dyDescent="0.2">
      <c r="F160" s="132" t="s">
        <v>704</v>
      </c>
      <c r="G160" s="302"/>
      <c r="H160" s="302" t="s">
        <v>265</v>
      </c>
      <c r="I160" s="302"/>
      <c r="J160" s="466" t="s">
        <v>442</v>
      </c>
      <c r="K160" s="132"/>
      <c r="L160" s="302" t="s">
        <v>705</v>
      </c>
    </row>
  </sheetData>
  <mergeCells count="9">
    <mergeCell ref="F99:N99"/>
    <mergeCell ref="F142:J142"/>
    <mergeCell ref="AT56:BH56"/>
    <mergeCell ref="F54:G54"/>
    <mergeCell ref="AT54:BH54"/>
    <mergeCell ref="BN54:BO54"/>
    <mergeCell ref="F73:AO73"/>
    <mergeCell ref="F75:AO75"/>
    <mergeCell ref="F94:AO9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407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405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406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419</v>
      </c>
      <c r="C88" s="205"/>
      <c r="D88" s="205"/>
      <c r="E88" s="205"/>
      <c r="F88" s="205"/>
      <c r="G88" s="205"/>
    </row>
    <row r="89" spans="2:7" x14ac:dyDescent="0.2">
      <c r="B89" s="201" t="s">
        <v>420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07" t="s">
        <v>351</v>
      </c>
      <c r="S4" s="407"/>
      <c r="T4" s="407"/>
      <c r="U4" s="407"/>
      <c r="V4" s="164"/>
    </row>
    <row r="5" spans="2:22" ht="14.5" customHeight="1" x14ac:dyDescent="0.2">
      <c r="B5" s="410"/>
      <c r="C5" s="145" t="s">
        <v>337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606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395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350</v>
      </c>
      <c r="Q8" s="423"/>
      <c r="R8" s="425" t="s">
        <v>337</v>
      </c>
      <c r="S8" s="426"/>
      <c r="T8" s="411" t="s">
        <v>395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394</v>
      </c>
      <c r="Q12" s="423"/>
      <c r="R12" s="419" t="s">
        <v>313</v>
      </c>
      <c r="S12" s="420"/>
      <c r="T12" s="415" t="s">
        <v>606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337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606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0.17251310939252748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395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0.12213695771931468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31"/>
      <c r="C22" s="145" t="s">
        <v>337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606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31"/>
      <c r="C24" s="146" t="s">
        <v>395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391</v>
      </c>
      <c r="D30" s="192" t="s">
        <v>81</v>
      </c>
      <c r="E30" s="192" t="s">
        <v>348</v>
      </c>
    </row>
    <row r="31" spans="2:13" x14ac:dyDescent="0.2">
      <c r="B31" s="429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606</v>
      </c>
      <c r="D32" s="3">
        <f>Rational_mixer</f>
        <v>0.99243862980242414</v>
      </c>
      <c r="E32" s="3">
        <f>Rational_BF</f>
        <v>0.3806036077801323</v>
      </c>
    </row>
    <row r="33" spans="2:5" x14ac:dyDescent="0.2">
      <c r="B33" s="429"/>
      <c r="C33" s="146" t="s">
        <v>395</v>
      </c>
      <c r="D33" s="3">
        <f>Resource_Mixer</f>
        <v>1.1245286096249765E-2</v>
      </c>
      <c r="E33" s="3">
        <f>Resource_BF</f>
        <v>0.34027890919062509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605</v>
      </c>
    </row>
    <row r="38" spans="2:5" ht="18" x14ac:dyDescent="0.25">
      <c r="B38" s="294" t="s">
        <v>604</v>
      </c>
      <c r="C38" s="3">
        <f>E_tot/(Ore_to_PI!FL126/1000)</f>
        <v>25472106.046493623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352</v>
      </c>
      <c r="F3" s="432"/>
      <c r="G3" s="432"/>
      <c r="H3"/>
      <c r="I3"/>
      <c r="L3" s="405" t="s">
        <v>431</v>
      </c>
      <c r="M3" s="405"/>
      <c r="N3" s="405"/>
      <c r="P3"/>
      <c r="T3" s="169" t="s">
        <v>430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27166040.45263613</v>
      </c>
    </row>
    <row r="6" spans="3:20" x14ac:dyDescent="0.2">
      <c r="C6" s="41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431</v>
      </c>
      <c r="M9" s="405"/>
      <c r="N9" s="405"/>
      <c r="O9" s="405"/>
    </row>
    <row r="10" spans="3:20" x14ac:dyDescent="0.2">
      <c r="E10" s="432" t="s">
        <v>352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0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99821.043389412342</v>
      </c>
      <c r="P12"/>
    </row>
    <row r="13" spans="3:20" ht="14.5" customHeight="1" x14ac:dyDescent="0.2">
      <c r="C13" s="40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84.513558569455128</v>
      </c>
      <c r="L14" s="405" t="s">
        <v>431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89.498311114553246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05" t="s">
        <v>431</v>
      </c>
      <c r="M19" s="405"/>
    </row>
    <row r="20" spans="3:16" x14ac:dyDescent="0.2">
      <c r="C20" s="431" t="s">
        <v>349</v>
      </c>
      <c r="E20" s="154" t="s">
        <v>346</v>
      </c>
      <c r="L20" s="430" t="s">
        <v>48</v>
      </c>
      <c r="M20" s="430"/>
    </row>
    <row r="21" spans="3:16" ht="14.5" customHeight="1" x14ac:dyDescent="0.2">
      <c r="C21" s="431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391</v>
      </c>
      <c r="L22" s="3">
        <f>B_lost_mixer</f>
        <v>0</v>
      </c>
      <c r="M22" s="3">
        <f>B_lost_blast_furnace</f>
        <v>492730.72808434837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3437.8613375431123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7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5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-39.810313197956589</v>
      </c>
      <c r="BI43" s="62">
        <f>BH43*$AW$46</f>
        <v>-26105.513941647405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344</v>
      </c>
      <c r="AM44" s="35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1844.0540671306017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338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338</v>
      </c>
      <c r="BO45" s="103">
        <f>CI38/BI38</f>
        <v>0.46360429171687717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339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48181.61018752167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5.2426601094565655</v>
      </c>
      <c r="BI46" s="17">
        <f>SUM(BI43:BI45)</f>
        <v>3437.8613375431123</v>
      </c>
      <c r="BL46" s="6"/>
      <c r="BM46" s="4"/>
      <c r="BN46" s="140" t="s">
        <v>339</v>
      </c>
      <c r="BO46" s="99">
        <f>CI42/BI43</f>
        <v>-3.475554366476058E-2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6.6600087834564434E-2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-0.50572997301941369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zoomScale="108" workbookViewId="0">
      <selection activeCell="I52" sqref="I52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351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337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338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7" t="s">
        <v>350</v>
      </c>
      <c r="R8" s="423"/>
      <c r="S8" s="425" t="s">
        <v>337</v>
      </c>
      <c r="T8" s="426"/>
      <c r="U8" s="411" t="s">
        <v>395</v>
      </c>
      <c r="V8" s="412"/>
      <c r="W8" s="164"/>
    </row>
    <row r="9" spans="1:23" x14ac:dyDescent="0.2">
      <c r="A9" s="164"/>
      <c r="B9" s="410"/>
      <c r="C9" s="146" t="s">
        <v>395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394</v>
      </c>
      <c r="R12" s="423"/>
      <c r="S12" s="419" t="s">
        <v>313</v>
      </c>
      <c r="T12" s="420"/>
      <c r="U12" s="415" t="s">
        <v>338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337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338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0.17251310939252748</v>
      </c>
      <c r="I17" s="164"/>
    </row>
    <row r="18" spans="1:12" x14ac:dyDescent="0.2">
      <c r="A18" s="164"/>
      <c r="B18" s="409"/>
      <c r="C18" s="146" t="s">
        <v>395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0.12213695771931468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434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 x14ac:dyDescent="0.2">
      <c r="A24" s="164"/>
      <c r="B24" s="431"/>
      <c r="C24" s="145" t="s">
        <v>337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338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31"/>
      <c r="C26" s="146" t="s">
        <v>395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391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338</v>
      </c>
      <c r="D34" s="3">
        <f>Rational_mixer</f>
        <v>0.99243862980242414</v>
      </c>
      <c r="E34" s="3">
        <f>Rational_BF</f>
        <v>0.3806036077801323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395</v>
      </c>
      <c r="D35" s="3">
        <f>Resource_Mixer</f>
        <v>1.1245286096249765E-2</v>
      </c>
      <c r="E35" s="3">
        <f>Resource_BF</f>
        <v>0.34027890919062509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652</v>
      </c>
      <c r="D50" s="201" t="s">
        <v>653</v>
      </c>
      <c r="E50" s="201" t="s">
        <v>654</v>
      </c>
    </row>
    <row r="51" spans="2:5" x14ac:dyDescent="0.2">
      <c r="B51" s="201" t="s">
        <v>402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403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404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535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515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514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428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425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439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426</v>
      </c>
      <c r="C60" s="3" t="s">
        <v>378</v>
      </c>
      <c r="D60" s="3">
        <f>Rational_Kiln</f>
        <v>0.17251310939252748</v>
      </c>
      <c r="E60" s="3">
        <f>Resource_Kiln</f>
        <v>0.12213695771931468</v>
      </c>
    </row>
    <row r="61" spans="2:5" x14ac:dyDescent="0.2">
      <c r="B61" s="201" t="s">
        <v>421</v>
      </c>
      <c r="C61" s="3" t="s">
        <v>378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634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637</v>
      </c>
      <c r="C63" s="3" t="s">
        <v>378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378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414</v>
      </c>
      <c r="C65" s="3" t="s">
        <v>378</v>
      </c>
      <c r="D65" s="3">
        <f>Rational_BF</f>
        <v>0.3806036077801323</v>
      </c>
      <c r="E65" s="3">
        <f>Resource_BF</f>
        <v>0.34027890919062509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366</vt:i4>
      </vt:variant>
    </vt:vector>
  </HeadingPairs>
  <TitlesOfParts>
    <vt:vector size="381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2025-07-25T15:36:35Z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