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C2436364-171C-274E-A3B1-D6EE4715EC1D}" xr6:coauthVersionLast="47" xr6:coauthVersionMax="47" xr10:uidLastSave="{00000000-0000-0000-0000-000000000000}"/>
  <bookViews>
    <workbookView xWindow="3540" yWindow="540" windowWidth="43460" windowHeight="27700" activeTab="9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MCC_MW_RUVY_matrices_mat_level" sheetId="23" r:id="rId9"/>
    <sheet name="MCC_hM_RUVY_matrices_mat_level " sheetId="24" r:id="rId10"/>
    <sheet name="Energy RUVY matrices" sheetId="18" r:id="rId11"/>
    <sheet name="Efficiencies" sheetId="12" r:id="rId12"/>
    <sheet name="Waste" sheetId="13" r:id="rId13"/>
    <sheet name="Methane Combustion - EES" sheetId="8" r:id="rId14"/>
    <sheet name="Tables for Paper" sheetId="14" r:id="rId15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70" i="24" l="1"/>
  <c r="J146" i="24"/>
  <c r="J147" i="24"/>
  <c r="J148" i="24"/>
  <c r="J149" i="24"/>
  <c r="J150" i="24"/>
  <c r="J151" i="24"/>
  <c r="J152" i="24"/>
  <c r="J153" i="24"/>
  <c r="J154" i="24"/>
  <c r="J155" i="24"/>
  <c r="J158" i="24"/>
  <c r="J159" i="24"/>
  <c r="J145" i="24"/>
  <c r="H159" i="24"/>
  <c r="H156" i="24"/>
  <c r="H153" i="24"/>
  <c r="H152" i="24"/>
  <c r="H151" i="24"/>
  <c r="H150" i="24"/>
  <c r="H149" i="24"/>
  <c r="H148" i="24"/>
  <c r="H147" i="24"/>
  <c r="J109" i="24"/>
  <c r="J110" i="24"/>
  <c r="J125" i="24"/>
  <c r="J126" i="24"/>
  <c r="J127" i="24"/>
  <c r="J129" i="24"/>
  <c r="J130" i="24"/>
  <c r="J135" i="24"/>
  <c r="J136" i="24"/>
  <c r="AM124" i="22"/>
  <c r="AM125" i="22"/>
  <c r="AM126" i="22"/>
  <c r="AM127" i="22"/>
  <c r="AM128" i="22"/>
  <c r="AM129" i="22"/>
  <c r="AM130" i="22"/>
  <c r="AM131" i="22"/>
  <c r="AM132" i="22"/>
  <c r="AM133" i="22"/>
  <c r="AM134" i="22"/>
  <c r="AM135" i="22"/>
  <c r="AM136" i="22"/>
  <c r="AM137" i="22"/>
  <c r="AM123" i="22"/>
  <c r="AL137" i="22"/>
  <c r="AK137" i="22"/>
  <c r="AJ137" i="22"/>
  <c r="AI136" i="22"/>
  <c r="AH135" i="22"/>
  <c r="AG134" i="22"/>
  <c r="AF133" i="22"/>
  <c r="G173" i="22"/>
  <c r="G174" i="22"/>
  <c r="G175" i="22"/>
  <c r="G176" i="22"/>
  <c r="G177" i="22"/>
  <c r="G178" i="22"/>
  <c r="G179" i="22"/>
  <c r="G180" i="22"/>
  <c r="G181" i="22"/>
  <c r="G182" i="22"/>
  <c r="G183" i="22"/>
  <c r="G184" i="22"/>
  <c r="G185" i="22"/>
  <c r="G186" i="22"/>
  <c r="G187" i="22"/>
  <c r="G188" i="22"/>
  <c r="G189" i="22"/>
  <c r="G190" i="22"/>
  <c r="G191" i="22"/>
  <c r="G192" i="22"/>
  <c r="G193" i="22"/>
  <c r="G194" i="22"/>
  <c r="G195" i="22"/>
  <c r="G196" i="22"/>
  <c r="G198" i="22"/>
  <c r="G199" i="22"/>
  <c r="G200" i="22"/>
  <c r="G201" i="22"/>
  <c r="G202" i="22"/>
  <c r="G203" i="22"/>
  <c r="G204" i="22"/>
  <c r="G205" i="22"/>
  <c r="C215" i="22"/>
  <c r="C216" i="22"/>
  <c r="C217" i="22"/>
  <c r="C218" i="22"/>
  <c r="C219" i="22"/>
  <c r="C220" i="22"/>
  <c r="C221" i="22"/>
  <c r="C224" i="22"/>
  <c r="C227" i="22"/>
  <c r="BP28" i="24"/>
  <c r="BP29" i="24"/>
  <c r="BP44" i="24"/>
  <c r="BN49" i="24"/>
  <c r="BP49" i="24" s="1"/>
  <c r="BN51" i="24"/>
  <c r="BP51" i="24" s="1"/>
  <c r="BO30" i="24"/>
  <c r="BP30" i="24" s="1"/>
  <c r="BO32" i="24"/>
  <c r="BP36" i="24"/>
  <c r="BO37" i="24"/>
  <c r="BP37" i="24" s="1"/>
  <c r="BP38" i="24"/>
  <c r="BO41" i="24"/>
  <c r="BO42" i="24"/>
  <c r="BP43" i="24"/>
  <c r="BO45" i="24"/>
  <c r="BO46" i="24"/>
  <c r="BO47" i="24"/>
  <c r="BO52" i="24"/>
  <c r="BP52" i="24" s="1"/>
  <c r="BO53" i="24"/>
  <c r="BO28" i="24"/>
  <c r="BG36" i="24"/>
  <c r="BG55" i="24" s="1"/>
  <c r="BH49" i="24"/>
  <c r="BH55" i="24" s="1"/>
  <c r="BH50" i="24"/>
  <c r="BI50" i="24" s="1"/>
  <c r="J134" i="24" s="1"/>
  <c r="BI47" i="24"/>
  <c r="J131" i="24" s="1"/>
  <c r="BF48" i="24"/>
  <c r="BF55" i="24" s="1"/>
  <c r="BG40" i="24"/>
  <c r="BI40" i="24" s="1"/>
  <c r="J124" i="24" s="1"/>
  <c r="BG43" i="24"/>
  <c r="BI41" i="24"/>
  <c r="BI42" i="24"/>
  <c r="BI43" i="24"/>
  <c r="BE44" i="24"/>
  <c r="BI44" i="24" s="1"/>
  <c r="J128" i="24" s="1"/>
  <c r="BD39" i="24"/>
  <c r="BI37" i="24"/>
  <c r="J121" i="24" s="1"/>
  <c r="BC38" i="24"/>
  <c r="BB35" i="24"/>
  <c r="BI35" i="24" s="1"/>
  <c r="J119" i="24" s="1"/>
  <c r="BA34" i="24"/>
  <c r="BA55" i="24" s="1"/>
  <c r="BI32" i="24"/>
  <c r="J116" i="24" s="1"/>
  <c r="AZ33" i="24"/>
  <c r="BI33" i="24" s="1"/>
  <c r="J117" i="24" s="1"/>
  <c r="AY31" i="24"/>
  <c r="BI31" i="24" s="1"/>
  <c r="J115" i="24" s="1"/>
  <c r="AX29" i="24"/>
  <c r="AX55" i="24" s="1"/>
  <c r="AW27" i="24"/>
  <c r="BI27" i="24" s="1"/>
  <c r="J111" i="24" s="1"/>
  <c r="BC21" i="24"/>
  <c r="BC55" i="24" s="1"/>
  <c r="BD21" i="24"/>
  <c r="BH21" i="24"/>
  <c r="BC22" i="24"/>
  <c r="BD22" i="24"/>
  <c r="BH22" i="24"/>
  <c r="BH25" i="24"/>
  <c r="AU19" i="24"/>
  <c r="BI19" i="24" s="1"/>
  <c r="J103" i="24" s="1"/>
  <c r="AV20" i="24"/>
  <c r="BI20" i="24" s="1"/>
  <c r="J104" i="24" s="1"/>
  <c r="AU21" i="24"/>
  <c r="AV21" i="24"/>
  <c r="AU23" i="24"/>
  <c r="AV23" i="24"/>
  <c r="AU24" i="24"/>
  <c r="AT21" i="24"/>
  <c r="AT23" i="24"/>
  <c r="AT18" i="24"/>
  <c r="BI18" i="24" s="1"/>
  <c r="J102" i="24" s="1"/>
  <c r="G86" i="24"/>
  <c r="G95" i="24" s="1"/>
  <c r="H87" i="24"/>
  <c r="H95" i="24" s="1"/>
  <c r="I88" i="24"/>
  <c r="I95" i="24" s="1"/>
  <c r="J89" i="24"/>
  <c r="J95" i="24" s="1"/>
  <c r="K90" i="24"/>
  <c r="L91" i="24"/>
  <c r="M92" i="24"/>
  <c r="M95" i="24"/>
  <c r="F85" i="24"/>
  <c r="AD74" i="24"/>
  <c r="Q59" i="24"/>
  <c r="AP59" i="24" s="1"/>
  <c r="R59" i="24"/>
  <c r="R74" i="24" s="1"/>
  <c r="S60" i="24"/>
  <c r="AP60" i="24" s="1"/>
  <c r="T60" i="24"/>
  <c r="T74" i="24" s="1"/>
  <c r="U61" i="24"/>
  <c r="AP61" i="24" s="1"/>
  <c r="V62" i="24"/>
  <c r="V74" i="24" s="1"/>
  <c r="W63" i="24"/>
  <c r="W74" i="24" s="1"/>
  <c r="X64" i="24"/>
  <c r="X74" i="24" s="1"/>
  <c r="Y64" i="24"/>
  <c r="Y74" i="24" s="1"/>
  <c r="Z65" i="24"/>
  <c r="AA66" i="24"/>
  <c r="AP66" i="24" s="1"/>
  <c r="AB67" i="24"/>
  <c r="AP67" i="24" s="1"/>
  <c r="AC67" i="24"/>
  <c r="AD67" i="24"/>
  <c r="AE68" i="24"/>
  <c r="AF68" i="24"/>
  <c r="AG68" i="24"/>
  <c r="AG74" i="24" s="1"/>
  <c r="AH68" i="24"/>
  <c r="AH74" i="24" s="1"/>
  <c r="AI68" i="24"/>
  <c r="AI74" i="24" s="1"/>
  <c r="AJ69" i="24"/>
  <c r="AP69" i="24" s="1"/>
  <c r="J156" i="24" s="1"/>
  <c r="AL71" i="24"/>
  <c r="AM72" i="24"/>
  <c r="AM74" i="24" s="1"/>
  <c r="AN72" i="24"/>
  <c r="AN74" i="24" s="1"/>
  <c r="AO72" i="24"/>
  <c r="AP65" i="24"/>
  <c r="AP72" i="24"/>
  <c r="P58" i="24"/>
  <c r="P74" i="24" s="1"/>
  <c r="M74" i="24"/>
  <c r="O58" i="24"/>
  <c r="N95" i="24"/>
  <c r="L95" i="24"/>
  <c r="K95" i="24"/>
  <c r="F95" i="24"/>
  <c r="AO74" i="24"/>
  <c r="AL74" i="24"/>
  <c r="AK74" i="24"/>
  <c r="AF74" i="24"/>
  <c r="AE74" i="24"/>
  <c r="AC74" i="24"/>
  <c r="AA74" i="24"/>
  <c r="Z74" i="24"/>
  <c r="Q74" i="24"/>
  <c r="O74" i="24"/>
  <c r="N74" i="24"/>
  <c r="L74" i="24"/>
  <c r="K74" i="24"/>
  <c r="J74" i="24"/>
  <c r="I74" i="24"/>
  <c r="H74" i="24"/>
  <c r="G74" i="24"/>
  <c r="F74" i="24"/>
  <c r="AP71" i="24"/>
  <c r="AP70" i="24"/>
  <c r="J157" i="24" s="1"/>
  <c r="BE55" i="24"/>
  <c r="BD55" i="24"/>
  <c r="AV55" i="24"/>
  <c r="AU55" i="24"/>
  <c r="AT55" i="24"/>
  <c r="BP53" i="24"/>
  <c r="BI53" i="24"/>
  <c r="J137" i="24" s="1"/>
  <c r="BI52" i="24"/>
  <c r="BI51" i="24"/>
  <c r="BP50" i="24"/>
  <c r="BI46" i="24"/>
  <c r="BP45" i="24"/>
  <c r="BI45" i="24"/>
  <c r="BP42" i="24"/>
  <c r="BP41" i="24"/>
  <c r="BP40" i="24"/>
  <c r="BP39" i="24"/>
  <c r="BI39" i="24"/>
  <c r="J123" i="24" s="1"/>
  <c r="BI38" i="24"/>
  <c r="J122" i="24" s="1"/>
  <c r="BP34" i="24"/>
  <c r="BI34" i="24"/>
  <c r="J118" i="24" s="1"/>
  <c r="BP33" i="24"/>
  <c r="BP32" i="24"/>
  <c r="BP31" i="24"/>
  <c r="BI30" i="24"/>
  <c r="J114" i="24" s="1"/>
  <c r="BI28" i="24"/>
  <c r="J112" i="24" s="1"/>
  <c r="BP27" i="24"/>
  <c r="BP26" i="24"/>
  <c r="BI26" i="24"/>
  <c r="BP25" i="24"/>
  <c r="BI25" i="24"/>
  <c r="BP24" i="24"/>
  <c r="BI24" i="24"/>
  <c r="J108" i="24" s="1"/>
  <c r="BP23" i="24"/>
  <c r="BI23" i="24"/>
  <c r="J107" i="24" s="1"/>
  <c r="BP22" i="24"/>
  <c r="BI22" i="24"/>
  <c r="J106" i="24" s="1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F102" i="24" l="1" a="1"/>
  <c r="AB74" i="24"/>
  <c r="AW55" i="24"/>
  <c r="F145" i="24" s="1" a="1"/>
  <c r="AP62" i="24"/>
  <c r="AZ55" i="24"/>
  <c r="AY55" i="24"/>
  <c r="BB55" i="24"/>
  <c r="BI36" i="24"/>
  <c r="J120" i="24" s="1"/>
  <c r="BI48" i="24"/>
  <c r="J132" i="24" s="1"/>
  <c r="S74" i="24"/>
  <c r="BI49" i="24"/>
  <c r="J133" i="24" s="1"/>
  <c r="BI29" i="24"/>
  <c r="J113" i="24" s="1"/>
  <c r="U74" i="24"/>
  <c r="AP58" i="24"/>
  <c r="AP63" i="24"/>
  <c r="AP64" i="24"/>
  <c r="AJ74" i="24"/>
  <c r="AP68" i="24"/>
  <c r="BP35" i="24"/>
  <c r="L102" i="24" s="1" a="1"/>
  <c r="L102" i="24" s="1"/>
  <c r="BP48" i="24"/>
  <c r="BP47" i="24"/>
  <c r="BP46" i="24"/>
  <c r="BI21" i="24"/>
  <c r="J105" i="24" s="1"/>
  <c r="H102" i="24" l="1" a="1"/>
  <c r="H102" i="24" s="1"/>
  <c r="F145" i="24"/>
  <c r="L145" i="24" s="1"/>
  <c r="L146" i="24"/>
  <c r="L151" i="24"/>
  <c r="L152" i="24"/>
  <c r="L157" i="24"/>
  <c r="L159" i="24"/>
  <c r="L150" i="24"/>
  <c r="L153" i="24"/>
  <c r="L156" i="24"/>
  <c r="L158" i="24"/>
  <c r="L147" i="24"/>
  <c r="L154" i="24"/>
  <c r="L155" i="24"/>
  <c r="L148" i="24"/>
  <c r="L149" i="24"/>
  <c r="F102" i="24"/>
  <c r="N126" i="24" l="1"/>
  <c r="N130" i="24"/>
  <c r="N132" i="24"/>
  <c r="N110" i="24"/>
  <c r="N119" i="24"/>
  <c r="N135" i="24"/>
  <c r="N114" i="24"/>
  <c r="N112" i="24"/>
  <c r="N124" i="24"/>
  <c r="N123" i="24"/>
  <c r="N122" i="24"/>
  <c r="N117" i="24"/>
  <c r="N136" i="24"/>
  <c r="N115" i="24"/>
  <c r="N133" i="24"/>
  <c r="N113" i="24"/>
  <c r="N127" i="24"/>
  <c r="N125" i="24"/>
  <c r="N131" i="24"/>
  <c r="N103" i="24"/>
  <c r="N107" i="24"/>
  <c r="N120" i="24"/>
  <c r="N116" i="24"/>
  <c r="N134" i="24"/>
  <c r="N106" i="24"/>
  <c r="N111" i="24"/>
  <c r="N105" i="24"/>
  <c r="N129" i="24"/>
  <c r="N121" i="24"/>
  <c r="N128" i="24"/>
  <c r="N104" i="24"/>
  <c r="N118" i="24"/>
  <c r="N109" i="24"/>
  <c r="N137" i="24"/>
  <c r="N108" i="24"/>
  <c r="N102" i="24"/>
  <c r="N138" i="24" l="1"/>
  <c r="AH3" i="3" l="1"/>
  <c r="D50" i="3"/>
  <c r="G50" i="3" s="1"/>
  <c r="E50" i="3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O193" i="11"/>
  <c r="E194" i="11"/>
  <c r="E193" i="11"/>
  <c r="E192" i="11"/>
  <c r="E191" i="11"/>
  <c r="E190" i="11"/>
  <c r="E195" i="11" s="1"/>
  <c r="D190" i="11"/>
  <c r="CW199" i="11"/>
  <c r="E163" i="11"/>
  <c r="E166" i="11"/>
  <c r="FF147" i="9"/>
  <c r="M166" i="11"/>
  <c r="E49" i="3"/>
  <c r="FG147" i="9" s="1"/>
  <c r="EF133" i="9"/>
  <c r="ED159" i="9"/>
  <c r="EF159" i="9"/>
  <c r="EX240" i="9"/>
  <c r="EZ240" i="9"/>
  <c r="EE240" i="9"/>
  <c r="DJ240" i="9"/>
  <c r="EC240" i="9"/>
  <c r="DH240" i="9"/>
  <c r="DH237" i="9"/>
  <c r="AJ109" i="11"/>
  <c r="AJ106" i="11"/>
  <c r="AB109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I212" i="9"/>
  <c r="AJ211" i="9"/>
  <c r="AI211" i="9"/>
  <c r="AG211" i="9"/>
  <c r="BC217" i="9"/>
  <c r="BB217" i="9"/>
  <c r="AZ217" i="9"/>
  <c r="O190" i="11"/>
  <c r="E199" i="11"/>
  <c r="CG204" i="11"/>
  <c r="AA80" i="11"/>
  <c r="AB76" i="11"/>
  <c r="AB75" i="11"/>
  <c r="CN280" i="9"/>
  <c r="CN279" i="9"/>
  <c r="CN278" i="9"/>
  <c r="CM272" i="9"/>
  <c r="CM273" i="9"/>
  <c r="CM274" i="9"/>
  <c r="CM275" i="9"/>
  <c r="CM276" i="9"/>
  <c r="CM277" i="9"/>
  <c r="CM271" i="9"/>
  <c r="D42" i="3"/>
  <c r="CN271" i="9" s="1"/>
  <c r="D89" i="11"/>
  <c r="D94" i="11" s="1"/>
  <c r="CL236" i="11"/>
  <c r="CV199" i="11" l="1"/>
  <c r="CQ281" i="9"/>
  <c r="CQ280" i="9"/>
  <c r="CQ279" i="9"/>
  <c r="CQ278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V217" i="9"/>
  <c r="BU217" i="9"/>
  <c r="BS217" i="9"/>
  <c r="CQ242" i="9"/>
  <c r="CP242" i="9"/>
  <c r="CP241" i="9"/>
  <c r="CP240" i="9"/>
  <c r="CP239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CN277" i="9" s="1"/>
  <c r="D47" i="3"/>
  <c r="CN276" i="9" s="1"/>
  <c r="D46" i="3"/>
  <c r="G46" i="3" s="1"/>
  <c r="D45" i="3"/>
  <c r="CN274" i="9" s="1"/>
  <c r="D44" i="3"/>
  <c r="CN273" i="9" s="1"/>
  <c r="D43" i="3"/>
  <c r="D107" i="11"/>
  <c r="G107" i="11"/>
  <c r="F114" i="11" s="1"/>
  <c r="CM278" i="9" s="1"/>
  <c r="L114" i="11"/>
  <c r="E29" i="3"/>
  <c r="G48" i="3" l="1"/>
  <c r="D109" i="11"/>
  <c r="D112" i="11"/>
  <c r="D113" i="11"/>
  <c r="CQ277" i="9"/>
  <c r="G47" i="3"/>
  <c r="G45" i="3"/>
  <c r="D110" i="11"/>
  <c r="D111" i="11"/>
  <c r="CN275" i="9"/>
  <c r="G43" i="3"/>
  <c r="CN272" i="9"/>
  <c r="F117" i="11"/>
  <c r="CM281" i="9" s="1"/>
  <c r="G44" i="3"/>
  <c r="D108" i="11"/>
  <c r="G42" i="3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AG212" i="9" s="1"/>
  <c r="AG218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DK240" i="9" l="1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G16" i="3" l="1"/>
  <c r="AB77" i="11"/>
  <c r="CN240" i="9"/>
  <c r="E165" i="11"/>
  <c r="E198" i="11"/>
  <c r="DH239" i="9"/>
  <c r="D49" i="3"/>
  <c r="CN281" i="9"/>
  <c r="CN282" i="9" s="1"/>
  <c r="AJ108" i="11"/>
  <c r="AB108" i="11"/>
  <c r="EC238" i="9"/>
  <c r="AB79" i="11"/>
  <c r="DH238" i="9"/>
  <c r="DH241" i="9" s="1"/>
  <c r="ED160" i="9" s="1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M165" i="11" l="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J159" i="22" l="1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R156" i="9" l="1"/>
  <c r="BQ156" i="9" s="1"/>
  <c r="K130" i="9"/>
  <c r="N130" i="9" s="1"/>
  <c r="Y138" i="9" s="1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D15" i="21" l="1"/>
  <c r="E15" i="21" s="1"/>
  <c r="F15" i="21" s="1"/>
  <c r="I15" i="21" s="1"/>
  <c r="K15" i="21" s="1"/>
  <c r="V5" i="21" s="1"/>
  <c r="BE64" i="15"/>
  <c r="BG105" i="15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AX120" i="22"/>
  <c r="BG98" i="22"/>
  <c r="R139" i="22"/>
  <c r="BG105" i="22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AU92" i="15"/>
  <c r="G193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O132" i="9" l="1" a="1"/>
  <c r="O132" i="9" s="1"/>
  <c r="AU51" i="15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I199" i="11" l="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P192" i="11" l="1"/>
  <c r="J203" i="11" s="1"/>
  <c r="I203" i="11"/>
  <c r="K203" i="11" s="1"/>
  <c r="C195" i="11"/>
  <c r="F191" i="11"/>
  <c r="K199" i="11"/>
  <c r="CL210" i="9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I200" i="11" l="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A64" i="9"/>
  <c r="AR120" i="22"/>
  <c r="L77" i="9"/>
  <c r="L76" i="9"/>
  <c r="AD69" i="9"/>
  <c r="AG70" i="9"/>
  <c r="M193" i="11" l="1"/>
  <c r="J202" i="11"/>
  <c r="J204" i="11" s="1"/>
  <c r="P194" i="11"/>
  <c r="I204" i="11"/>
  <c r="AR45" i="15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K202" i="11" l="1"/>
  <c r="F8" i="17"/>
  <c r="H8" i="17" s="1"/>
  <c r="M123" i="22"/>
  <c r="BM93" i="22"/>
  <c r="AH130" i="9"/>
  <c r="AR137" i="9" s="1"/>
  <c r="BG104" i="22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G203" i="15" s="1"/>
  <c r="AV94" i="15"/>
  <c r="AV120" i="15" s="1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J163" i="15" s="1"/>
  <c r="G11" i="17"/>
  <c r="I11" i="17" s="1"/>
  <c r="BG99" i="22"/>
  <c r="BG94" i="22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S48" i="15" l="1"/>
  <c r="BG89" i="15"/>
  <c r="G177" i="15" s="1"/>
  <c r="BA62" i="15"/>
  <c r="BG103" i="15"/>
  <c r="G191" i="15" s="1"/>
  <c r="BF90" i="15"/>
  <c r="H162" i="22"/>
  <c r="BG90" i="22"/>
  <c r="BG89" i="22"/>
  <c r="W139" i="22"/>
  <c r="BG103" i="22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T139" i="22"/>
  <c r="G24" i="14"/>
  <c r="G22" i="12"/>
  <c r="P139" i="22" l="1"/>
  <c r="BG96" i="22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AB139" i="22" s="1"/>
  <c r="BE108" i="22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E67" i="22" l="1"/>
  <c r="BG108" i="22"/>
  <c r="BE120" i="22"/>
  <c r="AL143" i="20"/>
  <c r="AP140" i="20"/>
  <c r="H229" i="20" s="1"/>
  <c r="BJ119" i="20"/>
  <c r="J206" i="20" s="1"/>
  <c r="BI74" i="20"/>
  <c r="BB120" i="22"/>
  <c r="BB73" i="22" l="1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Z247" i="9" s="1"/>
  <c r="CL243" i="9"/>
  <c r="CV234" i="9" s="1"/>
  <c r="F100" i="11"/>
  <c r="I111" i="11"/>
  <c r="CL226" i="9"/>
  <c r="CZ246" i="9" l="1"/>
  <c r="BM110" i="15"/>
  <c r="BN110" i="15" s="1"/>
  <c r="AD134" i="15"/>
  <c r="AD140" i="15" s="1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BN111" i="15" s="1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BC120" i="22"/>
  <c r="I98" i="11"/>
  <c r="BA214" i="9"/>
  <c r="N210" i="9" l="1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V210" i="9" l="1"/>
  <c r="BL218" i="9"/>
  <c r="BC95" i="20"/>
  <c r="BC50" i="20" s="1"/>
  <c r="AX218" i="9"/>
  <c r="L216" i="9" s="1"/>
  <c r="AE210" i="9"/>
  <c r="AY210" i="9"/>
  <c r="AU190" i="9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AI210" i="9" l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DA247" i="9" l="1"/>
  <c r="BG217" i="9"/>
  <c r="BH217" i="9" s="1"/>
  <c r="BI217" i="9" s="1"/>
  <c r="AI107" i="1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AA143" i="20" l="1"/>
  <c r="C170" i="22"/>
  <c r="AQ210" i="9"/>
  <c r="M17" i="13" s="1"/>
  <c r="AU212" i="9"/>
  <c r="AR210" i="9"/>
  <c r="S129" i="20"/>
  <c r="S143" i="20" s="1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BG113" i="15" s="1"/>
  <c r="AG135" i="15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AC195" i="9"/>
  <c r="F15" i="17"/>
  <c r="CP258" i="9" a="1"/>
  <c r="CP258" i="9" s="1"/>
  <c r="AF139" i="22" s="1"/>
  <c r="EY238" i="9"/>
  <c r="EY240" i="9"/>
  <c r="EE158" i="9"/>
  <c r="EC158" i="9"/>
  <c r="DQ238" i="9"/>
  <c r="C62" i="14"/>
  <c r="EF160" i="9" a="1"/>
  <c r="EF160" i="9" s="1"/>
  <c r="BF114" i="22" s="1"/>
  <c r="BG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BN114" i="15" s="1"/>
  <c r="EY237" i="9"/>
  <c r="F165" i="11"/>
  <c r="F164" i="11"/>
  <c r="BJ104" i="20"/>
  <c r="J191" i="20" s="1"/>
  <c r="BC59" i="20"/>
  <c r="I172" i="11" l="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K175" i="11" l="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FB145" i="9" s="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C170" i="11" l="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EQ144" i="9" l="1"/>
  <c r="EE145" i="9"/>
  <c r="C171" i="11"/>
  <c r="C172" i="11" s="1"/>
  <c r="I174" i="11"/>
  <c r="F172" i="11"/>
  <c r="N166" i="11"/>
  <c r="J174" i="11" s="1"/>
  <c r="J176" i="11" s="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BM117" i="15"/>
  <c r="BN117" i="15" s="1"/>
  <c r="I171" i="15" s="1" a="1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G215" i="15" l="1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195" i="22" l="1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<sst xmlns="http://schemas.openxmlformats.org/spreadsheetml/2006/main" count="6131" uniqueCount="707">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</sst>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0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52" fillId="0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H77"/>
  <sheetViews>
    <sheetView topLeftCell="A34" zoomScale="173" workbookViewId="0">
      <selection activeCell="J45" sqref="J45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1" spans="2:34" x14ac:dyDescent="0.2">
      <c r="AG1" s="3" t="s">
        <v>701</v>
      </c>
      <c r="AH1" s="3" t="s">
        <v>701</v>
      </c>
    </row>
    <row r="2" spans="2:34" ht="17" x14ac:dyDescent="0.25">
      <c r="R2" s="322" t="s">
        <v>102</v>
      </c>
      <c r="S2" s="323"/>
      <c r="T2" s="322" t="s">
        <v>108</v>
      </c>
      <c r="U2" s="323"/>
      <c r="W2" s="324" t="s">
        <v>233</v>
      </c>
      <c r="X2" s="324"/>
      <c r="Y2" s="13" t="s">
        <v>52</v>
      </c>
      <c r="AB2" s="3" t="s">
        <v>341</v>
      </c>
      <c r="AG2" s="3" t="s">
        <v>342</v>
      </c>
      <c r="AH2" s="3" t="s">
        <v>702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342</v>
      </c>
      <c r="AF3" s="13" t="s">
        <v>65</v>
      </c>
      <c r="AG3" s="3">
        <v>9496.4</v>
      </c>
      <c r="AH3" s="209">
        <f>AG3/LHV_CH4</f>
        <v>0.18992799999999999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440</v>
      </c>
      <c r="AA5" s="61" t="s">
        <v>465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482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466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5" t="s">
        <v>381</v>
      </c>
      <c r="R12" s="325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382</v>
      </c>
      <c r="S13" s="13" t="s">
        <v>33</v>
      </c>
      <c r="T13" s="13" t="s">
        <v>34</v>
      </c>
      <c r="U13" s="13" t="s">
        <v>35</v>
      </c>
      <c r="V13" s="13" t="s">
        <v>696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342</v>
      </c>
      <c r="S14" s="13" t="s">
        <v>98</v>
      </c>
      <c r="T14" s="13" t="s">
        <v>98</v>
      </c>
      <c r="U14" s="13" t="s">
        <v>98</v>
      </c>
      <c r="V14" s="13" t="s">
        <v>342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6" t="s">
        <v>673</v>
      </c>
      <c r="R16" s="326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382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342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660</v>
      </c>
      <c r="B42" s="3" t="s">
        <v>647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663</v>
      </c>
      <c r="B43" s="3" t="s">
        <v>648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50" si="0">F43/D43</f>
        <v>1161.3984808683447</v>
      </c>
    </row>
    <row r="44" spans="1:7" ht="17" x14ac:dyDescent="0.25">
      <c r="A44" s="3" t="s">
        <v>664</v>
      </c>
      <c r="B44" s="3" t="s">
        <v>649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662</v>
      </c>
      <c r="B45" s="3" t="s">
        <v>661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665</v>
      </c>
      <c r="B46" s="3" t="s">
        <v>668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666</v>
      </c>
      <c r="B47" s="3" t="s">
        <v>670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667</v>
      </c>
      <c r="B48" s="4" t="s">
        <v>671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1:7" ht="18" x14ac:dyDescent="0.25">
      <c r="B49" s="1" t="s">
        <v>688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1:7" ht="17" x14ac:dyDescent="0.25">
      <c r="A50" s="3" t="s">
        <v>700</v>
      </c>
      <c r="B50" s="3" t="s">
        <v>699</v>
      </c>
      <c r="C50" s="13">
        <v>-23.4</v>
      </c>
      <c r="D50" s="13">
        <f>MW_C*3 + MW_H*8</f>
        <v>4.409652E-2</v>
      </c>
      <c r="E50" s="13">
        <f>C50+(3*J5)+(4*b_ch_H2)</f>
        <v>2151.9</v>
      </c>
      <c r="F50" s="13">
        <f>-103.85</f>
        <v>-103.85</v>
      </c>
      <c r="G50" s="19">
        <f t="shared" si="0"/>
        <v>-2355.0611250048755</v>
      </c>
    </row>
    <row r="51" spans="1:7" ht="16" x14ac:dyDescent="0.2">
      <c r="G51" s="1"/>
    </row>
    <row r="52" spans="1:7" ht="16" x14ac:dyDescent="0.2">
      <c r="G52" s="1"/>
    </row>
    <row r="53" spans="1:7" ht="16" x14ac:dyDescent="0.2">
      <c r="G53" s="1"/>
    </row>
    <row r="54" spans="1:7" x14ac:dyDescent="0.2">
      <c r="B54" s="4"/>
    </row>
    <row r="55" spans="1:7" x14ac:dyDescent="0.2">
      <c r="B55" s="3" t="s">
        <v>107</v>
      </c>
    </row>
    <row r="56" spans="1:7" ht="17" x14ac:dyDescent="0.25">
      <c r="B56" s="13" t="s">
        <v>54</v>
      </c>
      <c r="C56" s="3" t="s">
        <v>124</v>
      </c>
    </row>
    <row r="57" spans="1:7" ht="17" x14ac:dyDescent="0.25">
      <c r="B57" s="13" t="s">
        <v>54</v>
      </c>
      <c r="C57" s="16" t="s">
        <v>370</v>
      </c>
    </row>
    <row r="58" spans="1:7" ht="18" x14ac:dyDescent="0.25">
      <c r="B58" s="19" t="s">
        <v>6</v>
      </c>
      <c r="C58" s="16" t="s">
        <v>358</v>
      </c>
    </row>
    <row r="59" spans="1:7" ht="18" x14ac:dyDescent="0.25">
      <c r="B59" s="19" t="s">
        <v>6</v>
      </c>
      <c r="C59" s="3" t="s">
        <v>128</v>
      </c>
    </row>
    <row r="60" spans="1:7" ht="17" x14ac:dyDescent="0.25">
      <c r="B60" s="13" t="s">
        <v>172</v>
      </c>
      <c r="C60" s="3" t="s">
        <v>173</v>
      </c>
    </row>
    <row r="61" spans="1:7" x14ac:dyDescent="0.2">
      <c r="B61" s="13" t="s">
        <v>341</v>
      </c>
      <c r="C61" s="16" t="s">
        <v>343</v>
      </c>
    </row>
    <row r="62" spans="1:7" x14ac:dyDescent="0.2">
      <c r="B62" s="13" t="s">
        <v>5</v>
      </c>
      <c r="C62" s="16" t="s">
        <v>355</v>
      </c>
    </row>
    <row r="63" spans="1:7" x14ac:dyDescent="0.2">
      <c r="B63" s="13" t="s">
        <v>382</v>
      </c>
      <c r="C63" s="16" t="s">
        <v>634</v>
      </c>
    </row>
    <row r="64" spans="1:7" x14ac:dyDescent="0.2">
      <c r="B64" s="128" t="s">
        <v>387</v>
      </c>
      <c r="C64" s="3" t="s">
        <v>389</v>
      </c>
    </row>
    <row r="65" spans="2:3" x14ac:dyDescent="0.2">
      <c r="B65" s="13" t="s">
        <v>697</v>
      </c>
      <c r="C65" s="446" t="s">
        <v>698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629</v>
      </c>
    </row>
    <row r="69" spans="2:3" x14ac:dyDescent="0.2">
      <c r="B69" s="13" t="s">
        <v>632</v>
      </c>
      <c r="C69" s="16" t="s">
        <v>694</v>
      </c>
    </row>
    <row r="70" spans="2:3" x14ac:dyDescent="0.2">
      <c r="B70" s="13" t="s">
        <v>646</v>
      </c>
      <c r="C70" s="3" t="s">
        <v>669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597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587</v>
      </c>
      <c r="E3" s="3" t="s">
        <v>586</v>
      </c>
      <c r="F3" s="288" t="s">
        <v>581</v>
      </c>
      <c r="G3" s="288" t="s">
        <v>589</v>
      </c>
      <c r="H3" s="3" t="s">
        <v>590</v>
      </c>
      <c r="I3" s="288" t="s">
        <v>591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598</v>
      </c>
      <c r="V3" s="3" t="s">
        <v>599</v>
      </c>
    </row>
    <row r="4" spans="2:22" x14ac:dyDescent="0.2">
      <c r="B4" s="3"/>
      <c r="C4" s="169" t="s">
        <v>570</v>
      </c>
      <c r="D4" s="13" t="s">
        <v>588</v>
      </c>
      <c r="E4" s="13" t="s">
        <v>63</v>
      </c>
      <c r="F4" s="13" t="s">
        <v>342</v>
      </c>
      <c r="G4" s="13" t="s">
        <v>588</v>
      </c>
      <c r="H4" s="13" t="s">
        <v>98</v>
      </c>
      <c r="I4" s="13" t="s">
        <v>588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570</v>
      </c>
      <c r="U4" s="13" t="s">
        <v>58</v>
      </c>
      <c r="V4" s="13" t="s">
        <v>58</v>
      </c>
    </row>
    <row r="5" spans="2:22" ht="15" customHeight="1" x14ac:dyDescent="0.2">
      <c r="B5" s="327" t="s">
        <v>564</v>
      </c>
      <c r="C5" s="3" t="s">
        <v>569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569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574</v>
      </c>
      <c r="F6" s="1" t="s">
        <v>575</v>
      </c>
      <c r="G6" s="1" t="s">
        <v>576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572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571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572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566</v>
      </c>
      <c r="F9" s="3" t="s">
        <v>567</v>
      </c>
      <c r="G9" s="288" t="s">
        <v>578</v>
      </c>
      <c r="H9" s="288" t="s">
        <v>579</v>
      </c>
      <c r="I9" s="3" t="s">
        <v>580</v>
      </c>
      <c r="J9" s="288" t="s">
        <v>581</v>
      </c>
      <c r="K9" s="288" t="s">
        <v>582</v>
      </c>
      <c r="L9" s="288" t="s">
        <v>101</v>
      </c>
      <c r="M9" s="288" t="s">
        <v>583</v>
      </c>
      <c r="N9" s="288" t="s">
        <v>584</v>
      </c>
      <c r="O9" s="3" t="s">
        <v>54</v>
      </c>
      <c r="P9" s="288" t="s">
        <v>585</v>
      </c>
      <c r="Q9" s="288" t="s">
        <v>34</v>
      </c>
    </row>
    <row r="10" spans="2:22" ht="17" x14ac:dyDescent="0.25">
      <c r="B10" s="327"/>
      <c r="C10" s="3"/>
      <c r="D10" s="13" t="s">
        <v>600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598</v>
      </c>
      <c r="V10" s="3" t="s">
        <v>599</v>
      </c>
    </row>
    <row r="11" spans="2:22" x14ac:dyDescent="0.2">
      <c r="B11" s="327"/>
      <c r="C11" s="3" t="s">
        <v>571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570</v>
      </c>
      <c r="U11" s="13" t="s">
        <v>58</v>
      </c>
      <c r="V11" s="13" t="s">
        <v>58</v>
      </c>
    </row>
    <row r="12" spans="2:22" x14ac:dyDescent="0.2">
      <c r="S12" s="328" t="s">
        <v>601</v>
      </c>
      <c r="T12" s="13" t="s">
        <v>569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568</v>
      </c>
      <c r="E13" s="236" t="s">
        <v>566</v>
      </c>
      <c r="F13" s="236" t="s">
        <v>567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572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573</v>
      </c>
      <c r="H14" s="290" t="s">
        <v>573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571</v>
      </c>
      <c r="U14" s="236">
        <v>869.44899999999996</v>
      </c>
      <c r="V14" s="236">
        <v>858.81600000000003</v>
      </c>
    </row>
    <row r="15" spans="2:22" x14ac:dyDescent="0.2">
      <c r="B15" s="327" t="s">
        <v>565</v>
      </c>
      <c r="C15" s="236" t="s">
        <v>569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574</v>
      </c>
      <c r="F16" s="291" t="s">
        <v>575</v>
      </c>
      <c r="G16" s="291" t="s">
        <v>576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572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593</v>
      </c>
      <c r="G19" s="293" t="s">
        <v>594</v>
      </c>
      <c r="H19" s="293" t="s">
        <v>581</v>
      </c>
      <c r="I19" s="293" t="s">
        <v>591</v>
      </c>
      <c r="J19" s="293" t="s">
        <v>591</v>
      </c>
      <c r="K19" s="236" t="s">
        <v>40</v>
      </c>
      <c r="L19" s="293" t="s">
        <v>583</v>
      </c>
      <c r="M19" s="293" t="s">
        <v>584</v>
      </c>
      <c r="N19" s="293" t="s">
        <v>595</v>
      </c>
      <c r="O19" s="293" t="s">
        <v>596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592</v>
      </c>
      <c r="K20" s="290" t="s">
        <v>577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571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543</v>
      </c>
    </row>
    <row r="33" spans="3:3" x14ac:dyDescent="0.2">
      <c r="C33" s="3" t="s">
        <v>544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623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703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622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635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645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643</v>
      </c>
      <c r="G72" s="13" t="s">
        <v>644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641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642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674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646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693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684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658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652</v>
      </c>
      <c r="M88" s="132" t="s">
        <v>386</v>
      </c>
      <c r="N88" s="132" t="s">
        <v>461</v>
      </c>
      <c r="X88" s="339" t="s">
        <v>626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679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675</v>
      </c>
      <c r="M91" s="19" t="s">
        <v>676</v>
      </c>
      <c r="N91" s="3" t="s">
        <v>686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681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695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651</v>
      </c>
      <c r="M96" s="3" t="s">
        <v>652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624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675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680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609</v>
      </c>
      <c r="N101" s="6"/>
      <c r="Y101" s="298" t="s">
        <v>435</v>
      </c>
      <c r="AG101" s="169" t="s">
        <v>685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625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656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657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659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660</v>
      </c>
      <c r="B107" s="13" t="s">
        <v>647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678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663</v>
      </c>
      <c r="B108" s="13" t="s">
        <v>648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664</v>
      </c>
      <c r="B109" s="13" t="s">
        <v>649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662</v>
      </c>
      <c r="B110" s="13" t="s">
        <v>661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665</v>
      </c>
      <c r="B111" s="13" t="s">
        <v>668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666</v>
      </c>
      <c r="B112" s="13" t="s">
        <v>670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667</v>
      </c>
      <c r="B113" s="61" t="s">
        <v>671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650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672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682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683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627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687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689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691</v>
      </c>
      <c r="L191" s="320" t="s">
        <v>690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687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628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612</v>
      </c>
      <c r="K221" s="132" t="s">
        <v>615</v>
      </c>
      <c r="L221" s="3" t="s">
        <v>382</v>
      </c>
      <c r="M221" s="3" t="s">
        <v>40</v>
      </c>
      <c r="N221" s="4" t="s">
        <v>35</v>
      </c>
      <c r="O221" s="132" t="s">
        <v>613</v>
      </c>
      <c r="P221" s="132" t="s">
        <v>614</v>
      </c>
      <c r="CJ221" s="325"/>
    </row>
    <row r="222" spans="2:88" x14ac:dyDescent="0.2">
      <c r="C222" s="3" t="s">
        <v>611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616</v>
      </c>
    </row>
    <row r="228" spans="2:94" x14ac:dyDescent="0.2">
      <c r="C228" s="3" t="s">
        <v>559</v>
      </c>
      <c r="N228" s="3" t="s">
        <v>617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628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612</v>
      </c>
      <c r="C245" s="132" t="s">
        <v>615</v>
      </c>
      <c r="D245" s="3" t="s">
        <v>382</v>
      </c>
      <c r="E245" s="3" t="s">
        <v>40</v>
      </c>
      <c r="F245" s="4" t="s">
        <v>35</v>
      </c>
      <c r="G245" s="132" t="s">
        <v>613</v>
      </c>
      <c r="H245" s="132" t="s">
        <v>618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628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612</v>
      </c>
      <c r="C262" s="132" t="s">
        <v>615</v>
      </c>
      <c r="D262" s="3" t="s">
        <v>382</v>
      </c>
      <c r="E262" s="3" t="s">
        <v>40</v>
      </c>
      <c r="F262" s="4" t="s">
        <v>35</v>
      </c>
      <c r="G262" s="132" t="s">
        <v>613</v>
      </c>
      <c r="H262" s="132" t="s">
        <v>619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628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563</v>
      </c>
      <c r="H278" s="3" t="s">
        <v>563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561</v>
      </c>
      <c r="C283" s="3">
        <f>C280/C281</f>
        <v>0.33567230039130802</v>
      </c>
    </row>
    <row r="284" spans="2:13" x14ac:dyDescent="0.2">
      <c r="B284" s="3" t="s">
        <v>562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EH102" zoomScale="150" zoomScaleNormal="120" workbookViewId="0">
      <selection activeCell="BN151" sqref="BN151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607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6" t="s">
        <v>536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532</v>
      </c>
      <c r="N44" s="1" t="s">
        <v>85</v>
      </c>
      <c r="O44" s="1" t="s">
        <v>630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532</v>
      </c>
      <c r="AG44" s="1" t="s">
        <v>85</v>
      </c>
      <c r="AH44" s="1" t="s">
        <v>630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532</v>
      </c>
      <c r="AZ44" s="1" t="s">
        <v>85</v>
      </c>
      <c r="BA44" s="1" t="s">
        <v>630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532</v>
      </c>
      <c r="BS44" s="1" t="s">
        <v>85</v>
      </c>
      <c r="BT44" s="1" t="s">
        <v>630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337</v>
      </c>
      <c r="BM46" s="136">
        <f>((BS46*(BZ46-BG46))/BN35)</f>
        <v>0.10204303400670409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607</v>
      </c>
      <c r="AA47" s="136">
        <f>($AO$42+AO63)/(V59+V72+$V$42)</f>
        <v>0.54834789034775577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607</v>
      </c>
      <c r="AT47" s="136">
        <f>BH42/(AU28+AO42)</f>
        <v>0.15191900995389168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607</v>
      </c>
      <c r="BM47" s="136">
        <f>(CA42+CA55)/(BN35+BH42)</f>
        <v>0.9084965360427989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395</v>
      </c>
      <c r="AA48" s="137">
        <f>$AO$46/(V59+V72+$V$42)</f>
        <v>0.4504526211892465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395</v>
      </c>
      <c r="AT48" s="137">
        <f>BH46/(AU28+AO42)</f>
        <v>0.12756053024900801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395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631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556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556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556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631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558</v>
      </c>
      <c r="Z53" s="1" t="s">
        <v>558</v>
      </c>
      <c r="AA53" s="1" t="s">
        <v>558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631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558</v>
      </c>
      <c r="AS53" s="1" t="s">
        <v>558</v>
      </c>
      <c r="AT53" s="1" t="s">
        <v>558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631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558</v>
      </c>
      <c r="BK53" s="1" t="s">
        <v>558</v>
      </c>
      <c r="BL53" s="1" t="s">
        <v>558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557</v>
      </c>
      <c r="Z54" s="3" t="s">
        <v>557</v>
      </c>
      <c r="AA54" s="3" t="s">
        <v>557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557</v>
      </c>
      <c r="AS54" s="3" t="s">
        <v>557</v>
      </c>
      <c r="AT54" s="3" t="s">
        <v>557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557</v>
      </c>
      <c r="BK54" s="3" t="s">
        <v>557</v>
      </c>
      <c r="BL54" s="3" t="s">
        <v>557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532</v>
      </c>
      <c r="BS57" s="1" t="s">
        <v>85</v>
      </c>
      <c r="BT57" s="1" t="s">
        <v>630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547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535</v>
      </c>
      <c r="L61" s="1" t="s">
        <v>529</v>
      </c>
      <c r="M61" s="1" t="s">
        <v>532</v>
      </c>
      <c r="N61" s="1" t="s">
        <v>85</v>
      </c>
      <c r="O61" s="1" t="s">
        <v>630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534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621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547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631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631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532</v>
      </c>
      <c r="AG65" s="1" t="s">
        <v>85</v>
      </c>
      <c r="AH65" s="1" t="s">
        <v>630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631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532</v>
      </c>
      <c r="N74" s="1" t="s">
        <v>85</v>
      </c>
      <c r="O74" s="1" t="s">
        <v>630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631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535</v>
      </c>
      <c r="EC103" s="1" t="s">
        <v>529</v>
      </c>
      <c r="ED103" s="3" t="s">
        <v>5</v>
      </c>
      <c r="EE103" s="1" t="s">
        <v>85</v>
      </c>
      <c r="EF103" s="1" t="s">
        <v>630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534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538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5</v>
      </c>
      <c r="FE106" s="1" t="s">
        <v>85</v>
      </c>
      <c r="FF106" s="1" t="s">
        <v>630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631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533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538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631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607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532</v>
      </c>
      <c r="CO116" s="1" t="s">
        <v>85</v>
      </c>
      <c r="CP116" s="1" t="s">
        <v>630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535</v>
      </c>
      <c r="EC116" s="1" t="s">
        <v>529</v>
      </c>
      <c r="ED116" s="3" t="s">
        <v>5</v>
      </c>
      <c r="EE116" s="1" t="s">
        <v>85</v>
      </c>
      <c r="EF116" s="1" t="s">
        <v>630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534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631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631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6688312.3779436089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532</v>
      </c>
      <c r="N128" s="1" t="s">
        <v>85</v>
      </c>
      <c r="O128" s="1" t="s">
        <v>630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532</v>
      </c>
      <c r="AH128" s="1" t="s">
        <v>85</v>
      </c>
      <c r="AI128" s="1" t="s">
        <v>630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532</v>
      </c>
      <c r="BA128" s="1" t="s">
        <v>85</v>
      </c>
      <c r="BB128" s="1" t="s">
        <v>630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532</v>
      </c>
      <c r="BT128" s="1" t="s">
        <v>85</v>
      </c>
      <c r="BU128" s="1" t="s">
        <v>630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532</v>
      </c>
      <c r="CO128" s="1" t="s">
        <v>85</v>
      </c>
      <c r="CP128" s="1" t="s">
        <v>630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532</v>
      </c>
      <c r="EE128" s="1" t="s">
        <v>85</v>
      </c>
      <c r="EF128" s="1" t="s">
        <v>630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532</v>
      </c>
      <c r="FE128" s="1" t="s">
        <v>85</v>
      </c>
      <c r="FF128" s="1" t="s">
        <v>630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533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533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99821.043389412342</v>
      </c>
      <c r="CD130" s="124">
        <f>CB126+CB140+CB152-CW114-CW126-CW138</f>
        <v>1639676.7531454919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607</v>
      </c>
      <c r="AA131" s="136">
        <f>($AP$126+AP142)/(SUM(V126,V140,V163,V151))</f>
        <v>0.98926908455007689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607</v>
      </c>
      <c r="AU131" s="136">
        <f>BI126/(AU113+AP126)</f>
        <v>0.89989464623142024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607</v>
      </c>
      <c r="BN131" s="136">
        <f>CB126/(BM113+BI126)</f>
        <v>0.99885105550639652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607</v>
      </c>
      <c r="CG131" s="136">
        <f>(CW138+CW126+CW114)/(CB140+CB126+CB152)</f>
        <v>0.17251310939252748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395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395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395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395</v>
      </c>
      <c r="CG132" s="137">
        <f>CW130/(CB126+CB152+CB140)</f>
        <v>0.12213695771931468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631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607</v>
      </c>
      <c r="DX132" s="103">
        <f>EM126/(CW126+CW206+CA42)</f>
        <v>0.99243862980242414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607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631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631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631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631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631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1.1245286096249765E-2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395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556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556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556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558</v>
      </c>
      <c r="AS135" s="1" t="s">
        <v>558</v>
      </c>
      <c r="AT135" s="1" t="s">
        <v>558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558</v>
      </c>
      <c r="BL135" s="1" t="s">
        <v>558</v>
      </c>
      <c r="BM135" s="1" t="s">
        <v>558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631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558</v>
      </c>
      <c r="Z136" s="1" t="s">
        <v>558</v>
      </c>
      <c r="AA136" s="1" t="s">
        <v>558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557</v>
      </c>
      <c r="AS136" s="3" t="s">
        <v>557</v>
      </c>
      <c r="AT136" s="3" t="s">
        <v>557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557</v>
      </c>
      <c r="BL136" s="3" t="s">
        <v>557</v>
      </c>
      <c r="BM136" s="3" t="s">
        <v>557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556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557</v>
      </c>
      <c r="Z137" s="3" t="s">
        <v>557</v>
      </c>
      <c r="AA137" s="3" t="s">
        <v>557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558</v>
      </c>
      <c r="CF137" s="1" t="s">
        <v>558</v>
      </c>
      <c r="CG137" s="1" t="s">
        <v>558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556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557</v>
      </c>
      <c r="CF138" s="3" t="s">
        <v>557</v>
      </c>
      <c r="CG138" s="3" t="s">
        <v>557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92081.792209341191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558</v>
      </c>
      <c r="ER138" s="1" t="s">
        <v>558</v>
      </c>
      <c r="ES138" s="1" t="s">
        <v>558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557</v>
      </c>
      <c r="ER139" s="3" t="s">
        <v>557</v>
      </c>
      <c r="ES139" s="3" t="s">
        <v>557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547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5043.1561155210738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532</v>
      </c>
      <c r="CO140" s="1" t="s">
        <v>85</v>
      </c>
      <c r="CP140" s="1" t="s">
        <v>630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535</v>
      </c>
      <c r="L142" s="1" t="s">
        <v>529</v>
      </c>
      <c r="M142" s="1" t="s">
        <v>532</v>
      </c>
      <c r="N142" s="1" t="s">
        <v>85</v>
      </c>
      <c r="O142" s="1" t="s">
        <v>630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532</v>
      </c>
      <c r="BT142" s="1" t="s">
        <v>85</v>
      </c>
      <c r="BU142" s="1" t="s">
        <v>630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-3.9558627322637778</v>
      </c>
      <c r="CU142" s="1">
        <f>CQ142+CT142</f>
        <v>5.55548126773623</v>
      </c>
      <c r="CV142" s="1">
        <f>CU142*CR142</f>
        <v>0.97322294267813436</v>
      </c>
      <c r="CW142" s="8">
        <f>$CO$145*CV142</f>
        <v>26061.959153692678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532</v>
      </c>
      <c r="EE142" s="1" t="s">
        <v>85</v>
      </c>
      <c r="EF142" s="1" t="s">
        <v>630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534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620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560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-4.0763351278879583</v>
      </c>
      <c r="CU143" s="1">
        <f t="shared" ref="CU143" si="61">CQ143+CT143</f>
        <v>15.823664872112076</v>
      </c>
      <c r="CV143" s="1">
        <f t="shared" ref="CV143" si="62">CU143*CR143</f>
        <v>2.6288081107592776</v>
      </c>
      <c r="CW143" s="1">
        <f>$CO$145*CV143</f>
        <v>70396.911746626036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533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532</v>
      </c>
      <c r="FE143" s="1" t="s">
        <v>85</v>
      </c>
      <c r="FF143" s="1" t="s">
        <v>630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547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532</v>
      </c>
      <c r="AH144" s="1" t="s">
        <v>85</v>
      </c>
      <c r="AI144" s="1" t="s">
        <v>630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-3.5432742429276503</v>
      </c>
      <c r="BZ144" s="1">
        <f>BV144+BY144</f>
        <v>0.45672575707234975</v>
      </c>
      <c r="CA144" s="1">
        <f>BZ144*BW144</f>
        <v>9.5950789300913816E-2</v>
      </c>
      <c r="CB144" s="1">
        <f>BT146*CA144</f>
        <v>2142.5988949665375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-0.94814820455006676</v>
      </c>
      <c r="CU144" s="1">
        <f>CQ144+CT144</f>
        <v>-0.24814820455006681</v>
      </c>
      <c r="CV144" s="1">
        <f>CU144*CR144</f>
        <v>-0.16345177194260632</v>
      </c>
      <c r="CW144" s="1">
        <f>$CO$145*CV144</f>
        <v>-4377.0786909775188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533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2900.5572205545363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3.4385792814948055</v>
      </c>
      <c r="CW145" s="8">
        <f>SUM(CW142:CW144)</f>
        <v>92081.792209341191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631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0.22584479577057509</v>
      </c>
      <c r="CB146" s="3">
        <f>SUM(CB144:CB145)</f>
        <v>5043.1561155210738</v>
      </c>
      <c r="CL146" s="1" t="s">
        <v>89</v>
      </c>
      <c r="CM146" s="1"/>
      <c r="CN146" s="3" t="s">
        <v>91</v>
      </c>
      <c r="CO146" s="3" t="s">
        <v>87</v>
      </c>
      <c r="CP146" s="1" t="s">
        <v>631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631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631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687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631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631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548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639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535</v>
      </c>
      <c r="L153" s="1" t="s">
        <v>529</v>
      </c>
      <c r="M153" s="1" t="s">
        <v>532</v>
      </c>
      <c r="N153" s="1" t="s">
        <v>85</v>
      </c>
      <c r="O153" s="1" t="s">
        <v>630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534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620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535</v>
      </c>
      <c r="BR154" s="1" t="s">
        <v>529</v>
      </c>
      <c r="BS154" s="3" t="s">
        <v>5</v>
      </c>
      <c r="BT154" s="3" t="s">
        <v>359</v>
      </c>
      <c r="BU154" s="1" t="s">
        <v>630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532</v>
      </c>
      <c r="EE154" s="1" t="s">
        <v>85</v>
      </c>
      <c r="EF154" s="1" t="s">
        <v>630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548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534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533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639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631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631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631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532</v>
      </c>
      <c r="N165" s="1" t="s">
        <v>85</v>
      </c>
      <c r="O165" s="1" t="s">
        <v>630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631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607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109.79233073405253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8851059.7091535721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7" t="s">
        <v>421</v>
      </c>
      <c r="CE206" s="357"/>
      <c r="CF206" s="357"/>
      <c r="CG206" s="357"/>
      <c r="CH206" s="357"/>
      <c r="CI206" s="299"/>
      <c r="CR206" s="3" t="s">
        <v>602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532</v>
      </c>
      <c r="N208" s="1" t="s">
        <v>85</v>
      </c>
      <c r="O208" s="1" t="s">
        <v>630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532</v>
      </c>
      <c r="AH208" s="1" t="s">
        <v>85</v>
      </c>
      <c r="AI208" s="1" t="s">
        <v>630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532</v>
      </c>
      <c r="BA208" s="1" t="s">
        <v>85</v>
      </c>
      <c r="BB208" s="1" t="s">
        <v>630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532</v>
      </c>
      <c r="BT208" s="1" t="s">
        <v>85</v>
      </c>
      <c r="BU208" s="1" t="s">
        <v>630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532</v>
      </c>
      <c r="CO208" s="1" t="s">
        <v>85</v>
      </c>
      <c r="CP208" s="1" t="s">
        <v>630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603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607</v>
      </c>
      <c r="AB211" s="103">
        <f>(AP206+AP227)/($AC$195+V206+V222+V236)</f>
        <v>0.98904119275539903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607</v>
      </c>
      <c r="AU211" s="136">
        <f>BI206/(AP206+AU190)</f>
        <v>0.99996814476425233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607</v>
      </c>
      <c r="BN211" s="136">
        <f>CB206/(BM195+BI206)</f>
        <v>0.9999943139063141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607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395</v>
      </c>
      <c r="AB212" s="99">
        <f>$AP$210/($AC$195+V206+V222+V236)</f>
        <v>0.98838817763635167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395</v>
      </c>
      <c r="AU212" s="137">
        <f>BI210/(AP206+AU190)</f>
        <v>0.99937548336990578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395</v>
      </c>
      <c r="BN212" s="137">
        <f>CB210/(BM195+BI206)</f>
        <v>0.99940163700203333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395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631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556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556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556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556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9" t="s">
        <v>372</v>
      </c>
      <c r="X216" s="4"/>
      <c r="Y216" s="1" t="s">
        <v>558</v>
      </c>
      <c r="Z216" s="1" t="s">
        <v>558</v>
      </c>
      <c r="AA216" s="1" t="s">
        <v>558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558</v>
      </c>
      <c r="AS216" s="1" t="s">
        <v>558</v>
      </c>
      <c r="AT216" s="1" t="s">
        <v>558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558</v>
      </c>
      <c r="BL216" s="1" t="s">
        <v>558</v>
      </c>
      <c r="BM216" s="1" t="s">
        <v>558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558</v>
      </c>
      <c r="CF216" s="1" t="s">
        <v>558</v>
      </c>
      <c r="CG216" s="1" t="s">
        <v>558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650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9"/>
      <c r="X217" s="4" t="s">
        <v>60</v>
      </c>
      <c r="Y217" s="3" t="s">
        <v>557</v>
      </c>
      <c r="Z217" s="3" t="s">
        <v>557</v>
      </c>
      <c r="AA217" s="3" t="s">
        <v>557</v>
      </c>
      <c r="AC217" s="4"/>
      <c r="AD217" s="1" t="s">
        <v>650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557</v>
      </c>
      <c r="AS217" s="3" t="s">
        <v>557</v>
      </c>
      <c r="AT217" s="3" t="s">
        <v>557</v>
      </c>
      <c r="AU217" s="4"/>
      <c r="AV217" s="4"/>
      <c r="AW217" s="1" t="s">
        <v>650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557</v>
      </c>
      <c r="BL217" s="3" t="s">
        <v>557</v>
      </c>
      <c r="BM217" s="3" t="s">
        <v>557</v>
      </c>
      <c r="BN217" s="4"/>
      <c r="BO217" s="4"/>
      <c r="BP217" s="1" t="s">
        <v>650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557</v>
      </c>
      <c r="CF217" s="3" t="s">
        <v>557</v>
      </c>
      <c r="CG217" s="3" t="s">
        <v>557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631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631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631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631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532</v>
      </c>
      <c r="CO220" s="1" t="s">
        <v>85</v>
      </c>
      <c r="CP220" s="1" t="s">
        <v>630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547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535</v>
      </c>
      <c r="L224" s="1" t="s">
        <v>529</v>
      </c>
      <c r="M224" s="3" t="s">
        <v>5</v>
      </c>
      <c r="N224" s="1" t="s">
        <v>85</v>
      </c>
      <c r="O224" s="1" t="s">
        <v>630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534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620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604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547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631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650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541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532</v>
      </c>
      <c r="AH229" s="1" t="s">
        <v>85</v>
      </c>
      <c r="AI229" s="1" t="s">
        <v>630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631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500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7" t="s">
        <v>635</v>
      </c>
      <c r="CZ233" s="357"/>
      <c r="DA233" s="357"/>
      <c r="DB233" s="357"/>
      <c r="DC233" s="357"/>
      <c r="DL233" s="3" t="s">
        <v>636</v>
      </c>
      <c r="DP233" s="50">
        <f>DF241</f>
        <v>46.099804713468714</v>
      </c>
      <c r="DQ233" s="48">
        <f>DQ241</f>
        <v>4044220.3273382401</v>
      </c>
      <c r="DS233" s="357" t="s">
        <v>638</v>
      </c>
      <c r="DT233" s="357"/>
      <c r="DU233" s="357"/>
      <c r="DV233" s="357"/>
      <c r="DW233" s="357"/>
      <c r="EG233" s="3" t="s">
        <v>639</v>
      </c>
      <c r="EK233" s="50">
        <f>EA241</f>
        <v>46.099804713468714</v>
      </c>
      <c r="EL233" s="48">
        <f>EL241</f>
        <v>4044220.3273382401</v>
      </c>
      <c r="FA233" s="3" t="s">
        <v>639</v>
      </c>
      <c r="FF233" s="50">
        <f>EV241</f>
        <v>13.829941414040613</v>
      </c>
      <c r="FG233" s="48">
        <f>FG241</f>
        <v>1213266.0982014721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532</v>
      </c>
      <c r="BT234" s="1" t="s">
        <v>85</v>
      </c>
      <c r="BU234" s="1" t="s">
        <v>630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4027024.8231933108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631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532</v>
      </c>
      <c r="DI235" s="1" t="s">
        <v>85</v>
      </c>
      <c r="DJ235" s="1" t="s">
        <v>630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532</v>
      </c>
      <c r="ED235" s="1" t="s">
        <v>85</v>
      </c>
      <c r="EE235" s="1" t="s">
        <v>630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532</v>
      </c>
      <c r="EY235" s="1" t="s">
        <v>85</v>
      </c>
      <c r="EZ235" s="1" t="s">
        <v>630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58.434372046010559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529</v>
      </c>
      <c r="CM236" s="1" t="s">
        <v>530</v>
      </c>
      <c r="CN236" s="1" t="s">
        <v>532</v>
      </c>
      <c r="CO236" s="1" t="s">
        <v>85</v>
      </c>
      <c r="CP236" s="1" t="s">
        <v>630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337</v>
      </c>
      <c r="DC237" s="136">
        <f>((DI238*(DP238-CV242)))/DD229</f>
        <v>0.19607706784943255</v>
      </c>
      <c r="DD237" s="364" t="s">
        <v>636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5" t="s">
        <v>639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532</v>
      </c>
      <c r="N238" s="1" t="s">
        <v>85</v>
      </c>
      <c r="O238" s="1" t="s">
        <v>630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607</v>
      </c>
      <c r="DC238" s="136">
        <f>DQ233/(CW234+DD229)</f>
        <v>0.99606022128883631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607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631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395</v>
      </c>
      <c r="DC239" s="137">
        <f>DQ238/(CW234+DD229)</f>
        <v>0.18245854571809561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5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631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631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556</v>
      </c>
      <c r="EV242" s="1" t="s">
        <v>89</v>
      </c>
      <c r="EW242" s="1"/>
      <c r="EX242" s="3" t="s">
        <v>91</v>
      </c>
      <c r="EY242" s="3" t="s">
        <v>87</v>
      </c>
      <c r="EZ242" s="1" t="s">
        <v>631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631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556</v>
      </c>
      <c r="EO243" s="4"/>
      <c r="EP243" s="1" t="s">
        <v>558</v>
      </c>
      <c r="EQ243" s="1" t="s">
        <v>558</v>
      </c>
      <c r="ER243" s="1" t="s">
        <v>558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631</v>
      </c>
      <c r="CQ244" s="4"/>
      <c r="CR244" s="4"/>
      <c r="CV244" s="3" t="s">
        <v>96</v>
      </c>
      <c r="CW244" s="1" t="s">
        <v>93</v>
      </c>
      <c r="CY244" s="4"/>
      <c r="CZ244" s="1" t="s">
        <v>558</v>
      </c>
      <c r="DA244" s="1" t="s">
        <v>558</v>
      </c>
      <c r="DB244" s="1" t="s">
        <v>558</v>
      </c>
      <c r="EO244" s="4" t="s">
        <v>60</v>
      </c>
      <c r="EP244" s="3" t="s">
        <v>557</v>
      </c>
      <c r="EQ244" s="3" t="s">
        <v>557</v>
      </c>
      <c r="ER244" s="3" t="s">
        <v>557</v>
      </c>
    </row>
    <row r="245" spans="9:163" x14ac:dyDescent="0.2">
      <c r="BO245" s="4"/>
      <c r="CY245" s="4" t="s">
        <v>60</v>
      </c>
      <c r="CZ245" s="3" t="s">
        <v>557</v>
      </c>
      <c r="DA245" s="3" t="s">
        <v>557</v>
      </c>
      <c r="DB245" s="3" t="s">
        <v>557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535</v>
      </c>
      <c r="BR246" s="1" t="s">
        <v>529</v>
      </c>
      <c r="BS246" s="3" t="s">
        <v>5</v>
      </c>
      <c r="BT246" s="1" t="s">
        <v>85</v>
      </c>
      <c r="BU246" s="1" t="s">
        <v>630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534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359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631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532</v>
      </c>
      <c r="CO253" s="1" t="s">
        <v>85</v>
      </c>
      <c r="CP253" s="1" t="s">
        <v>630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631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532</v>
      </c>
      <c r="CO269" s="1" t="s">
        <v>85</v>
      </c>
      <c r="CP269" s="1" t="s">
        <v>630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677</v>
      </c>
      <c r="CK271" s="17" t="s">
        <v>647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93"/>
      <c r="CK272" s="3" t="s">
        <v>648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93"/>
      <c r="CK273" s="3" t="s">
        <v>649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93"/>
      <c r="CK274" s="3" t="s">
        <v>661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93"/>
      <c r="CK275" s="3" t="s">
        <v>668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93"/>
      <c r="CK276" s="3" t="s">
        <v>670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93"/>
      <c r="CK277" s="4" t="s">
        <v>671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631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543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543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544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543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546</v>
      </c>
      <c r="F23" s="3" t="s">
        <v>545</v>
      </c>
      <c r="G23" s="3" t="s">
        <v>610</v>
      </c>
    </row>
    <row r="24" spans="4:9" x14ac:dyDescent="0.2">
      <c r="E24" s="201" t="s">
        <v>543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544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53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555</v>
      </c>
      <c r="AT1" s="256"/>
      <c r="AU1" s="204" t="s">
        <v>402</v>
      </c>
      <c r="AV1" s="204" t="s">
        <v>403</v>
      </c>
      <c r="AW1" s="204" t="s">
        <v>404</v>
      </c>
      <c r="AX1" s="204" t="s">
        <v>536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635</v>
      </c>
      <c r="BG1" s="204" t="s">
        <v>638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536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635</v>
      </c>
      <c r="CA1" s="204" t="s">
        <v>638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547</v>
      </c>
      <c r="C7" s="280">
        <v>1</v>
      </c>
      <c r="AM7" s="201"/>
      <c r="AT7" s="201" t="s">
        <v>547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547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548</v>
      </c>
      <c r="C8" s="280">
        <v>1</v>
      </c>
      <c r="AM8" s="201"/>
      <c r="AT8" s="201" t="s">
        <v>548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548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540</v>
      </c>
      <c r="C10" s="280">
        <v>1</v>
      </c>
      <c r="AM10" s="201"/>
      <c r="AT10" s="201" t="s">
        <v>540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537</v>
      </c>
      <c r="C23" s="280">
        <v>1</v>
      </c>
      <c r="AT23" s="203" t="s">
        <v>537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537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602</v>
      </c>
      <c r="C27" s="280">
        <v>1</v>
      </c>
      <c r="AT27" s="203" t="s">
        <v>602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602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677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677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499</v>
      </c>
      <c r="C32" s="280">
        <v>1</v>
      </c>
      <c r="AT32" s="203" t="s">
        <v>636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636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639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639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538</v>
      </c>
      <c r="C37" s="280">
        <v>1</v>
      </c>
      <c r="AT37" s="203" t="s">
        <v>538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538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554</v>
      </c>
      <c r="AT38" s="203"/>
      <c r="AU38" s="405" t="s">
        <v>551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552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536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635</v>
      </c>
      <c r="BG41" s="204" t="s">
        <v>638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5043.1561155210738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547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548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540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537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602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677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636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4044220.3273382401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639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538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553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536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635</v>
      </c>
      <c r="BG86" s="204" t="s">
        <v>638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8851059.7091535721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5043.1561155210738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7"/>
        <v>55021.307656217788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547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547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548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548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540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540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109233.7126431732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2418.6577581793781</v>
      </c>
      <c r="BQ97" s="248">
        <f t="shared" si="49"/>
        <v>2418.6577581793781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25394.240916408646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7.2399197950896488</v>
      </c>
      <c r="BQ99" s="248">
        <f t="shared" si="49"/>
        <v>7.2399197950896488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8856308.1430966556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598.81969608995871</v>
      </c>
      <c r="BQ101" s="248">
        <f t="shared" si="49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109233.7126431732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25394.240916408646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7"/>
        <v>8856308.1430966556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7"/>
        <v>88965.799815334409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21743.416787545681</v>
      </c>
      <c r="BQ106" s="248">
        <f t="shared" si="50"/>
        <v>21743.416787545681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7"/>
        <v>25394.240916408646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537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7"/>
        <v>8856308.1430966556</v>
      </c>
      <c r="BN108" s="203" t="s">
        <v>537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92081.792209341191</v>
      </c>
      <c r="BQ111" s="248">
        <f t="shared" si="50"/>
        <v>92081.792209341191</v>
      </c>
    </row>
    <row r="112" spans="36:74" x14ac:dyDescent="0.2">
      <c r="AJ112" s="203"/>
      <c r="AK112" s="203"/>
      <c r="AT112" s="203" t="s">
        <v>602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602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7"/>
        <v>4027024.8231933108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677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677</v>
      </c>
      <c r="BO114" s="240"/>
      <c r="BP114" s="240">
        <f>Ore_to_PI!CW267</f>
        <v>955653.18009036488</v>
      </c>
      <c r="BQ114" s="248">
        <f t="shared" si="50"/>
        <v>955653.18009036488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9078.7224010297414</v>
      </c>
      <c r="BQ115" s="248">
        <f t="shared" si="50"/>
        <v>9078.7224010297414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325339.45293214149</v>
      </c>
      <c r="BQ116" s="248">
        <f t="shared" si="50"/>
        <v>325339.45293214149</v>
      </c>
    </row>
    <row r="117" spans="5:69" x14ac:dyDescent="0.2">
      <c r="AJ117" s="203"/>
      <c r="AK117" s="203"/>
      <c r="AT117" s="203" t="s">
        <v>636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7"/>
        <v>4044220.3273382401</v>
      </c>
      <c r="BN117" s="203" t="s">
        <v>636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639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7"/>
        <v>2830954.2291367673</v>
      </c>
      <c r="BN118" s="203" t="s">
        <v>637</v>
      </c>
      <c r="BO118" s="240">
        <f>Ore_to_PI!$FG$233</f>
        <v>1213266.0982014721</v>
      </c>
      <c r="BP118" s="240"/>
      <c r="BQ118" s="248">
        <f t="shared" si="50"/>
        <v>1213266.0982014721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7"/>
        <v>6688312.3779436089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424855.37186650094</v>
      </c>
      <c r="BQ121" s="248">
        <f t="shared" si="50"/>
        <v>424855.37186650094</v>
      </c>
    </row>
    <row r="122" spans="5:69" x14ac:dyDescent="0.2">
      <c r="AJ122" s="203"/>
      <c r="AK122" s="203"/>
      <c r="AT122" s="203" t="s">
        <v>538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538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1">SUM(AX87:AX122)</f>
        <v>719025.96440252138</v>
      </c>
      <c r="AY124" s="248">
        <f t="shared" si="51"/>
        <v>28219.126564153565</v>
      </c>
      <c r="AZ124" s="248">
        <f t="shared" si="51"/>
        <v>8856590.2718676869</v>
      </c>
      <c r="BA124" s="248">
        <f t="shared" si="51"/>
        <v>121859.81146951189</v>
      </c>
      <c r="BB124" s="248">
        <f t="shared" si="51"/>
        <v>25428.919011572762</v>
      </c>
      <c r="BC124" s="248">
        <f t="shared" si="51"/>
        <v>8856358.501180809</v>
      </c>
      <c r="BD124" s="248">
        <f t="shared" si="51"/>
        <v>1981513.8726146785</v>
      </c>
      <c r="BE124" s="248">
        <f t="shared" si="51"/>
        <v>19467444.052330792</v>
      </c>
      <c r="BF124" s="248">
        <f t="shared" si="51"/>
        <v>4060216.682587008</v>
      </c>
      <c r="BG124" s="248">
        <f t="shared" si="51"/>
        <v>4044220.3273382401</v>
      </c>
      <c r="BH124" s="248">
        <f t="shared" si="51"/>
        <v>6739270.4970332785</v>
      </c>
      <c r="BI124" s="248">
        <f t="shared" si="51"/>
        <v>12219080.249060091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547</v>
      </c>
      <c r="L126" s="204" t="s">
        <v>548</v>
      </c>
      <c r="M126" s="204" t="s">
        <v>491</v>
      </c>
      <c r="N126" s="204" t="s">
        <v>540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537</v>
      </c>
      <c r="AB126" s="207" t="s">
        <v>505</v>
      </c>
      <c r="AC126" s="207" t="s">
        <v>507</v>
      </c>
      <c r="AD126" s="207" t="s">
        <v>506</v>
      </c>
      <c r="AE126" s="207" t="s">
        <v>602</v>
      </c>
      <c r="AF126" s="229" t="s">
        <v>502</v>
      </c>
      <c r="AG126" s="229" t="s">
        <v>677</v>
      </c>
      <c r="AH126" s="207" t="s">
        <v>501</v>
      </c>
      <c r="AI126" s="204" t="s">
        <v>503</v>
      </c>
      <c r="AJ126" s="207" t="s">
        <v>636</v>
      </c>
      <c r="AK126" s="207" t="s">
        <v>639</v>
      </c>
      <c r="AL126" s="207" t="s">
        <v>525</v>
      </c>
      <c r="AM126" s="207" t="s">
        <v>526</v>
      </c>
      <c r="AN126" s="207" t="s">
        <v>527</v>
      </c>
      <c r="AO126" s="207" t="s">
        <v>538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536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92081.792209341191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341837.11946918681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2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635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2"/>
        <v>4044220.3273382401</v>
      </c>
    </row>
    <row r="139" spans="5:68" x14ac:dyDescent="0.2">
      <c r="E139" s="201" t="s">
        <v>638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2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2"/>
        <v>6688312.3779436089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2"/>
        <v>4650626.026547228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109233.7126431732</v>
      </c>
      <c r="P143" s="248">
        <f t="shared" si="53"/>
        <v>2418.6577581793781</v>
      </c>
      <c r="Q143" s="248">
        <f t="shared" si="53"/>
        <v>25394.240916408646</v>
      </c>
      <c r="R143" s="248">
        <f t="shared" si="53"/>
        <v>7.2399197950896488</v>
      </c>
      <c r="S143" s="248">
        <f t="shared" si="53"/>
        <v>8856308.1430966556</v>
      </c>
      <c r="T143" s="248">
        <f t="shared" si="53"/>
        <v>598.81969608995871</v>
      </c>
      <c r="U143" s="248">
        <f t="shared" si="53"/>
        <v>109233.7126431732</v>
      </c>
      <c r="V143" s="248">
        <f t="shared" si="53"/>
        <v>25394.240916408646</v>
      </c>
      <c r="W143" s="248">
        <f t="shared" si="53"/>
        <v>8856308.1430966556</v>
      </c>
      <c r="X143" s="248">
        <f t="shared" si="53"/>
        <v>88965.799815334409</v>
      </c>
      <c r="Y143" s="248">
        <f t="shared" si="53"/>
        <v>21743.416787545681</v>
      </c>
      <c r="Z143" s="248">
        <f t="shared" si="53"/>
        <v>25394.240916408646</v>
      </c>
      <c r="AA143" s="248">
        <f t="shared" si="53"/>
        <v>8856308.1430966556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92081.792209341191</v>
      </c>
      <c r="AE143" s="248">
        <f t="shared" si="53"/>
        <v>6408288.6211381694</v>
      </c>
      <c r="AF143" s="248">
        <f t="shared" si="53"/>
        <v>4027024.8231933108</v>
      </c>
      <c r="AG143" s="248">
        <f t="shared" si="53"/>
        <v>955653.18009036488</v>
      </c>
      <c r="AH143" s="248">
        <f t="shared" si="53"/>
        <v>9078.7224010297414</v>
      </c>
      <c r="AI143" s="248">
        <f t="shared" si="53"/>
        <v>325339.45293214149</v>
      </c>
      <c r="AJ143" s="248">
        <f t="shared" si="53"/>
        <v>4044220.3273382401</v>
      </c>
      <c r="AK143" s="248">
        <f t="shared" si="53"/>
        <v>4044220.3273382401</v>
      </c>
      <c r="AL143" s="248">
        <f t="shared" si="53"/>
        <v>6688312.3779436089</v>
      </c>
      <c r="AM143" s="248">
        <f t="shared" si="53"/>
        <v>4157895.2984628798</v>
      </c>
      <c r="AN143" s="248">
        <f t="shared" si="53"/>
        <v>424855.37186650094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547</v>
      </c>
      <c r="L155" s="204" t="s">
        <v>548</v>
      </c>
      <c r="M155" s="204" t="s">
        <v>491</v>
      </c>
      <c r="N155" s="204" t="s">
        <v>540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537</v>
      </c>
      <c r="AB155" s="207" t="s">
        <v>505</v>
      </c>
      <c r="AC155" s="207" t="s">
        <v>507</v>
      </c>
      <c r="AD155" s="207" t="s">
        <v>506</v>
      </c>
      <c r="AE155" s="207" t="s">
        <v>602</v>
      </c>
      <c r="AF155" s="229" t="s">
        <v>502</v>
      </c>
      <c r="AG155" s="229" t="s">
        <v>677</v>
      </c>
      <c r="AH155" s="207" t="s">
        <v>501</v>
      </c>
      <c r="AI155" s="204" t="s">
        <v>503</v>
      </c>
      <c r="AJ155" s="207" t="s">
        <v>636</v>
      </c>
      <c r="AK155" s="207" t="s">
        <v>639</v>
      </c>
      <c r="AL155" s="207" t="s">
        <v>525</v>
      </c>
      <c r="AM155" s="207" t="s">
        <v>526</v>
      </c>
      <c r="AN155" s="207" t="s">
        <v>527</v>
      </c>
      <c r="AO155" s="207" t="s">
        <v>538</v>
      </c>
      <c r="AP155" s="207"/>
      <c r="AQ155" s="207"/>
    </row>
    <row r="156" spans="5:43" x14ac:dyDescent="0.2">
      <c r="E156" s="201" t="s">
        <v>409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55021.307656217788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550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549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539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109233.7126431732</v>
      </c>
      <c r="G166" s="248">
        <f t="shared" si="54"/>
        <v>25394.240916408646</v>
      </c>
      <c r="H166" s="248">
        <f t="shared" si="54"/>
        <v>8851059.7091535721</v>
      </c>
      <c r="I166" s="248">
        <f t="shared" si="54"/>
        <v>55021.307656217788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542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 t="shared" ref="J174:J200" si="55"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25394.240916408646</v>
      </c>
      <c r="H175" s="248">
        <v>0</v>
      </c>
      <c r="J175" s="248">
        <f t="shared" si="55"/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8851059.7091535721</v>
      </c>
      <c r="H176" s="248">
        <v>0</v>
      </c>
      <c r="J176" s="248">
        <f t="shared" si="55"/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55021.307656217788</v>
      </c>
      <c r="H177" s="248">
        <v>0</v>
      </c>
      <c r="J177" s="248">
        <f t="shared" si="55"/>
        <v>55021.307656217788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547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548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540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109233.7126431732</v>
      </c>
      <c r="J183" s="248">
        <f t="shared" si="55"/>
        <v>109233.7126431732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2418.6577581793781</v>
      </c>
      <c r="J184" s="248">
        <f t="shared" si="55"/>
        <v>0</v>
      </c>
      <c r="L184" s="248">
        <v>2418.6577581793781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25394.240916408646</v>
      </c>
      <c r="J185" s="248">
        <f t="shared" si="55"/>
        <v>25394.240916408646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7.2399197950896488</v>
      </c>
      <c r="J186" s="248">
        <f t="shared" si="55"/>
        <v>0</v>
      </c>
      <c r="L186" s="248">
        <v>7.2399197950896488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8856308.1430966556</v>
      </c>
      <c r="I187" s="169" t="s">
        <v>450</v>
      </c>
      <c r="J187" s="248">
        <f t="shared" si="55"/>
        <v>8856308.1430966556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598.81969608995871</v>
      </c>
      <c r="J188" s="248">
        <f t="shared" si="55"/>
        <v>0</v>
      </c>
      <c r="L188" s="248">
        <v>598.81969608995871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109233.7126431732</v>
      </c>
      <c r="J189" s="248">
        <f t="shared" si="55"/>
        <v>109233.7126431732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25394.240916408646</v>
      </c>
      <c r="J190" s="248">
        <f t="shared" si="55"/>
        <v>25394.240916408646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8856308.1430966556</v>
      </c>
      <c r="J191" s="248">
        <f t="shared" si="55"/>
        <v>8856308.1430966556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88965.799815334409</v>
      </c>
      <c r="J192" s="248">
        <f t="shared" si="55"/>
        <v>88965.799815334409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21743.416787545681</v>
      </c>
      <c r="J193" s="248">
        <f t="shared" si="55"/>
        <v>0</v>
      </c>
      <c r="L193" s="248">
        <v>21743.416787545681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25394.240916408646</v>
      </c>
      <c r="J194" s="248">
        <f t="shared" si="55"/>
        <v>25394.240916408646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537</v>
      </c>
      <c r="F195" s="248">
        <v>0</v>
      </c>
      <c r="H195" s="248">
        <v>8856308.1430966556</v>
      </c>
      <c r="J195" s="248">
        <f t="shared" si="55"/>
        <v>8856308.1430966556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92081.792209341191</v>
      </c>
      <c r="J198" s="248">
        <f t="shared" si="55"/>
        <v>0</v>
      </c>
      <c r="L198" s="248">
        <v>92081.792209341191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602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4027024.8231933108</v>
      </c>
      <c r="J200" s="248">
        <f t="shared" si="55"/>
        <v>4027024.8231933108</v>
      </c>
      <c r="L200" s="248">
        <v>0</v>
      </c>
      <c r="N200" s="295">
        <f t="shared" si="57"/>
        <v>0</v>
      </c>
    </row>
    <row r="201" spans="5:22" ht="16" x14ac:dyDescent="0.2">
      <c r="E201" s="249" t="s">
        <v>677</v>
      </c>
      <c r="F201" s="248">
        <v>0</v>
      </c>
      <c r="H201" s="248">
        <v>955653.18009036488</v>
      </c>
      <c r="J201" s="248">
        <f t="shared" ref="J201:J209" si="58">BJ114</f>
        <v>0</v>
      </c>
      <c r="L201" s="248">
        <v>955653.18009036488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9078.7224010297414</v>
      </c>
      <c r="J202" s="248">
        <f t="shared" si="58"/>
        <v>0</v>
      </c>
      <c r="L202" s="248">
        <v>9078.7224010297414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325339.45293214149</v>
      </c>
      <c r="J203" s="248">
        <f t="shared" si="58"/>
        <v>0</v>
      </c>
      <c r="L203" s="248">
        <v>325339.45293214149</v>
      </c>
      <c r="N203" s="295">
        <f t="shared" si="57"/>
        <v>0</v>
      </c>
    </row>
    <row r="204" spans="5:22" x14ac:dyDescent="0.2">
      <c r="E204" s="203" t="s">
        <v>636</v>
      </c>
      <c r="F204" s="248">
        <v>0</v>
      </c>
      <c r="H204" s="248">
        <v>4044220.3273382401</v>
      </c>
      <c r="J204" s="248">
        <f t="shared" si="58"/>
        <v>4044220.3273382401</v>
      </c>
      <c r="L204" s="248">
        <v>0</v>
      </c>
      <c r="N204" s="295">
        <f t="shared" si="57"/>
        <v>0</v>
      </c>
    </row>
    <row r="205" spans="5:22" x14ac:dyDescent="0.2">
      <c r="E205" s="203" t="s">
        <v>639</v>
      </c>
      <c r="F205" s="248">
        <v>0</v>
      </c>
      <c r="H205" s="248">
        <v>4044220.3273382401</v>
      </c>
      <c r="J205" s="248">
        <f t="shared" si="58"/>
        <v>2830954.2291367673</v>
      </c>
      <c r="L205" s="248">
        <v>1213266.0982014721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6688312.3779436089</v>
      </c>
      <c r="J206" s="248">
        <f t="shared" si="58"/>
        <v>6688312.3779436089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424855.37186650094</v>
      </c>
      <c r="J208" s="248">
        <f t="shared" si="58"/>
        <v>0</v>
      </c>
      <c r="L208" s="248">
        <v>424855.37186650094</v>
      </c>
      <c r="N208" s="295">
        <f t="shared" si="57"/>
        <v>0</v>
      </c>
    </row>
    <row r="209" spans="5:18" x14ac:dyDescent="0.2">
      <c r="E209" s="203" t="s">
        <v>538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608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203615.93865263887</v>
      </c>
      <c r="H216" s="248">
        <f t="shared" ref="H216:H230" si="59">AP127</f>
        <v>111652.37040135259</v>
      </c>
      <c r="J216" s="248">
        <f>F216-H216</f>
        <v>91963.568251286284</v>
      </c>
    </row>
    <row r="217" spans="5:18" x14ac:dyDescent="0.2">
      <c r="E217" s="201" t="s">
        <v>403</v>
      </c>
      <c r="F217" s="248">
        <v>25677.018753453132</v>
      </c>
      <c r="H217" s="248">
        <f t="shared" si="59"/>
        <v>25401.480836203737</v>
      </c>
      <c r="J217" s="248">
        <f t="shared" ref="J217:J230" si="60">F217-H217</f>
        <v>275.53791724939583</v>
      </c>
      <c r="Q217" s="241"/>
      <c r="R217" s="241"/>
    </row>
    <row r="218" spans="5:18" x14ac:dyDescent="0.2">
      <c r="E218" s="201" t="s">
        <v>404</v>
      </c>
      <c r="F218" s="248">
        <v>8955043.5590230841</v>
      </c>
      <c r="H218" s="248">
        <f t="shared" si="59"/>
        <v>8856906.9627927449</v>
      </c>
      <c r="J218" s="248">
        <f t="shared" si="60"/>
        <v>98136.596230339259</v>
      </c>
    </row>
    <row r="219" spans="5:18" x14ac:dyDescent="0.2">
      <c r="E219" s="201" t="s">
        <v>536</v>
      </c>
      <c r="F219" s="248">
        <v>719025.96440252138</v>
      </c>
      <c r="G219" s="250"/>
      <c r="H219" s="248">
        <f t="shared" si="59"/>
        <v>109233.7126431732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28219.126564153565</v>
      </c>
      <c r="H220" s="248">
        <f t="shared" si="59"/>
        <v>25394.240916408646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8856590.2718676869</v>
      </c>
      <c r="H221" s="248">
        <f t="shared" si="59"/>
        <v>8856308.1430966556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121859.81146951189</v>
      </c>
      <c r="H222" s="248">
        <f t="shared" si="59"/>
        <v>110709.21660288009</v>
      </c>
      <c r="J222" s="248">
        <f t="shared" si="60"/>
        <v>11150.5948666318</v>
      </c>
    </row>
    <row r="223" spans="5:18" x14ac:dyDescent="0.2">
      <c r="E223" s="201" t="s">
        <v>425</v>
      </c>
      <c r="F223" s="248">
        <v>25428.919011572762</v>
      </c>
      <c r="G223" s="169" t="s">
        <v>455</v>
      </c>
      <c r="H223" s="248">
        <f t="shared" si="59"/>
        <v>25394.240916408646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8856358.501180809</v>
      </c>
      <c r="H224" s="248">
        <f t="shared" si="59"/>
        <v>8856308.1430966556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1981513.8726146785</v>
      </c>
      <c r="H225" s="248">
        <f t="shared" si="59"/>
        <v>341837.11946918681</v>
      </c>
      <c r="J225" s="248">
        <f t="shared" si="60"/>
        <v>1639676.7531454917</v>
      </c>
    </row>
    <row r="226" spans="5:14" x14ac:dyDescent="0.2">
      <c r="E226" s="201" t="s">
        <v>421</v>
      </c>
      <c r="F226" s="248">
        <v>19467444.052330792</v>
      </c>
      <c r="H226" s="248">
        <f t="shared" si="59"/>
        <v>11725384.799755016</v>
      </c>
      <c r="J226" s="248">
        <f t="shared" si="60"/>
        <v>7742059.2525757756</v>
      </c>
    </row>
    <row r="227" spans="5:14" x14ac:dyDescent="0.2">
      <c r="E227" s="201" t="s">
        <v>635</v>
      </c>
      <c r="F227" s="248">
        <v>4060216.682587008</v>
      </c>
      <c r="H227" s="248">
        <f t="shared" si="59"/>
        <v>4044220.3273382401</v>
      </c>
      <c r="J227" s="248">
        <f t="shared" si="60"/>
        <v>15996.355248767883</v>
      </c>
    </row>
    <row r="228" spans="5:14" x14ac:dyDescent="0.2">
      <c r="E228" s="201" t="s">
        <v>638</v>
      </c>
      <c r="F228" s="248">
        <v>4044220.3273382401</v>
      </c>
      <c r="H228" s="248">
        <f t="shared" si="59"/>
        <v>4044220.3273382401</v>
      </c>
      <c r="J228" s="248">
        <f t="shared" si="60"/>
        <v>0</v>
      </c>
    </row>
    <row r="229" spans="5:14" x14ac:dyDescent="0.2">
      <c r="E229" s="201" t="s">
        <v>81</v>
      </c>
      <c r="F229" s="248">
        <v>6739270.4970332785</v>
      </c>
      <c r="H229" s="248">
        <f t="shared" si="59"/>
        <v>6688312.3779436089</v>
      </c>
      <c r="J229" s="248">
        <f t="shared" si="60"/>
        <v>50958.119089669548</v>
      </c>
    </row>
    <row r="230" spans="5:14" x14ac:dyDescent="0.2">
      <c r="E230" s="201" t="s">
        <v>414</v>
      </c>
      <c r="F230" s="248">
        <v>12219080.249060091</v>
      </c>
      <c r="G230" s="169"/>
      <c r="H230" s="248">
        <f t="shared" si="59"/>
        <v>4650626.026547228</v>
      </c>
      <c r="J230" s="248">
        <f t="shared" si="60"/>
        <v>7568454.2225128626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559</v>
      </c>
      <c r="AQ1" s="256"/>
      <c r="AR1" s="204" t="s">
        <v>402</v>
      </c>
      <c r="AS1" s="204" t="s">
        <v>403</v>
      </c>
      <c r="AT1" s="204" t="s">
        <v>404</v>
      </c>
      <c r="AU1" s="204" t="s">
        <v>536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638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536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638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547</v>
      </c>
      <c r="C7" s="280">
        <v>1</v>
      </c>
      <c r="AQ7" s="201" t="s">
        <v>547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547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548</v>
      </c>
      <c r="C8" s="280">
        <v>1</v>
      </c>
      <c r="AQ8" s="201" t="s">
        <v>548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548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540</v>
      </c>
      <c r="C10" s="280">
        <v>1</v>
      </c>
      <c r="AQ10" s="201" t="s">
        <v>540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537</v>
      </c>
      <c r="C23" s="280">
        <v>1</v>
      </c>
      <c r="AQ23" s="203" t="s">
        <v>537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537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602</v>
      </c>
      <c r="C27" s="280">
        <v>1</v>
      </c>
      <c r="AQ27" s="203" t="s">
        <v>602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602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677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677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636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636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639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639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538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554</v>
      </c>
      <c r="AQ37" s="203" t="s">
        <v>538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538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551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552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536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635</v>
      </c>
      <c r="BD41" s="204" t="s">
        <v>638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547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548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540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537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602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677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636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639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538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553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536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635</v>
      </c>
      <c r="BD82" s="204" t="s">
        <v>638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547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547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548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548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540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540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537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537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602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602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677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677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636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636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639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639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538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538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547</v>
      </c>
      <c r="J123" s="204" t="s">
        <v>548</v>
      </c>
      <c r="K123" s="204" t="s">
        <v>540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537</v>
      </c>
      <c r="Y123" s="207" t="s">
        <v>505</v>
      </c>
      <c r="Z123" s="207" t="s">
        <v>507</v>
      </c>
      <c r="AA123" s="207" t="s">
        <v>506</v>
      </c>
      <c r="AB123" s="207" t="s">
        <v>602</v>
      </c>
      <c r="AC123" s="229" t="s">
        <v>502</v>
      </c>
      <c r="AD123" s="229" t="s">
        <v>677</v>
      </c>
      <c r="AE123" s="207" t="s">
        <v>501</v>
      </c>
      <c r="AF123" s="204" t="s">
        <v>503</v>
      </c>
      <c r="AG123" s="207" t="s">
        <v>636</v>
      </c>
      <c r="AH123" s="207" t="s">
        <v>639</v>
      </c>
      <c r="AI123" s="207" t="s">
        <v>525</v>
      </c>
      <c r="AJ123" s="207" t="s">
        <v>526</v>
      </c>
      <c r="AK123" s="207" t="s">
        <v>527</v>
      </c>
      <c r="AL123" s="207" t="s">
        <v>538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536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638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547</v>
      </c>
      <c r="J152" s="204" t="s">
        <v>548</v>
      </c>
      <c r="K152" s="204" t="s">
        <v>540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537</v>
      </c>
      <c r="Y152" s="207" t="s">
        <v>505</v>
      </c>
      <c r="Z152" s="207" t="s">
        <v>507</v>
      </c>
      <c r="AA152" s="207" t="s">
        <v>506</v>
      </c>
      <c r="AB152" s="207" t="s">
        <v>602</v>
      </c>
      <c r="AC152" s="229" t="s">
        <v>502</v>
      </c>
      <c r="AD152" s="229" t="s">
        <v>677</v>
      </c>
      <c r="AE152" s="207" t="s">
        <v>501</v>
      </c>
      <c r="AF152" s="204" t="s">
        <v>503</v>
      </c>
      <c r="AG152" s="207" t="s">
        <v>636</v>
      </c>
      <c r="AH152" s="207" t="s">
        <v>639</v>
      </c>
      <c r="AI152" s="207" t="s">
        <v>525</v>
      </c>
      <c r="AJ152" s="207" t="s">
        <v>526</v>
      </c>
      <c r="AK152" s="207" t="s">
        <v>527</v>
      </c>
      <c r="AL152" s="207" t="s">
        <v>538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550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549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539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540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537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602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677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636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639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538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536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635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638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692</v>
      </c>
      <c r="AQ1" s="256"/>
      <c r="AR1" s="204" t="s">
        <v>402</v>
      </c>
      <c r="AS1" s="204" t="s">
        <v>403</v>
      </c>
      <c r="AT1" s="204" t="s">
        <v>404</v>
      </c>
      <c r="AU1" s="204" t="s">
        <v>536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635</v>
      </c>
      <c r="BD1" s="204" t="s">
        <v>638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536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635</v>
      </c>
      <c r="BX1" s="204" t="s">
        <v>638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547</v>
      </c>
      <c r="C7" s="280">
        <v>1</v>
      </c>
      <c r="AQ7" s="201" t="s">
        <v>547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547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548</v>
      </c>
      <c r="C8" s="280">
        <v>1</v>
      </c>
      <c r="AQ8" s="201" t="s">
        <v>548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548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540</v>
      </c>
      <c r="C10" s="280">
        <v>1</v>
      </c>
      <c r="AQ10" s="201" t="s">
        <v>540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540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537</v>
      </c>
      <c r="C23" s="280">
        <v>1</v>
      </c>
      <c r="AQ23" s="203" t="s">
        <v>537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537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602</v>
      </c>
      <c r="C27" s="280">
        <v>1</v>
      </c>
      <c r="AQ27" s="203" t="s">
        <v>602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602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677</v>
      </c>
      <c r="C29" s="280">
        <v>1</v>
      </c>
      <c r="AQ29" s="249" t="s">
        <v>677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677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636</v>
      </c>
      <c r="C32" s="280">
        <v>1</v>
      </c>
      <c r="AQ32" s="203" t="s">
        <v>636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636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639</v>
      </c>
      <c r="C33" s="280">
        <v>1</v>
      </c>
      <c r="AQ33" s="203" t="s">
        <v>639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639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538</v>
      </c>
      <c r="C37" s="280">
        <v>1</v>
      </c>
      <c r="AQ37" s="203" t="s">
        <v>538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538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554</v>
      </c>
      <c r="AQ38" s="203"/>
      <c r="AR38" s="405" t="s">
        <v>551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552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536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635</v>
      </c>
      <c r="BD41" s="204" t="s">
        <v>638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547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548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540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537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602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677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636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639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538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553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536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635</v>
      </c>
      <c r="BD82" s="204" t="s">
        <v>638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547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547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548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548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540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540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537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537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602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602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677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677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636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636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639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639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538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538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547</v>
      </c>
      <c r="I122" s="204" t="s">
        <v>548</v>
      </c>
      <c r="J122" s="204" t="s">
        <v>491</v>
      </c>
      <c r="K122" s="204" t="s">
        <v>540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537</v>
      </c>
      <c r="Y122" s="207" t="s">
        <v>505</v>
      </c>
      <c r="Z122" s="207" t="s">
        <v>507</v>
      </c>
      <c r="AA122" s="207" t="s">
        <v>506</v>
      </c>
      <c r="AB122" s="207" t="s">
        <v>602</v>
      </c>
      <c r="AC122" s="229" t="s">
        <v>502</v>
      </c>
      <c r="AD122" s="229" t="s">
        <v>677</v>
      </c>
      <c r="AE122" s="207" t="s">
        <v>501</v>
      </c>
      <c r="AF122" s="204" t="s">
        <v>503</v>
      </c>
      <c r="AG122" s="207" t="s">
        <v>636</v>
      </c>
      <c r="AH122" s="207" t="s">
        <v>639</v>
      </c>
      <c r="AI122" s="207" t="s">
        <v>525</v>
      </c>
      <c r="AJ122" s="207" t="s">
        <v>526</v>
      </c>
      <c r="AK122" s="207" t="s">
        <v>527</v>
      </c>
      <c r="AL122" s="207" t="s">
        <v>538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536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635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638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79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547</v>
      </c>
      <c r="I151" s="204" t="s">
        <v>548</v>
      </c>
      <c r="J151" s="204" t="s">
        <v>491</v>
      </c>
      <c r="K151" s="204" t="s">
        <v>540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537</v>
      </c>
      <c r="Y151" s="207" t="s">
        <v>505</v>
      </c>
      <c r="Z151" s="207" t="s">
        <v>507</v>
      </c>
      <c r="AA151" s="207" t="s">
        <v>506</v>
      </c>
      <c r="AB151" s="207" t="s">
        <v>602</v>
      </c>
      <c r="AC151" s="229" t="s">
        <v>502</v>
      </c>
      <c r="AD151" s="229" t="s">
        <v>677</v>
      </c>
      <c r="AE151" s="207" t="s">
        <v>501</v>
      </c>
      <c r="AF151" s="204" t="s">
        <v>503</v>
      </c>
      <c r="AG151" s="207" t="s">
        <v>636</v>
      </c>
      <c r="AH151" s="207" t="s">
        <v>639</v>
      </c>
      <c r="AI151" s="207" t="s">
        <v>525</v>
      </c>
      <c r="AJ151" s="207" t="s">
        <v>526</v>
      </c>
      <c r="AK151" s="207" t="s">
        <v>527</v>
      </c>
      <c r="AL151" s="207" t="s">
        <v>538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550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539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633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640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640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540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537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602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677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636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639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640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538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536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635</v>
      </c>
      <c r="C224" s="301">
        <f>Ore_to_PI!DB229</f>
        <v>33191.859393697465</v>
      </c>
    </row>
    <row r="225" spans="2:11" x14ac:dyDescent="0.2">
      <c r="B225" s="201" t="s">
        <v>638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547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547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548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548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540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540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537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537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602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602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677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677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636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636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639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639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538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538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547</v>
      </c>
      <c r="L56" s="204" t="s">
        <v>548</v>
      </c>
      <c r="M56" s="204" t="s">
        <v>491</v>
      </c>
      <c r="N56" s="204" t="s">
        <v>540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537</v>
      </c>
      <c r="AB56" s="207" t="s">
        <v>505</v>
      </c>
      <c r="AC56" s="207" t="s">
        <v>507</v>
      </c>
      <c r="AD56" s="207" t="s">
        <v>506</v>
      </c>
      <c r="AE56" s="207" t="s">
        <v>602</v>
      </c>
      <c r="AF56" s="229" t="s">
        <v>502</v>
      </c>
      <c r="AG56" s="229" t="s">
        <v>677</v>
      </c>
      <c r="AH56" s="207" t="s">
        <v>501</v>
      </c>
      <c r="AI56" s="470" t="s">
        <v>503</v>
      </c>
      <c r="AJ56" s="207" t="s">
        <v>636</v>
      </c>
      <c r="AK56" s="207" t="s">
        <v>639</v>
      </c>
      <c r="AL56" s="207" t="s">
        <v>525</v>
      </c>
      <c r="AM56" s="207" t="s">
        <v>526</v>
      </c>
      <c r="AN56" s="207" t="s">
        <v>527</v>
      </c>
      <c r="AO56" s="207" t="s">
        <v>538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536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635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638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547</v>
      </c>
      <c r="L83" s="470" t="s">
        <v>548</v>
      </c>
      <c r="M83" s="470" t="s">
        <v>491</v>
      </c>
      <c r="N83" s="470" t="s">
        <v>540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537</v>
      </c>
      <c r="AB83" s="207" t="s">
        <v>505</v>
      </c>
      <c r="AC83" s="207" t="s">
        <v>507</v>
      </c>
      <c r="AD83" s="207" t="s">
        <v>506</v>
      </c>
      <c r="AE83" s="207" t="s">
        <v>602</v>
      </c>
      <c r="AF83" s="229" t="s">
        <v>502</v>
      </c>
      <c r="AG83" s="229" t="s">
        <v>677</v>
      </c>
      <c r="AH83" s="207" t="s">
        <v>501</v>
      </c>
      <c r="AI83" s="470" t="s">
        <v>503</v>
      </c>
      <c r="AJ83" s="207" t="s">
        <v>636</v>
      </c>
      <c r="AK83" s="207" t="s">
        <v>639</v>
      </c>
      <c r="AL83" s="207" t="s">
        <v>525</v>
      </c>
      <c r="AM83" s="207" t="s">
        <v>526</v>
      </c>
      <c r="AN83" s="207" t="s">
        <v>527</v>
      </c>
      <c r="AO83" s="207" t="s">
        <v>538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550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539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abSelected="1" topLeftCell="A100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536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635</v>
      </c>
      <c r="BF17" s="204" t="s">
        <v>638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547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547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548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548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540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540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537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537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602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602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677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677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636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636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639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639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538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538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547</v>
      </c>
      <c r="L57" s="204" t="s">
        <v>548</v>
      </c>
      <c r="M57" s="204" t="s">
        <v>491</v>
      </c>
      <c r="N57" s="204" t="s">
        <v>540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537</v>
      </c>
      <c r="AB57" s="207" t="s">
        <v>505</v>
      </c>
      <c r="AC57" s="207" t="s">
        <v>507</v>
      </c>
      <c r="AD57" s="207" t="s">
        <v>506</v>
      </c>
      <c r="AE57" s="207" t="s">
        <v>602</v>
      </c>
      <c r="AF57" s="229" t="s">
        <v>502</v>
      </c>
      <c r="AG57" s="229" t="s">
        <v>677</v>
      </c>
      <c r="AH57" s="207" t="s">
        <v>501</v>
      </c>
      <c r="AI57" s="470" t="s">
        <v>503</v>
      </c>
      <c r="AJ57" s="207" t="s">
        <v>636</v>
      </c>
      <c r="AK57" s="207" t="s">
        <v>639</v>
      </c>
      <c r="AL57" s="207" t="s">
        <v>525</v>
      </c>
      <c r="AM57" s="207" t="s">
        <v>526</v>
      </c>
      <c r="AN57" s="207" t="s">
        <v>527</v>
      </c>
      <c r="AO57" s="207" t="s">
        <v>538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536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635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638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547</v>
      </c>
      <c r="L84" s="470" t="s">
        <v>548</v>
      </c>
      <c r="M84" s="470" t="s">
        <v>491</v>
      </c>
      <c r="N84" s="470" t="s">
        <v>540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537</v>
      </c>
      <c r="AB84" s="207" t="s">
        <v>505</v>
      </c>
      <c r="AC84" s="207" t="s">
        <v>507</v>
      </c>
      <c r="AD84" s="207" t="s">
        <v>506</v>
      </c>
      <c r="AE84" s="207" t="s">
        <v>602</v>
      </c>
      <c r="AF84" s="229" t="s">
        <v>502</v>
      </c>
      <c r="AG84" s="229" t="s">
        <v>677</v>
      </c>
      <c r="AH84" s="207" t="s">
        <v>501</v>
      </c>
      <c r="AI84" s="470" t="s">
        <v>503</v>
      </c>
      <c r="AJ84" s="207" t="s">
        <v>636</v>
      </c>
      <c r="AK84" s="207" t="s">
        <v>639</v>
      </c>
      <c r="AL84" s="207" t="s">
        <v>525</v>
      </c>
      <c r="AM84" s="207" t="s">
        <v>526</v>
      </c>
      <c r="AN84" s="207" t="s">
        <v>527</v>
      </c>
      <c r="AO84" s="207" t="s">
        <v>538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550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549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539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633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540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537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602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677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636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639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538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704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536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635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638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705</v>
      </c>
      <c r="G160" s="302"/>
      <c r="H160" s="302" t="s">
        <v>265</v>
      </c>
      <c r="I160" s="302"/>
      <c r="J160" s="466" t="s">
        <v>442</v>
      </c>
      <c r="K160" s="132"/>
      <c r="L160" s="302" t="s">
        <v>706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607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607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607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0.17251310939252748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0.12213695771931468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607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607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9"/>
      <c r="C33" s="146" t="s">
        <v>395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606</v>
      </c>
    </row>
    <row r="38" spans="2:5" ht="18" x14ac:dyDescent="0.25">
      <c r="B38" s="294" t="s">
        <v>605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27166040.45263613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99821.043389412342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338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338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339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339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2" sqref="I52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0.17251310939252748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0.12213695771931468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653</v>
      </c>
      <c r="D50" s="201" t="s">
        <v>654</v>
      </c>
      <c r="E50" s="201" t="s">
        <v>655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536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428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426</v>
      </c>
      <c r="C60" s="3" t="s">
        <v>378</v>
      </c>
      <c r="D60" s="3">
        <f>Rational_Kiln</f>
        <v>0.17251310939252748</v>
      </c>
      <c r="E60" s="3">
        <f>Resource_Kiln</f>
        <v>0.12213695771931468</v>
      </c>
    </row>
    <row r="61" spans="2:5" x14ac:dyDescent="0.2">
      <c r="B61" s="201" t="s">
        <v>421</v>
      </c>
      <c r="C61" s="3" t="s">
        <v>378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635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638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414</v>
      </c>
      <c r="C65" s="3" t="s">
        <v>378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366</vt:i4>
      </vt:variant>
    </vt:vector>
  </HeadingPairs>
  <TitlesOfParts>
    <vt:vector size="381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2025-07-25T15:28:18Z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