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30DFCFCB-6413-254B-82AD-B9D5E0635A55}" xr6:coauthVersionLast="47" xr6:coauthVersionMax="47" xr10:uidLastSave="{00000000-0000-0000-0000-000000000000}"/>
  <bookViews>
    <workbookView xWindow="4500" yWindow="1000" windowWidth="42820" windowHeight="26840" activeTab="6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Constants!$J$8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'Ore-&gt;PI'!$EO$131</definedName>
    <definedName name="B_lost_coal_ext">'Ore-&gt;PI'!$X$210</definedName>
    <definedName name="B_lost_coal_haul">'Ore-&gt;PI'!$AQ$210</definedName>
    <definedName name="B_lost_coke_oven">'Ore-&gt;PI'!$CD$210</definedName>
    <definedName name="B_lost_iron_benef">'Ore-&gt;PI'!$BI$46</definedName>
    <definedName name="B_lost_Iron_Ext">'Ore-&gt;PI'!$W$46</definedName>
    <definedName name="B_lost_Iron_haul">'Ore-&gt;PI'!$AP$46</definedName>
    <definedName name="B_lost_kiln">'Ore-&gt;PI'!$CC$130</definedName>
    <definedName name="B_lost_lime_benef">'Ore-&gt;PI'!$BJ$130</definedName>
    <definedName name="B_lost_lime_ext">'Ore-&gt;PI'!$W$130</definedName>
    <definedName name="B_lost_lime_haul">'Ore-&gt;PI'!$AQ$130</definedName>
    <definedName name="B_lost_mixer">'Ore-&gt;PI'!$DT$131</definedName>
    <definedName name="Bejan_BF">'Ore-&gt;PI'!$ES$131</definedName>
    <definedName name="Bejan_CoalExtraction">'Ore-&gt;PI'!$AB$210</definedName>
    <definedName name="Bejan_CoalHauling">'Ore-&gt;PI'!$AU$210</definedName>
    <definedName name="Bejan_CokeBeneficiation">'Ore-&gt;PI'!$CH$210</definedName>
    <definedName name="Bejan_IronBeneficiation">'Ore-&gt;PI'!$BM$46</definedName>
    <definedName name="Bejan_IronExtraction">'Ore-&gt;PI'!$AA$46</definedName>
    <definedName name="Bejan_IronHauling">'Ore-&gt;PI'!$AT$46</definedName>
    <definedName name="Bejan_LimeBeneficiation">'Ore-&gt;PI'!$BN$130</definedName>
    <definedName name="Bejan_LimeExtraction">'Ore-&gt;PI'!$AA$130</definedName>
    <definedName name="Bejan_LimeHauling">'Ore-&gt;PI'!$AU$130</definedName>
    <definedName name="Bejan_MEROI_Coal">'Ore-&gt;PI'!$Q$193</definedName>
    <definedName name="Bejan_MEROI_Iron">'Ore-&gt;PI'!$Q$27</definedName>
    <definedName name="Bejan_MEROI_Limestone">'Ore-&gt;PI'!$Q$115</definedName>
    <definedName name="Beneficiation_CoalWaste">'Ore-&gt;PI'!$CV$217</definedName>
    <definedName name="Beneficiation_Iron_waste">'Ore-&gt;PI'!$BZ$55</definedName>
    <definedName name="BF_CO2Waste">'Ore-&gt;PI'!$FB$145</definedName>
    <definedName name="BF_SolidWaste">'Ore-&gt;PI'!$FL$104</definedName>
    <definedName name="Btu_to_kJ">Constants!$W$4</definedName>
    <definedName name="C_for_BF">Calculators!$L$23</definedName>
    <definedName name="C_Kiln_out">Calculators!$L$59</definedName>
    <definedName name="cal_to_kJ">Constants!$W$6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Constants!$G$24</definedName>
    <definedName name="h_C">Constants!$G$5</definedName>
    <definedName name="h_C2H4">Constants!$G$36</definedName>
    <definedName name="h_C2H6">Constants!$G$31</definedName>
    <definedName name="h_C6H6">Constants!$G$34</definedName>
    <definedName name="h_C8H18">Constants!$G$39</definedName>
    <definedName name="h_CaCO3">Constants!$G$6</definedName>
    <definedName name="h_CaO">Constants!$G$17</definedName>
    <definedName name="h_CaSiO3">Constants!$G$7</definedName>
    <definedName name="h_CH4">Constants!$G$18</definedName>
    <definedName name="h_Cl">Constants!$G$23</definedName>
    <definedName name="h_CO">Constants!$G$16</definedName>
    <definedName name="h_CO2">Constants!$G$8</definedName>
    <definedName name="h_CS2">Constants!$G$38</definedName>
    <definedName name="h_Fe">Constants!$G$9</definedName>
    <definedName name="h_Fe2O3">Constants!$G$10</definedName>
    <definedName name="h_fg_ash">Constants!$V$15</definedName>
    <definedName name="h_H">Constants!$G$21</definedName>
    <definedName name="h_H2">Constants!$G$32</definedName>
    <definedName name="h_H2O">Constants!$G$20</definedName>
    <definedName name="h_H2S">Constants!$G$33</definedName>
    <definedName name="h_HCN">Constants!$G$37</definedName>
    <definedName name="h_K2O">Constants!$G$27</definedName>
    <definedName name="h_MgCO3">Constants!$G$29</definedName>
    <definedName name="h_MgO">Constants!$G$25</definedName>
    <definedName name="h_N">Constants!$G$30</definedName>
    <definedName name="h_N2">Constants!$G$19</definedName>
    <definedName name="h_Na2O">Constants!$G$26</definedName>
    <definedName name="h_NH3">Constants!$G$35</definedName>
    <definedName name="h_O">Constants!$G$11</definedName>
    <definedName name="h_O2">Constants!$G$12</definedName>
    <definedName name="h_P">Constants!$G$28</definedName>
    <definedName name="h_S">Constants!$G$22</definedName>
    <definedName name="h_Si">Constants!$G$13</definedName>
    <definedName name="h_SiO2">Constants!$G$14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Constants!$Y$4</definedName>
    <definedName name="Kiln_CO2Waste">'Ore-&gt;PI'!$CL$142</definedName>
    <definedName name="Kiln_SolidWaste">'Ore-&gt;PI'!$CV$114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'Ore-&gt;PI'!$EQ$131</definedName>
    <definedName name="mass_bal_CoalExt">'Ore-&gt;PI'!$Z$210</definedName>
    <definedName name="mass_bal_CoalHaul">'Ore-&gt;PI'!$AS$210</definedName>
    <definedName name="mass_bal_CokeOven">'Ore-&gt;PI'!$CF$210</definedName>
    <definedName name="mass_bal_IronBenef">'Ore-&gt;PI'!$BK$46</definedName>
    <definedName name="mass_bal_IronExt">'Ore-&gt;PI'!$Y$46</definedName>
    <definedName name="mass_bal_IronHaul">'Ore-&gt;PI'!$AR$46</definedName>
    <definedName name="mass_bal_kiln">'Ore-&gt;PI'!$CE$130</definedName>
    <definedName name="mass_bal_LimeBenef">'Ore-&gt;PI'!$BL$130</definedName>
    <definedName name="mass_bal_LimeExt">'Ore-&gt;PI'!$Y$130</definedName>
    <definedName name="mass_bal_LimeHaul">'Ore-&gt;PI'!$AS$130</definedName>
    <definedName name="mass_bal_Mixer">'Ore-&gt;PI'!$DV$131</definedName>
    <definedName name="mcc_energy_reqts">'Energy X'!$E$23:$G$28</definedName>
    <definedName name="MgCO3_in">'Ore-&gt;PI'!$AE$131</definedName>
    <definedName name="MgO_out">Calculators!$I$39</definedName>
    <definedName name="mol_C_Coal">Calculators!$I$80</definedName>
    <definedName name="mol_C_Coal_in">Calculators!$I$83</definedName>
    <definedName name="mol_C_to_BF">'Ore-&gt;PI'!$CO$210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Constants!$D$40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Constants!$R$15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Constants!$AE$3</definedName>
    <definedName name="phi_anthrocite">Constants!$Q$15</definedName>
    <definedName name="phi_dry_constant_a_">Constants!$S$15</definedName>
    <definedName name="phi_dry_constant_b">Constants!$T$15</definedName>
    <definedName name="phi_dry_constant_c">Constants!$U$15</definedName>
    <definedName name="Product_BF">'Ore-&gt;PI'!$ES$133</definedName>
    <definedName name="Product_CoalExtraction">'Ore-&gt;PI'!$AB$212</definedName>
    <definedName name="Product_CoalHauling">'Ore-&gt;PI'!$AU$212</definedName>
    <definedName name="Product_CokeBeneficiation">'Ore-&gt;PI'!$CH$212</definedName>
    <definedName name="Product_IronBeneficiation">'Ore-&gt;PI'!$BM$48</definedName>
    <definedName name="Product_IronExtraction">'Ore-&gt;PI'!$AA$48</definedName>
    <definedName name="Product_IronHauling">'Ore-&gt;PI'!$AT$48</definedName>
    <definedName name="Product_Kiln">'Ore-&gt;PI'!$CG$132</definedName>
    <definedName name="Product_LimeBeneficiation">'Ore-&gt;PI'!$BN$132</definedName>
    <definedName name="Product_LimeExtraction">'Ore-&gt;PI'!$AA$132</definedName>
    <definedName name="Product_LimeHauling">'Ore-&gt;PI'!$AU$132</definedName>
    <definedName name="Product_MEROI_Coal">'Ore-&gt;PI'!$Q$195</definedName>
    <definedName name="Product_MEROI_Iron">'Ore-&gt;PI'!$Q$29</definedName>
    <definedName name="Product_MEROI_Limestone">'Ore-&gt;PI'!$Q$117</definedName>
    <definedName name="Product_Mixer">'Ore-&gt;PI'!$DX$133</definedName>
    <definedName name="Quicklime_for_BF">Calculators!$I$37</definedName>
    <definedName name="R__MCC_B_RUVY_matrices_mat_level">MCC_B_RUVY_matrices_mat_level!$E$148:$AM$157</definedName>
    <definedName name="R__MCC_h_RUVY_matrices_mat_level">MCC_h_RUVY_matrices_mat_level!$B$144:$AJ$153</definedName>
    <definedName name="R__MCC_M_RUVY_matrices_mat_level">MCC_M_RUVY_matrices_mat_level!$B$144:$AJ$153</definedName>
    <definedName name="r_EIOU__MCC_B_RUVY_matrices_mat_level">MCC_B_RUVY_matrices_mat_level!$BK$1:$BY$35</definedName>
    <definedName name="r_EIOU__MCC_h_RUVY_matrices_mat_level">MCC_h_RUVY_matrices_mat_level!$BH$1:$BV$35</definedName>
    <definedName name="r_EIOU__MCC_M_RUVY_matrices_mat_level">MCC_M_RUVY_matrices_mat_level!$BH$1:$BV$35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MCC_B_RUVY_matrices_mat_level!$B$1:$C$35</definedName>
    <definedName name="S_units_M" localSheetId="7">MCC_h_RUVY_matrices_mat_level!$B$1:$C$35</definedName>
    <definedName name="S_units_M">MCC_M_RUVY_matrices_mat_level!$B$1:$C$35</definedName>
    <definedName name="SiO2_BF_in">Calculators!$I$42</definedName>
    <definedName name="Slag_BF_out">Calculators!$I$43</definedName>
    <definedName name="Student__LimeHauling">'Ore-&gt;PI'!$AU$131</definedName>
    <definedName name="Student_BF">'Ore-&gt;PI'!$ES$132</definedName>
    <definedName name="Student_CoalExtraction">'Ore-&gt;PI'!$AB$211</definedName>
    <definedName name="Student_CoalHauling">'Ore-&gt;PI'!$AU$211</definedName>
    <definedName name="Student_CokeBeneficiation">'Ore-&gt;PI'!$CH$211</definedName>
    <definedName name="Student_IronBeneficiation">'Ore-&gt;PI'!$BM$47</definedName>
    <definedName name="Student_IronExtraction">'Ore-&gt;PI'!$AA$47</definedName>
    <definedName name="Student_IronHauling">'Ore-&gt;PI'!$AT$47</definedName>
    <definedName name="Student_Kiln">'Ore-&gt;PI'!$CG$131</definedName>
    <definedName name="Student_LimeBeneficiation">'Ore-&gt;PI'!$BN$131</definedName>
    <definedName name="Student_LimeExtraction">'Ore-&gt;PI'!$AA$131</definedName>
    <definedName name="Student_MEROI_Coal">'Ore-&gt;PI'!$Q$194</definedName>
    <definedName name="Student_MEROI_Iron">'Ore-&gt;PI'!$Q$28</definedName>
    <definedName name="Student_MEROI_Limestone">'Ore-&gt;PI'!$Q$116</definedName>
    <definedName name="Student_mixer">'Ore-&gt;PI'!$DX$132</definedName>
    <definedName name="U__MCC_B_RUVY_matrices_mat_level">MCC_B_RUVY_matrices_mat_level!$AR$82:$BF$116</definedName>
    <definedName name="U__MCC_h_RUVY_matrices_mat_level">MCC_h_RUVY_matrices_mat_level!$AO$78:$BC$112</definedName>
    <definedName name="U__MCC_M_RUVY_matrices_mat_level">MCC_M_RUVY_matrices_mat_level!$AO$78:$BC$112</definedName>
    <definedName name="U_EIOU__MCC_B_RUVY_matrices_mat_level">MCC_B_RUVY_matrices_mat_level!$AR$1:$BF$35</definedName>
    <definedName name="U_EIOU__MCC_h_RUVY_matrices_mat_level">MCC_h_RUVY_matrices_mat_level!$AO$1:$BC$35</definedName>
    <definedName name="U_EIOU__MCC_M_RUVY_matrices_mat_level">MCC_M_RUVY_matrices_mat_level!$AO$1:$BC$35</definedName>
    <definedName name="U_feed__MCC_B_RUVY_matrices_mat_level">MCC_B_RUVY_matrices_mat_level!$AR$39:$BF$73</definedName>
    <definedName name="U_feed__MCC_h_RUVY_matrices_mat_level">MCC_h_RUVY_matrices_mat_level!$AO$39:$BC$73</definedName>
    <definedName name="U_feed__MCC_M_RUVY_matrices_mat_level">MCC_M_RUVY_matrices_mat_level!$AO$39:$BC$73</definedName>
    <definedName name="V__MCC_B_RUVY_matrices_mat_level">MCC_B_RUVY_matrices_mat_level!$E$120:$AM$134</definedName>
    <definedName name="V__MCC_h_RUVY_matrices_mat_level">MCC_h_RUVY_matrices_mat_level!$B$116:$AJ$130</definedName>
    <definedName name="V__MCC_M_RUVY_matrices_mat_level">MCC_M_RUVY_matrices_mat_level!$B$116:$AJ$130</definedName>
    <definedName name="Y__MCC_B_RUVY_matrices_mat_level">MCC_B_RUVY_matrices_mat_level!$BK$82:$BM$116</definedName>
    <definedName name="Y__MCC_h_RUVY_matrices_mat_level">MCC_h_RUVY_matrices_mat_level!$BH$78:$BJ$112</definedName>
    <definedName name="Y__MCC_M_RUVY_matrices_mat_level">MCC_M_RUVY_matrices_mat_level!$BH$78:$BJ$112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7" i="3" l="1"/>
  <c r="G41" i="3"/>
  <c r="G40" i="3"/>
  <c r="EF105" i="9"/>
  <c r="EF106" i="9" s="1"/>
  <c r="O226" i="9"/>
  <c r="O63" i="9"/>
  <c r="O64" i="9" s="1"/>
  <c r="AP84" i="22" s="1"/>
  <c r="O144" i="9"/>
  <c r="O145" i="9" s="1"/>
  <c r="AQ84" i="22" s="1"/>
  <c r="G195" i="22"/>
  <c r="C195" i="22"/>
  <c r="C193" i="22"/>
  <c r="C192" i="22"/>
  <c r="G191" i="22"/>
  <c r="G186" i="22"/>
  <c r="C185" i="22"/>
  <c r="C182" i="22"/>
  <c r="C181" i="22"/>
  <c r="C180" i="22"/>
  <c r="C179" i="22"/>
  <c r="C178" i="22"/>
  <c r="G175" i="22"/>
  <c r="C175" i="22"/>
  <c r="G173" i="22"/>
  <c r="C173" i="22"/>
  <c r="C172" i="22"/>
  <c r="G171" i="22"/>
  <c r="AJ155" i="22"/>
  <c r="C196" i="22" s="1"/>
  <c r="AI155" i="22"/>
  <c r="AH155" i="22"/>
  <c r="C194" i="22" s="1"/>
  <c r="AG155" i="22"/>
  <c r="AF155" i="22"/>
  <c r="AE155" i="22"/>
  <c r="C191" i="22" s="1"/>
  <c r="AD155" i="22"/>
  <c r="C190" i="22" s="1"/>
  <c r="AC155" i="22"/>
  <c r="C189" i="22" s="1"/>
  <c r="AB155" i="22"/>
  <c r="C188" i="22" s="1"/>
  <c r="AA155" i="22"/>
  <c r="C187" i="22" s="1"/>
  <c r="Z155" i="22"/>
  <c r="C186" i="22" s="1"/>
  <c r="Y155" i="22"/>
  <c r="X155" i="22"/>
  <c r="C184" i="22" s="1"/>
  <c r="W155" i="22"/>
  <c r="C183" i="22" s="1"/>
  <c r="V155" i="22"/>
  <c r="U155" i="22"/>
  <c r="T155" i="22"/>
  <c r="S155" i="22"/>
  <c r="R155" i="22"/>
  <c r="Q155" i="22"/>
  <c r="C177" i="22" s="1"/>
  <c r="P155" i="22"/>
  <c r="C176" i="22" s="1"/>
  <c r="O155" i="22"/>
  <c r="N155" i="22"/>
  <c r="C174" i="22" s="1"/>
  <c r="M155" i="22"/>
  <c r="L155" i="22"/>
  <c r="K155" i="22"/>
  <c r="C171" i="22" s="1"/>
  <c r="K132" i="22"/>
  <c r="J132" i="22"/>
  <c r="I132" i="22"/>
  <c r="H132" i="22"/>
  <c r="G132" i="22"/>
  <c r="F132" i="22"/>
  <c r="E132" i="22"/>
  <c r="D132" i="22"/>
  <c r="C132" i="22"/>
  <c r="BD112" i="22"/>
  <c r="G196" i="22" s="1"/>
  <c r="BD111" i="22"/>
  <c r="BD110" i="22"/>
  <c r="G194" i="22" s="1"/>
  <c r="BK109" i="22"/>
  <c r="BD107" i="22"/>
  <c r="BD106" i="22"/>
  <c r="G190" i="22" s="1"/>
  <c r="BK105" i="22"/>
  <c r="BK104" i="22"/>
  <c r="BD103" i="22"/>
  <c r="G187" i="22" s="1"/>
  <c r="BD102" i="22"/>
  <c r="BK101" i="22"/>
  <c r="BK100" i="22"/>
  <c r="BK99" i="22"/>
  <c r="BD98" i="22"/>
  <c r="G182" i="22" s="1"/>
  <c r="BK97" i="22"/>
  <c r="BK96" i="22"/>
  <c r="BK95" i="22"/>
  <c r="BK94" i="22"/>
  <c r="BD93" i="22"/>
  <c r="G177" i="22" s="1"/>
  <c r="BK92" i="22"/>
  <c r="BD91" i="22"/>
  <c r="BK90" i="22"/>
  <c r="BD89" i="22"/>
  <c r="BK88" i="22"/>
  <c r="BK87" i="22"/>
  <c r="BD87" i="22"/>
  <c r="BK86" i="22"/>
  <c r="BK85" i="22"/>
  <c r="BK84" i="22"/>
  <c r="BK83" i="22"/>
  <c r="BK82" i="22"/>
  <c r="BK81" i="22"/>
  <c r="BK80" i="22"/>
  <c r="BK79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AQ73" i="22"/>
  <c r="AP73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AQ72" i="22"/>
  <c r="AP72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AQ71" i="22"/>
  <c r="AP71" i="22"/>
  <c r="BB70" i="22"/>
  <c r="BA70" i="22"/>
  <c r="AZ70" i="22"/>
  <c r="AY70" i="22"/>
  <c r="AX70" i="22"/>
  <c r="AW70" i="22"/>
  <c r="AV70" i="22"/>
  <c r="AU70" i="22"/>
  <c r="AT70" i="22"/>
  <c r="AS70" i="22"/>
  <c r="AR70" i="22"/>
  <c r="AQ70" i="22"/>
  <c r="AP70" i="22"/>
  <c r="BB69" i="22"/>
  <c r="BA69" i="22"/>
  <c r="AY69" i="22"/>
  <c r="AX69" i="22"/>
  <c r="AW69" i="22"/>
  <c r="AV69" i="22"/>
  <c r="AU69" i="22"/>
  <c r="AT69" i="22"/>
  <c r="AS69" i="22"/>
  <c r="AR69" i="22"/>
  <c r="AQ69" i="22"/>
  <c r="AP69" i="22"/>
  <c r="BC68" i="22"/>
  <c r="BB68" i="22"/>
  <c r="BA68" i="22"/>
  <c r="AZ68" i="22"/>
  <c r="AY68" i="22"/>
  <c r="AX68" i="22"/>
  <c r="AW68" i="22"/>
  <c r="AV68" i="22"/>
  <c r="AU68" i="22"/>
  <c r="AT68" i="22"/>
  <c r="AS68" i="22"/>
  <c r="AR68" i="22"/>
  <c r="AQ68" i="22"/>
  <c r="AP68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AQ67" i="22"/>
  <c r="AP67" i="22"/>
  <c r="BC66" i="22"/>
  <c r="BB66" i="22"/>
  <c r="AZ66" i="22"/>
  <c r="AY66" i="22"/>
  <c r="AX66" i="22"/>
  <c r="AW66" i="22"/>
  <c r="AV66" i="22"/>
  <c r="AU66" i="22"/>
  <c r="AT66" i="22"/>
  <c r="AS66" i="22"/>
  <c r="AR66" i="22"/>
  <c r="AQ66" i="22"/>
  <c r="AP66" i="22"/>
  <c r="BC65" i="22"/>
  <c r="BA65" i="22"/>
  <c r="AZ65" i="22"/>
  <c r="AY65" i="22"/>
  <c r="AX65" i="22"/>
  <c r="AW65" i="22"/>
  <c r="AV65" i="22"/>
  <c r="AU65" i="22"/>
  <c r="AT65" i="22"/>
  <c r="AS65" i="22"/>
  <c r="AR65" i="22"/>
  <c r="AQ65" i="22"/>
  <c r="AP65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AQ64" i="22"/>
  <c r="AP64" i="22"/>
  <c r="BC63" i="22"/>
  <c r="BB63" i="22"/>
  <c r="BA63" i="22"/>
  <c r="AZ63" i="22"/>
  <c r="AY63" i="22"/>
  <c r="AX63" i="22"/>
  <c r="AW63" i="22"/>
  <c r="AV63" i="22"/>
  <c r="AU63" i="22"/>
  <c r="AT63" i="22"/>
  <c r="AS63" i="22"/>
  <c r="AR63" i="22"/>
  <c r="AQ63" i="22"/>
  <c r="AP63" i="22"/>
  <c r="BC62" i="22"/>
  <c r="BA62" i="22"/>
  <c r="AZ62" i="22"/>
  <c r="AY62" i="22"/>
  <c r="AX62" i="22"/>
  <c r="AW62" i="22"/>
  <c r="AV62" i="22"/>
  <c r="AU62" i="22"/>
  <c r="AT62" i="22"/>
  <c r="AS62" i="22"/>
  <c r="AR62" i="22"/>
  <c r="AQ62" i="22"/>
  <c r="AP62" i="22"/>
  <c r="BC61" i="22"/>
  <c r="BB61" i="22"/>
  <c r="BA61" i="22"/>
  <c r="AY61" i="22"/>
  <c r="AX61" i="22"/>
  <c r="AW61" i="22"/>
  <c r="AV61" i="22"/>
  <c r="AU61" i="22"/>
  <c r="AT61" i="22"/>
  <c r="AS61" i="22"/>
  <c r="AR61" i="22"/>
  <c r="AQ61" i="22"/>
  <c r="AP61" i="22"/>
  <c r="BC60" i="22"/>
  <c r="BB60" i="22"/>
  <c r="BA60" i="22"/>
  <c r="AZ60" i="22"/>
  <c r="AX60" i="22"/>
  <c r="AW60" i="22"/>
  <c r="AV60" i="22"/>
  <c r="AU60" i="22"/>
  <c r="AT60" i="22"/>
  <c r="AS60" i="22"/>
  <c r="AR60" i="22"/>
  <c r="AQ60" i="22"/>
  <c r="AP60" i="22"/>
  <c r="BC59" i="22"/>
  <c r="BB59" i="22"/>
  <c r="BA59" i="22"/>
  <c r="AZ59" i="22"/>
  <c r="AY59" i="22"/>
  <c r="AX59" i="22"/>
  <c r="AW59" i="22"/>
  <c r="AV59" i="22"/>
  <c r="AU59" i="22"/>
  <c r="AT59" i="22"/>
  <c r="AS59" i="22"/>
  <c r="AR59" i="22"/>
  <c r="AQ59" i="22"/>
  <c r="AP59" i="22"/>
  <c r="BC58" i="22"/>
  <c r="BA58" i="22"/>
  <c r="AZ58" i="22"/>
  <c r="AY58" i="22"/>
  <c r="AX58" i="22"/>
  <c r="AW58" i="22"/>
  <c r="AV58" i="22"/>
  <c r="AU58" i="22"/>
  <c r="AT58" i="22"/>
  <c r="AS58" i="22"/>
  <c r="AR58" i="22"/>
  <c r="AQ58" i="22"/>
  <c r="AP58" i="22"/>
  <c r="BC57" i="22"/>
  <c r="BB57" i="22"/>
  <c r="BA57" i="22"/>
  <c r="AZ57" i="22"/>
  <c r="AY57" i="22"/>
  <c r="AW57" i="22"/>
  <c r="AV57" i="22"/>
  <c r="AU57" i="22"/>
  <c r="AT57" i="22"/>
  <c r="AS57" i="22"/>
  <c r="AR57" i="22"/>
  <c r="AQ57" i="22"/>
  <c r="AP57" i="22"/>
  <c r="BC56" i="22"/>
  <c r="BB56" i="22"/>
  <c r="BA56" i="22"/>
  <c r="AZ56" i="22"/>
  <c r="AY56" i="22"/>
  <c r="AX56" i="22"/>
  <c r="AV56" i="22"/>
  <c r="AU56" i="22"/>
  <c r="AT56" i="22"/>
  <c r="AS56" i="22"/>
  <c r="AR56" i="22"/>
  <c r="AQ56" i="22"/>
  <c r="AP56" i="22"/>
  <c r="BC55" i="22"/>
  <c r="BB55" i="22"/>
  <c r="BA55" i="22"/>
  <c r="AZ55" i="22"/>
  <c r="AY55" i="22"/>
  <c r="AX55" i="22"/>
  <c r="AW55" i="22"/>
  <c r="AU55" i="22"/>
  <c r="AT55" i="22"/>
  <c r="AS55" i="22"/>
  <c r="AR55" i="22"/>
  <c r="AQ55" i="22"/>
  <c r="AP55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AQ54" i="22"/>
  <c r="AP54" i="22"/>
  <c r="BC53" i="22"/>
  <c r="BB53" i="22"/>
  <c r="BA53" i="22"/>
  <c r="AZ53" i="22"/>
  <c r="AY53" i="22"/>
  <c r="AX53" i="22"/>
  <c r="AW53" i="22"/>
  <c r="AV53" i="22"/>
  <c r="AT53" i="22"/>
  <c r="AS53" i="22"/>
  <c r="AR53" i="22"/>
  <c r="AQ53" i="22"/>
  <c r="AP53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AQ52" i="22"/>
  <c r="AP52" i="22"/>
  <c r="BC51" i="22"/>
  <c r="BB51" i="22"/>
  <c r="BA51" i="22"/>
  <c r="AZ51" i="22"/>
  <c r="AY51" i="22"/>
  <c r="AX51" i="22"/>
  <c r="AW51" i="22"/>
  <c r="AV51" i="22"/>
  <c r="AU51" i="22"/>
  <c r="AS51" i="22"/>
  <c r="AR51" i="22"/>
  <c r="AQ51" i="22"/>
  <c r="AP51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AQ50" i="22"/>
  <c r="AP50" i="22"/>
  <c r="BC49" i="22"/>
  <c r="BB49" i="22"/>
  <c r="BA49" i="22"/>
  <c r="AZ49" i="22"/>
  <c r="AY49" i="22"/>
  <c r="AX49" i="22"/>
  <c r="AW49" i="22"/>
  <c r="AV49" i="22"/>
  <c r="AU49" i="22"/>
  <c r="AT49" i="22"/>
  <c r="AR49" i="22"/>
  <c r="AQ49" i="22"/>
  <c r="AP49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AQ48" i="22"/>
  <c r="AP48" i="22"/>
  <c r="BB47" i="22"/>
  <c r="BA47" i="22"/>
  <c r="AZ47" i="22"/>
  <c r="AY47" i="22"/>
  <c r="AX47" i="22"/>
  <c r="AW47" i="22"/>
  <c r="AV47" i="22"/>
  <c r="AU47" i="22"/>
  <c r="AT47" i="22"/>
  <c r="AS47" i="22"/>
  <c r="AR47" i="22"/>
  <c r="AQ47" i="22"/>
  <c r="AP47" i="22"/>
  <c r="BC46" i="22"/>
  <c r="BB46" i="22"/>
  <c r="BA46" i="22"/>
  <c r="AZ46" i="22"/>
  <c r="AY46" i="22"/>
  <c r="AX46" i="22"/>
  <c r="AW46" i="22"/>
  <c r="AV46" i="22"/>
  <c r="AU46" i="22"/>
  <c r="AT46" i="22"/>
  <c r="AS46" i="22"/>
  <c r="AR46" i="22"/>
  <c r="AP46" i="22"/>
  <c r="BC45" i="22"/>
  <c r="BB45" i="22"/>
  <c r="BA45" i="22"/>
  <c r="AZ45" i="22"/>
  <c r="AY45" i="22"/>
  <c r="AX45" i="22"/>
  <c r="AW45" i="22"/>
  <c r="AV45" i="22"/>
  <c r="AU45" i="22"/>
  <c r="AT45" i="22"/>
  <c r="AS45" i="22"/>
  <c r="BB44" i="22"/>
  <c r="BA44" i="22"/>
  <c r="AX44" i="22"/>
  <c r="AW44" i="22"/>
  <c r="AV44" i="22"/>
  <c r="AU44" i="22"/>
  <c r="AT44" i="22"/>
  <c r="AS44" i="22"/>
  <c r="AR44" i="22"/>
  <c r="AQ44" i="22"/>
  <c r="AP44" i="22"/>
  <c r="BB43" i="22"/>
  <c r="BA43" i="22"/>
  <c r="AX43" i="22"/>
  <c r="AW43" i="22"/>
  <c r="AV43" i="22"/>
  <c r="AU43" i="22"/>
  <c r="AT43" i="22"/>
  <c r="AS43" i="22"/>
  <c r="BC42" i="22"/>
  <c r="BB42" i="22"/>
  <c r="BA42" i="22"/>
  <c r="AZ42" i="22"/>
  <c r="AY42" i="22"/>
  <c r="AX42" i="22"/>
  <c r="AW42" i="22"/>
  <c r="AV42" i="22"/>
  <c r="AU42" i="22"/>
  <c r="AT42" i="22"/>
  <c r="AS42" i="22"/>
  <c r="AQ42" i="22"/>
  <c r="AP42" i="22"/>
  <c r="BC41" i="22"/>
  <c r="BB41" i="22"/>
  <c r="BA41" i="22"/>
  <c r="AZ41" i="22"/>
  <c r="AY41" i="22"/>
  <c r="AX41" i="22"/>
  <c r="AW41" i="22"/>
  <c r="AV41" i="22"/>
  <c r="AU41" i="22"/>
  <c r="AT41" i="22"/>
  <c r="AS41" i="22"/>
  <c r="AR41" i="22"/>
  <c r="AP41" i="22"/>
  <c r="BC40" i="22"/>
  <c r="BB40" i="22"/>
  <c r="BA40" i="22"/>
  <c r="AZ40" i="22"/>
  <c r="AY40" i="22"/>
  <c r="AX40" i="22"/>
  <c r="AW40" i="22"/>
  <c r="AV40" i="22"/>
  <c r="AU40" i="22"/>
  <c r="AT40" i="22"/>
  <c r="AS40" i="22"/>
  <c r="AR40" i="22"/>
  <c r="AQ40" i="22"/>
  <c r="BU210" i="9"/>
  <c r="BU232" i="9"/>
  <c r="AI210" i="9"/>
  <c r="BB210" i="9"/>
  <c r="O210" i="9"/>
  <c r="O227" i="9"/>
  <c r="AR84" i="22" s="1"/>
  <c r="O168" i="9"/>
  <c r="AH69" i="9"/>
  <c r="G21" i="3"/>
  <c r="G38" i="3"/>
  <c r="G27" i="3"/>
  <c r="AH48" i="9" s="1"/>
  <c r="G20" i="3"/>
  <c r="CP142" i="9" s="1"/>
  <c r="G19" i="3"/>
  <c r="EF145" i="9" s="1"/>
  <c r="G15" i="3"/>
  <c r="G14" i="3"/>
  <c r="O47" i="9" s="1"/>
  <c r="G13" i="3"/>
  <c r="G11" i="3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58" i="9" s="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CQ145" i="9"/>
  <c r="F112" i="11"/>
  <c r="L112" i="11" s="1"/>
  <c r="M222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Y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Q130" i="9"/>
  <c r="M12" i="13" s="1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J282" i="11"/>
  <c r="G265" i="11"/>
  <c r="J266" i="11"/>
  <c r="M248" i="11"/>
  <c r="M247" i="11"/>
  <c r="W6" i="3"/>
  <c r="O21" i="21" s="1"/>
  <c r="M223" i="11"/>
  <c r="E39" i="3"/>
  <c r="BK260" i="9"/>
  <c r="BL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R237" i="9"/>
  <c r="BJ210" i="9"/>
  <c r="BV229" i="9"/>
  <c r="CZ229" i="9"/>
  <c r="EG156" i="9"/>
  <c r="DK237" i="9"/>
  <c r="AA81" i="11"/>
  <c r="DT131" i="9"/>
  <c r="L22" i="13" s="1"/>
  <c r="AQ210" i="9"/>
  <c r="M17" i="13" s="1"/>
  <c r="N12" i="13"/>
  <c r="AP46" i="9"/>
  <c r="M6" i="13" s="1"/>
  <c r="Q59" i="11"/>
  <c r="Q60" i="11" s="1"/>
  <c r="E33" i="14"/>
  <c r="D13" i="11"/>
  <c r="E13" i="11" s="1"/>
  <c r="D12" i="11"/>
  <c r="E12" i="11" s="1"/>
  <c r="AA218" i="9"/>
  <c r="AA219" i="9"/>
  <c r="AA220" i="9"/>
  <c r="AA221" i="9"/>
  <c r="AA217" i="9"/>
  <c r="H91" i="11"/>
  <c r="G91" i="11"/>
  <c r="D86" i="11"/>
  <c r="CQ237" i="9"/>
  <c r="CM243" i="9"/>
  <c r="E32" i="3"/>
  <c r="D35" i="3"/>
  <c r="G35" i="3" s="1"/>
  <c r="D37" i="3"/>
  <c r="G37" i="3" s="1"/>
  <c r="D38" i="3"/>
  <c r="D34" i="3"/>
  <c r="G34" i="3" s="1"/>
  <c r="D33" i="3"/>
  <c r="G33" i="3" s="1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AF48" i="9" s="1"/>
  <c r="AG48" i="9" s="1"/>
  <c r="Z57" i="9" s="1"/>
  <c r="D26" i="3"/>
  <c r="M214" i="9" s="1"/>
  <c r="D25" i="3"/>
  <c r="AZ213" i="9" s="1"/>
  <c r="D24" i="3"/>
  <c r="CN221" i="9" s="1"/>
  <c r="D23" i="3"/>
  <c r="G23" i="3" s="1"/>
  <c r="D22" i="3"/>
  <c r="AF51" i="9" s="1"/>
  <c r="AG51" i="9" s="1"/>
  <c r="AR60" i="9" s="1"/>
  <c r="D20" i="3"/>
  <c r="J265" i="11" s="1"/>
  <c r="D19" i="3"/>
  <c r="CN241" i="9" s="1"/>
  <c r="D14" i="3"/>
  <c r="M47" i="9" s="1"/>
  <c r="D13" i="3"/>
  <c r="D11" i="3"/>
  <c r="D7" i="3"/>
  <c r="G7" i="3" s="1"/>
  <c r="FF108" i="9" s="1"/>
  <c r="FF109" i="9" s="1"/>
  <c r="D5" i="3"/>
  <c r="Y54" i="8" s="1"/>
  <c r="D10" i="3"/>
  <c r="AG215" i="9" s="1"/>
  <c r="D17" i="3"/>
  <c r="BS212" i="9" s="1"/>
  <c r="D21" i="3"/>
  <c r="E92" i="11" s="1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7" i="11" s="1"/>
  <c r="BR132" i="9"/>
  <c r="AY132" i="9"/>
  <c r="AF132" i="9"/>
  <c r="E29" i="3"/>
  <c r="BC131" i="9" s="1"/>
  <c r="E27" i="3"/>
  <c r="AI48" i="9" s="1"/>
  <c r="C28" i="3"/>
  <c r="E28" i="3" s="1"/>
  <c r="P50" i="9" s="1"/>
  <c r="Z222" i="9"/>
  <c r="E26" i="3"/>
  <c r="AJ214" i="9" s="1"/>
  <c r="E25" i="3"/>
  <c r="P213" i="9" s="1"/>
  <c r="E24" i="3"/>
  <c r="CQ221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AJ130" i="22" l="1"/>
  <c r="BJ112" i="22"/>
  <c r="BC86" i="22"/>
  <c r="J152" i="22"/>
  <c r="AI147" i="9"/>
  <c r="EF131" i="9"/>
  <c r="G10" i="3"/>
  <c r="AI148" i="9"/>
  <c r="AH47" i="9"/>
  <c r="AI216" i="9"/>
  <c r="AI232" i="9"/>
  <c r="AI233" i="9"/>
  <c r="G22" i="3"/>
  <c r="BT62" i="9" s="1"/>
  <c r="G24" i="3"/>
  <c r="O48" i="9"/>
  <c r="BU216" i="9"/>
  <c r="G25" i="3"/>
  <c r="BU213" i="9" s="1"/>
  <c r="G26" i="3"/>
  <c r="O77" i="9"/>
  <c r="G28" i="3"/>
  <c r="O241" i="9"/>
  <c r="CP241" i="9"/>
  <c r="G29" i="3"/>
  <c r="AI131" i="9" s="1"/>
  <c r="CP254" i="9"/>
  <c r="CP256" i="9"/>
  <c r="G5" i="3"/>
  <c r="EQ240" i="9"/>
  <c r="G6" i="3"/>
  <c r="EF159" i="9"/>
  <c r="H150" i="22"/>
  <c r="BB131" i="9"/>
  <c r="CP118" i="9"/>
  <c r="CP119" i="9" s="1"/>
  <c r="O51" i="9"/>
  <c r="AH68" i="9"/>
  <c r="BB211" i="9"/>
  <c r="BU131" i="9"/>
  <c r="BA46" i="9"/>
  <c r="O131" i="9"/>
  <c r="BU145" i="9"/>
  <c r="BA47" i="9"/>
  <c r="CP146" i="9"/>
  <c r="FF146" i="9"/>
  <c r="BA48" i="9"/>
  <c r="BB215" i="9"/>
  <c r="DJ240" i="9"/>
  <c r="FF147" i="9"/>
  <c r="BB216" i="9"/>
  <c r="BU247" i="9"/>
  <c r="CP221" i="9"/>
  <c r="O211" i="9"/>
  <c r="BT47" i="9"/>
  <c r="G17" i="3"/>
  <c r="BT59" i="9"/>
  <c r="CP226" i="9"/>
  <c r="O215" i="9"/>
  <c r="O216" i="9"/>
  <c r="AR57" i="9"/>
  <c r="EG118" i="9"/>
  <c r="M60" i="11"/>
  <c r="CN144" i="9"/>
  <c r="D282" i="11"/>
  <c r="M59" i="11"/>
  <c r="M62" i="11"/>
  <c r="G18" i="21"/>
  <c r="H18" i="21" s="1"/>
  <c r="V6" i="21" s="1"/>
  <c r="CN142" i="9"/>
  <c r="BV230" i="9"/>
  <c r="CQ142" i="9"/>
  <c r="D266" i="11"/>
  <c r="CQ146" i="9"/>
  <c r="N21" i="21"/>
  <c r="E87" i="11"/>
  <c r="J15" i="21"/>
  <c r="J281" i="11"/>
  <c r="D64" i="11"/>
  <c r="D65" i="11"/>
  <c r="BV156" i="9"/>
  <c r="Z60" i="9"/>
  <c r="D288" i="11"/>
  <c r="D287" i="11"/>
  <c r="AJ148" i="9"/>
  <c r="D41" i="3"/>
  <c r="E271" i="11" s="1"/>
  <c r="F271" i="11" s="1"/>
  <c r="G271" i="11" s="1"/>
  <c r="H271" i="11" s="1"/>
  <c r="CN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G148" i="9"/>
  <c r="D249" i="11"/>
  <c r="J249" i="11"/>
  <c r="J248" i="11"/>
  <c r="M168" i="9"/>
  <c r="P168" i="9"/>
  <c r="AG147" i="9"/>
  <c r="AJ147" i="9"/>
  <c r="AF68" i="9"/>
  <c r="AI69" i="9"/>
  <c r="AI68" i="9"/>
  <c r="P241" i="9"/>
  <c r="AF69" i="9"/>
  <c r="J223" i="11"/>
  <c r="AG232" i="9"/>
  <c r="AJ232" i="9"/>
  <c r="AG233" i="9"/>
  <c r="AJ233" i="9"/>
  <c r="M241" i="9"/>
  <c r="M77" i="9"/>
  <c r="P77" i="9"/>
  <c r="J224" i="11"/>
  <c r="D224" i="11"/>
  <c r="E193" i="11"/>
  <c r="CN254" i="9"/>
  <c r="E84" i="11"/>
  <c r="D112" i="11"/>
  <c r="AG211" i="9"/>
  <c r="AG214" i="9"/>
  <c r="E152" i="11"/>
  <c r="O152" i="11"/>
  <c r="D32" i="3"/>
  <c r="G32" i="3" s="1"/>
  <c r="J112" i="11"/>
  <c r="EG157" i="9"/>
  <c r="ER238" i="9"/>
  <c r="ED156" i="9"/>
  <c r="J111" i="11"/>
  <c r="E155" i="11"/>
  <c r="O154" i="11"/>
  <c r="H37" i="8"/>
  <c r="FD146" i="9"/>
  <c r="D39" i="3"/>
  <c r="BV232" i="9"/>
  <c r="D40" i="3"/>
  <c r="E35" i="3"/>
  <c r="DH237" i="9"/>
  <c r="DK238" i="9"/>
  <c r="BV247" i="9"/>
  <c r="CN237" i="9"/>
  <c r="AG212" i="9"/>
  <c r="AJ213" i="9"/>
  <c r="AB75" i="11"/>
  <c r="AB87" i="11"/>
  <c r="BS214" i="9"/>
  <c r="M212" i="9"/>
  <c r="D18" i="3"/>
  <c r="AJ98" i="11"/>
  <c r="BV214" i="9"/>
  <c r="AB98" i="11"/>
  <c r="EO237" i="9"/>
  <c r="D16" i="3"/>
  <c r="G16" i="3" s="1"/>
  <c r="CP239" i="9" s="1"/>
  <c r="EG159" i="9"/>
  <c r="BV213" i="9"/>
  <c r="O188" i="11"/>
  <c r="AB101" i="11"/>
  <c r="BS215" i="9"/>
  <c r="AJ101" i="11"/>
  <c r="E160" i="11"/>
  <c r="BS216" i="9"/>
  <c r="CN256" i="9"/>
  <c r="CQ256" i="9"/>
  <c r="CQ254" i="9"/>
  <c r="AJ211" i="9"/>
  <c r="FG146" i="9"/>
  <c r="AG213" i="9"/>
  <c r="DH240" i="9"/>
  <c r="BS229" i="9"/>
  <c r="M211" i="9"/>
  <c r="EO240" i="9"/>
  <c r="AB79" i="11"/>
  <c r="DK240" i="9"/>
  <c r="BS232" i="9"/>
  <c r="ER240" i="9"/>
  <c r="AB90" i="11"/>
  <c r="BS247" i="9"/>
  <c r="BS211" i="9"/>
  <c r="D36" i="3"/>
  <c r="G36" i="3" s="1"/>
  <c r="CP238" i="9" s="1"/>
  <c r="BV211" i="9"/>
  <c r="E186" i="11"/>
  <c r="D8" i="3"/>
  <c r="E189" i="11"/>
  <c r="E80" i="11"/>
  <c r="D12" i="3"/>
  <c r="G12" i="3" s="1"/>
  <c r="ED159" i="9"/>
  <c r="BS213" i="9"/>
  <c r="O186" i="11"/>
  <c r="H59" i="11"/>
  <c r="P214" i="9"/>
  <c r="M215" i="9"/>
  <c r="M216" i="9"/>
  <c r="P211" i="9"/>
  <c r="E94" i="11"/>
  <c r="E93" i="11"/>
  <c r="M213" i="9"/>
  <c r="CQ241" i="9"/>
  <c r="E91" i="11"/>
  <c r="AG216" i="9"/>
  <c r="CQ242" i="9"/>
  <c r="AA222" i="9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Y55" i="8" s="1"/>
  <c r="X54" i="8" s="1"/>
  <c r="N14" i="8"/>
  <c r="AI51" i="9"/>
  <c r="N13" i="8"/>
  <c r="AY51" i="9"/>
  <c r="AZ51" i="9" s="1"/>
  <c r="BU60" i="9"/>
  <c r="D61" i="11"/>
  <c r="BC211" i="9"/>
  <c r="M61" i="11"/>
  <c r="CN146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4" i="9"/>
  <c r="BB49" i="9"/>
  <c r="CN223" i="9"/>
  <c r="AY49" i="9"/>
  <c r="AZ49" i="9" s="1"/>
  <c r="AZ211" i="9"/>
  <c r="CQ223" i="9"/>
  <c r="AZ214" i="9"/>
  <c r="BC213" i="9"/>
  <c r="BC214" i="9"/>
  <c r="CQ224" i="9"/>
  <c r="FD147" i="9"/>
  <c r="EG145" i="9"/>
  <c r="FG147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BT61" i="9" l="1"/>
  <c r="O50" i="9"/>
  <c r="AH50" i="9"/>
  <c r="CP223" i="9"/>
  <c r="BU214" i="9"/>
  <c r="CP224" i="9"/>
  <c r="AI214" i="9"/>
  <c r="BA51" i="9"/>
  <c r="Z126" i="22"/>
  <c r="BJ102" i="22"/>
  <c r="BU211" i="9"/>
  <c r="AH49" i="9"/>
  <c r="BA50" i="9"/>
  <c r="BB132" i="9"/>
  <c r="AW95" i="22" s="1"/>
  <c r="AH51" i="9"/>
  <c r="BA49" i="9"/>
  <c r="BA52" i="9" s="1"/>
  <c r="O49" i="9"/>
  <c r="O52" i="9" s="1"/>
  <c r="AI213" i="9"/>
  <c r="O130" i="9"/>
  <c r="O132" i="9" s="1"/>
  <c r="AI130" i="9"/>
  <c r="BU130" i="9"/>
  <c r="BU132" i="9" s="1"/>
  <c r="BB130" i="9"/>
  <c r="AI215" i="9"/>
  <c r="EF130" i="9"/>
  <c r="CP225" i="9"/>
  <c r="BU215" i="9"/>
  <c r="O46" i="9"/>
  <c r="BT46" i="9"/>
  <c r="BT48" i="9" s="1"/>
  <c r="AH46" i="9"/>
  <c r="AI211" i="9"/>
  <c r="O214" i="9"/>
  <c r="BB214" i="9"/>
  <c r="CP144" i="9"/>
  <c r="CP210" i="9"/>
  <c r="CP211" i="9" s="1"/>
  <c r="EF133" i="9"/>
  <c r="BT60" i="9"/>
  <c r="BT63" i="9" s="1"/>
  <c r="AI132" i="9"/>
  <c r="O213" i="9"/>
  <c r="BB213" i="9"/>
  <c r="S121" i="22"/>
  <c r="K5" i="21"/>
  <c r="U5" i="21" s="1"/>
  <c r="G18" i="3"/>
  <c r="BU212" i="9"/>
  <c r="BU217" i="9" s="1"/>
  <c r="AI212" i="9"/>
  <c r="AI217" i="9" s="1"/>
  <c r="O212" i="9"/>
  <c r="O217" i="9" s="1"/>
  <c r="CP222" i="9"/>
  <c r="CP227" i="9" s="1"/>
  <c r="BB212" i="9"/>
  <c r="BB217" i="9" s="1"/>
  <c r="CP130" i="9"/>
  <c r="CP131" i="9" s="1"/>
  <c r="EF132" i="9"/>
  <c r="EF134" i="9" s="1"/>
  <c r="CP237" i="9"/>
  <c r="EF156" i="9"/>
  <c r="BU229" i="9"/>
  <c r="EQ237" i="9"/>
  <c r="CP145" i="9"/>
  <c r="DJ237" i="9"/>
  <c r="CN143" i="9"/>
  <c r="CN147" i="9" s="1"/>
  <c r="G8" i="3"/>
  <c r="E254" i="11"/>
  <c r="F254" i="11" s="1"/>
  <c r="G39" i="3"/>
  <c r="O155" i="9" s="1"/>
  <c r="O156" i="9" s="1"/>
  <c r="EF144" i="9"/>
  <c r="EF146" i="9" s="1"/>
  <c r="BC82" i="22" s="1"/>
  <c r="EF158" i="9"/>
  <c r="BU231" i="9"/>
  <c r="EQ239" i="9"/>
  <c r="O240" i="9"/>
  <c r="O242" i="9" s="1"/>
  <c r="BU246" i="9"/>
  <c r="BU248" i="9" s="1"/>
  <c r="AZ82" i="22" s="1"/>
  <c r="O167" i="9"/>
  <c r="O169" i="9" s="1"/>
  <c r="AQ82" i="22" s="1"/>
  <c r="DJ239" i="9"/>
  <c r="BU144" i="9"/>
  <c r="BU146" i="9" s="1"/>
  <c r="AY82" i="22" s="1"/>
  <c r="O76" i="9"/>
  <c r="O78" i="9" s="1"/>
  <c r="AP82" i="22" s="1"/>
  <c r="AA60" i="9"/>
  <c r="AS57" i="9"/>
  <c r="AT57" i="9" s="1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AB77" i="11"/>
  <c r="EG105" i="9"/>
  <c r="D264" i="11"/>
  <c r="ED105" i="9"/>
  <c r="ED106" i="9" s="1"/>
  <c r="D265" i="11"/>
  <c r="ED144" i="9"/>
  <c r="D281" i="11"/>
  <c r="E85" i="11"/>
  <c r="D280" i="11"/>
  <c r="ED118" i="9"/>
  <c r="ED119" i="9" s="1"/>
  <c r="J264" i="11"/>
  <c r="J280" i="11"/>
  <c r="M266" i="11"/>
  <c r="J259" i="11" s="1"/>
  <c r="M144" i="9"/>
  <c r="M145" i="9" s="1"/>
  <c r="AF67" i="9"/>
  <c r="AF70" i="9" s="1"/>
  <c r="AG146" i="9"/>
  <c r="AG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G231" i="9"/>
  <c r="AG234" i="9" s="1"/>
  <c r="AB99" i="11"/>
  <c r="BS156" i="9" a="1"/>
  <c r="BS156" i="9" s="1"/>
  <c r="BS157" i="9" s="1"/>
  <c r="BS230" i="9"/>
  <c r="F37" i="8" a="1"/>
  <c r="F37" i="8" s="1"/>
  <c r="D59" i="11"/>
  <c r="E187" i="11"/>
  <c r="EO238" i="9"/>
  <c r="D110" i="11"/>
  <c r="BS258" i="9" a="1"/>
  <c r="BS258" i="9" s="1"/>
  <c r="BS259" i="9" s="1"/>
  <c r="J110" i="11"/>
  <c r="Y50" i="8"/>
  <c r="BS217" i="9"/>
  <c r="AB88" i="11"/>
  <c r="DH238" i="9"/>
  <c r="AB80" i="11"/>
  <c r="CN239" i="9"/>
  <c r="CN242" i="9"/>
  <c r="AJ99" i="11"/>
  <c r="E153" i="11"/>
  <c r="ED157" i="9"/>
  <c r="O153" i="11"/>
  <c r="E83" i="11"/>
  <c r="E188" i="11"/>
  <c r="ED158" i="9"/>
  <c r="EO239" i="9"/>
  <c r="DH239" i="9"/>
  <c r="E192" i="11"/>
  <c r="BS246" i="9"/>
  <c r="BS248" i="9" s="1"/>
  <c r="AG217" i="9"/>
  <c r="E154" i="11"/>
  <c r="O187" i="11"/>
  <c r="CN255" i="9"/>
  <c r="CN257" i="9" s="1"/>
  <c r="AJ100" i="11"/>
  <c r="AB76" i="11"/>
  <c r="CN238" i="9"/>
  <c r="E81" i="11"/>
  <c r="AB78" i="11"/>
  <c r="Y51" i="8"/>
  <c r="BS231" i="9"/>
  <c r="AB100" i="11"/>
  <c r="E159" i="11"/>
  <c r="E161" i="11" s="1"/>
  <c r="CN240" i="9"/>
  <c r="AB89" i="11"/>
  <c r="D60" i="11"/>
  <c r="E82" i="11"/>
  <c r="M217" i="9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D146" i="22" l="1"/>
  <c r="AQ80" i="22"/>
  <c r="V123" i="22"/>
  <c r="V132" i="22" s="1"/>
  <c r="BJ98" i="22"/>
  <c r="BK98" i="22" s="1"/>
  <c r="R120" i="22"/>
  <c r="AV94" i="22"/>
  <c r="AY99" i="22"/>
  <c r="W124" i="22"/>
  <c r="AT90" i="22"/>
  <c r="N118" i="22"/>
  <c r="C145" i="22"/>
  <c r="AP79" i="22"/>
  <c r="BC109" i="22"/>
  <c r="AG129" i="22"/>
  <c r="Y126" i="22"/>
  <c r="BB101" i="22"/>
  <c r="BB104" i="22"/>
  <c r="AB127" i="22"/>
  <c r="T122" i="22"/>
  <c r="AX96" i="22"/>
  <c r="AD127" i="22"/>
  <c r="BJ106" i="22"/>
  <c r="E147" i="22"/>
  <c r="AR81" i="22"/>
  <c r="F148" i="22"/>
  <c r="AR82" i="22"/>
  <c r="AU92" i="22"/>
  <c r="P119" i="22"/>
  <c r="X125" i="22"/>
  <c r="AZ100" i="22"/>
  <c r="AH52" i="9"/>
  <c r="U123" i="22"/>
  <c r="BB97" i="22"/>
  <c r="AQ85" i="22"/>
  <c r="I151" i="22"/>
  <c r="CP240" i="9"/>
  <c r="CP243" i="9" s="1"/>
  <c r="AI146" i="9"/>
  <c r="AI149" i="9" s="1"/>
  <c r="FF145" i="9"/>
  <c r="FF148" i="9" s="1"/>
  <c r="CP143" i="9"/>
  <c r="CP147" i="9" s="1"/>
  <c r="CP255" i="9"/>
  <c r="CP257" i="9" s="1"/>
  <c r="AH67" i="9"/>
  <c r="AH70" i="9" s="1"/>
  <c r="AI231" i="9"/>
  <c r="AI234" i="9" s="1"/>
  <c r="G254" i="11"/>
  <c r="H254" i="11" s="1"/>
  <c r="P155" i="9" s="1"/>
  <c r="BN20" i="8"/>
  <c r="EF157" i="9"/>
  <c r="EF160" i="9" s="1"/>
  <c r="BC108" i="22" s="1"/>
  <c r="BU230" i="9"/>
  <c r="BU233" i="9" s="1"/>
  <c r="AZ108" i="22" s="1"/>
  <c r="EQ238" i="9"/>
  <c r="EQ241" i="9" s="1"/>
  <c r="BI108" i="22" s="1"/>
  <c r="BU258" i="9"/>
  <c r="BU259" i="9" s="1"/>
  <c r="BU156" i="9"/>
  <c r="BU157" i="9" s="1"/>
  <c r="AY83" i="22" s="1"/>
  <c r="DJ238" i="9"/>
  <c r="DJ241" i="9" s="1"/>
  <c r="AF128" i="22" s="1"/>
  <c r="EF118" i="9"/>
  <c r="EF119" i="9" s="1"/>
  <c r="BC83" i="22" s="1"/>
  <c r="CP242" i="9"/>
  <c r="AT58" i="9"/>
  <c r="F11" i="21"/>
  <c r="N11" i="21"/>
  <c r="I11" i="21"/>
  <c r="E21" i="21"/>
  <c r="H21" i="21" s="1"/>
  <c r="M21" i="21"/>
  <c r="K11" i="21"/>
  <c r="L11" i="21" s="1"/>
  <c r="O5" i="3"/>
  <c r="AT59" i="9"/>
  <c r="V123" i="15"/>
  <c r="V132" i="15" s="1"/>
  <c r="BJ98" i="15"/>
  <c r="D62" i="11"/>
  <c r="E6" i="13"/>
  <c r="E8" i="13" s="1"/>
  <c r="BK87" i="15"/>
  <c r="BQ63" i="9"/>
  <c r="P212" i="9"/>
  <c r="AJ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2" i="9"/>
  <c r="CQ222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P167" i="9" s="1"/>
  <c r="E11" i="3"/>
  <c r="E10" i="3"/>
  <c r="BV215" i="9" s="1"/>
  <c r="E9" i="3"/>
  <c r="FG130" i="9" s="1"/>
  <c r="E8" i="3"/>
  <c r="E7" i="3"/>
  <c r="E6" i="3"/>
  <c r="P130" i="9" s="1"/>
  <c r="E5" i="3"/>
  <c r="CQ144" i="9" s="1"/>
  <c r="BX43" i="8"/>
  <c r="BX44" i="8"/>
  <c r="BV43" i="8"/>
  <c r="BV44" i="8"/>
  <c r="D9" i="3"/>
  <c r="G9" i="3" s="1"/>
  <c r="FF130" i="9" s="1"/>
  <c r="FF131" i="9" s="1"/>
  <c r="AF47" i="9"/>
  <c r="AF46" i="9"/>
  <c r="BA105" i="22" l="1"/>
  <c r="AC127" i="22"/>
  <c r="BJ103" i="22"/>
  <c r="AA126" i="22"/>
  <c r="BJ111" i="22"/>
  <c r="AI130" i="22"/>
  <c r="BJ91" i="22"/>
  <c r="O118" i="22"/>
  <c r="BI110" i="22"/>
  <c r="AH130" i="22"/>
  <c r="G149" i="22"/>
  <c r="AZ83" i="22"/>
  <c r="AS88" i="22"/>
  <c r="L117" i="22"/>
  <c r="AE127" i="22"/>
  <c r="BJ107" i="22"/>
  <c r="Q119" i="22"/>
  <c r="BJ93" i="22"/>
  <c r="BJ89" i="22"/>
  <c r="M117" i="22"/>
  <c r="J11" i="21"/>
  <c r="O11" i="21"/>
  <c r="AJ146" i="9"/>
  <c r="CQ143" i="9"/>
  <c r="L21" i="21"/>
  <c r="P21" i="21" s="1"/>
  <c r="V7" i="21" s="1"/>
  <c r="M11" i="21"/>
  <c r="P11" i="21" s="1"/>
  <c r="Q11" i="21" s="1"/>
  <c r="U7" i="21" s="1"/>
  <c r="AJ231" i="9"/>
  <c r="AI67" i="9"/>
  <c r="P240" i="9"/>
  <c r="P76" i="9"/>
  <c r="E36" i="3"/>
  <c r="CQ238" i="9" s="1" a="1"/>
  <c r="CQ238" i="9" s="1"/>
  <c r="CQ210" i="9"/>
  <c r="CQ240" i="9"/>
  <c r="CQ255" i="9"/>
  <c r="CQ257" i="9" s="1"/>
  <c r="EG158" i="9"/>
  <c r="EG160" i="9" s="1"/>
  <c r="BV246" i="9"/>
  <c r="BV231" i="9"/>
  <c r="BV233" i="9" s="1"/>
  <c r="DK239" i="9"/>
  <c r="DK241" i="9" s="1"/>
  <c r="ER239" i="9"/>
  <c r="ER241" i="9" s="1"/>
  <c r="E31" i="3"/>
  <c r="E34" i="3"/>
  <c r="E37" i="3"/>
  <c r="E38" i="3"/>
  <c r="AJ215" i="9"/>
  <c r="P215" i="9"/>
  <c r="AJ216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6" i="9"/>
  <c r="CQ226" i="9"/>
  <c r="BC216" i="9"/>
  <c r="AZ215" i="9"/>
  <c r="CN225" i="9"/>
  <c r="AY46" i="9"/>
  <c r="BC215" i="9"/>
  <c r="CQ225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G133" i="9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8" i="9" s="1"/>
  <c r="H25" i="11"/>
  <c r="H22" i="11"/>
  <c r="H32" i="11"/>
  <c r="ED133" i="9"/>
  <c r="H26" i="11"/>
  <c r="H19" i="11"/>
  <c r="CN210" i="9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Q243" i="9" l="1"/>
  <c r="CN227" i="9"/>
  <c r="I13" i="8"/>
  <c r="I14" i="8" s="1"/>
  <c r="ED134" i="9"/>
  <c r="AG132" i="9"/>
  <c r="BS146" i="9"/>
  <c r="BZ63" i="9"/>
  <c r="AY52" i="9"/>
  <c r="AZ217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AW46" i="9" s="1"/>
  <c r="AD46" i="9" s="1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J132" i="22" l="1"/>
  <c r="BK112" i="22"/>
  <c r="BK110" i="22"/>
  <c r="ER142" i="9"/>
  <c r="ER141" i="9"/>
  <c r="ES141" i="9" s="1"/>
  <c r="EQ140" i="9"/>
  <c r="ES140" i="9" s="1"/>
  <c r="AS56" i="9"/>
  <c r="BJ56" i="9"/>
  <c r="BL56" i="9" s="1"/>
  <c r="AJ130" i="15"/>
  <c r="AJ132" i="15" s="1"/>
  <c r="BJ112" i="15"/>
  <c r="BK112" i="15" s="1"/>
  <c r="AH130" i="15"/>
  <c r="AH132" i="15" s="1"/>
  <c r="BI110" i="15"/>
  <c r="BK110" i="15" s="1"/>
  <c r="FC108" i="9"/>
  <c r="FC130" i="9"/>
  <c r="BK105" i="15"/>
  <c r="G6" i="13"/>
  <c r="K46" i="9"/>
  <c r="N46" i="9" s="1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H132" i="22" l="1"/>
  <c r="L27" i="11"/>
  <c r="B51" i="11" s="1"/>
  <c r="C65" i="11"/>
  <c r="E65" i="11" s="1"/>
  <c r="Y55" i="9"/>
  <c r="BK61" i="9"/>
  <c r="BK55" i="9"/>
  <c r="AR56" i="9"/>
  <c r="AT56" i="9" s="1"/>
  <c r="Z56" i="9"/>
  <c r="AA56" i="9" s="1"/>
  <c r="BJ55" i="9"/>
  <c r="AS55" i="9"/>
  <c r="AS61" i="9"/>
  <c r="BJ61" i="9"/>
  <c r="C51" i="11"/>
  <c r="BR156" i="9" s="1"/>
  <c r="D15" i="21" s="1"/>
  <c r="E15" i="21" s="1"/>
  <c r="F15" i="21" s="1"/>
  <c r="I15" i="21" s="1"/>
  <c r="K15" i="21" s="1"/>
  <c r="V5" i="21" s="1"/>
  <c r="C54" i="11"/>
  <c r="C60" i="11" s="1"/>
  <c r="BQ144" i="9" s="1"/>
  <c r="K130" i="9"/>
  <c r="N130" i="9" s="1"/>
  <c r="K52" i="9"/>
  <c r="L46" i="9" s="1"/>
  <c r="CL131" i="9"/>
  <c r="CV126" i="9" s="1"/>
  <c r="N52" i="9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L61" i="9" l="1"/>
  <c r="AR61" i="9"/>
  <c r="AT61" i="9" s="1"/>
  <c r="Z55" i="9"/>
  <c r="AR55" i="9"/>
  <c r="AT55" i="9" s="1"/>
  <c r="Y138" i="9"/>
  <c r="BL55" i="9"/>
  <c r="BQ156" i="9"/>
  <c r="F12" i="17" s="1"/>
  <c r="AA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EB132" i="9"/>
  <c r="Y126" i="15"/>
  <c r="L50" i="9"/>
  <c r="L49" i="9"/>
  <c r="L51" i="9"/>
  <c r="L48" i="9"/>
  <c r="U42" i="9"/>
  <c r="K131" i="9"/>
  <c r="N131" i="9" s="1"/>
  <c r="M19" i="11"/>
  <c r="BN35" i="9"/>
  <c r="AY91" i="20" s="1"/>
  <c r="AY48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6" i="9"/>
  <c r="R46" i="9" s="1"/>
  <c r="S46" i="9" s="1"/>
  <c r="T46" i="9" s="1"/>
  <c r="U46" i="9" s="1"/>
  <c r="Q47" i="9"/>
  <c r="R47" i="9" s="1"/>
  <c r="S47" i="9" s="1"/>
  <c r="T47" i="9" s="1"/>
  <c r="U47" i="9" s="1"/>
  <c r="V47" i="9" s="1"/>
  <c r="BK46" i="9"/>
  <c r="AS28" i="9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55" i="22" l="1"/>
  <c r="C163" i="22" s="1"/>
  <c r="U132" i="22"/>
  <c r="AK123" i="22"/>
  <c r="E209" i="22" s="1"/>
  <c r="BB58" i="22"/>
  <c r="BD97" i="22"/>
  <c r="G181" i="22" s="1"/>
  <c r="AV55" i="22"/>
  <c r="AV114" i="22"/>
  <c r="C209" i="22" s="1"/>
  <c r="BD94" i="22"/>
  <c r="G178" i="22" s="1"/>
  <c r="R132" i="22"/>
  <c r="AK120" i="22"/>
  <c r="E206" i="22" s="1"/>
  <c r="BB62" i="22"/>
  <c r="BD101" i="22"/>
  <c r="G185" i="22" s="1"/>
  <c r="Y132" i="22"/>
  <c r="C145" i="15"/>
  <c r="C155" i="15" s="1"/>
  <c r="C163" i="15" s="1"/>
  <c r="AK123" i="15"/>
  <c r="E20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32" i="15"/>
  <c r="K132" i="9"/>
  <c r="U126" i="9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U28" i="9"/>
  <c r="AV91" i="20" s="1"/>
  <c r="AV48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V46" i="9"/>
  <c r="U45" i="8"/>
  <c r="R44" i="8"/>
  <c r="CW131" i="9"/>
  <c r="CW126" i="9" s="1"/>
  <c r="BE105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G209" i="22" l="1"/>
  <c r="D146" i="15"/>
  <c r="D155" i="15" s="1"/>
  <c r="C164" i="15" s="1"/>
  <c r="D155" i="22"/>
  <c r="C164" i="22" s="1"/>
  <c r="L132" i="22"/>
  <c r="BD88" i="22"/>
  <c r="G172" i="22" s="1"/>
  <c r="AS114" i="22"/>
  <c r="C206" i="22" s="1"/>
  <c r="G206" i="22" s="1"/>
  <c r="AS49" i="22"/>
  <c r="AP40" i="22"/>
  <c r="BD79" i="22"/>
  <c r="G163" i="22" s="1"/>
  <c r="BE62" i="20"/>
  <c r="BG105" i="20"/>
  <c r="J189" i="20" s="1"/>
  <c r="Q130" i="9"/>
  <c r="R130" i="9" s="1"/>
  <c r="S130" i="9" s="1"/>
  <c r="T130" i="9" s="1"/>
  <c r="U130" i="9" s="1"/>
  <c r="Q115" i="9" s="1"/>
  <c r="AQ80" i="15"/>
  <c r="AQ41" i="15" s="1"/>
  <c r="Y127" i="20"/>
  <c r="Y136" i="20" s="1"/>
  <c r="BI46" i="9"/>
  <c r="N6" i="13" s="1"/>
  <c r="BM102" i="20"/>
  <c r="BN102" i="20" s="1"/>
  <c r="K63" i="9"/>
  <c r="L63" i="9" s="1"/>
  <c r="F7" i="17"/>
  <c r="G7" i="17" s="1"/>
  <c r="I7" i="17" s="1"/>
  <c r="AT46" i="9"/>
  <c r="F7" i="14" s="1"/>
  <c r="BM46" i="9"/>
  <c r="G7" i="14" s="1"/>
  <c r="BM116" i="20"/>
  <c r="BN116" i="20" s="1"/>
  <c r="AM134" i="20"/>
  <c r="AM136" i="20" s="1"/>
  <c r="AB130" i="20"/>
  <c r="AB136" i="20" s="1"/>
  <c r="BD88" i="15"/>
  <c r="AS114" i="15"/>
  <c r="C206" i="15" s="1"/>
  <c r="BD79" i="15"/>
  <c r="G163" i="15" s="1"/>
  <c r="Q27" i="9"/>
  <c r="D7" i="14" s="1"/>
  <c r="BZ48" i="9"/>
  <c r="F8" i="12"/>
  <c r="G73" i="11"/>
  <c r="G74" i="11" s="1"/>
  <c r="BQ210" i="9" s="1"/>
  <c r="CL210" i="9"/>
  <c r="B74" i="11"/>
  <c r="C87" i="11" s="1"/>
  <c r="F87" i="11" s="1"/>
  <c r="V48" i="9"/>
  <c r="V52" i="9" s="1"/>
  <c r="V42" i="9" s="1"/>
  <c r="U52" i="9"/>
  <c r="BI46" i="8"/>
  <c r="BI38" i="8" s="1"/>
  <c r="AN48" i="8"/>
  <c r="EB133" i="9"/>
  <c r="CA46" i="9"/>
  <c r="BH46" i="9"/>
  <c r="BG52" i="9"/>
  <c r="AN52" i="9"/>
  <c r="AO46" i="9"/>
  <c r="FL131" i="9"/>
  <c r="FM130" i="9"/>
  <c r="CH45" i="8"/>
  <c r="CI42" i="8"/>
  <c r="BD80" i="22" l="1"/>
  <c r="G164" i="22" s="1"/>
  <c r="AQ41" i="22"/>
  <c r="Q132" i="9"/>
  <c r="AS83" i="20"/>
  <c r="AS40" i="20" s="1"/>
  <c r="H7" i="17"/>
  <c r="F149" i="20"/>
  <c r="F159" i="20" s="1"/>
  <c r="F167" i="20" s="1"/>
  <c r="K64" i="9"/>
  <c r="G75" i="11"/>
  <c r="C95" i="11" s="1"/>
  <c r="AX210" i="9"/>
  <c r="K210" i="9"/>
  <c r="AE210" i="9"/>
  <c r="G5" i="12"/>
  <c r="D5" i="12"/>
  <c r="F5" i="12"/>
  <c r="F74" i="11"/>
  <c r="CL243" i="9"/>
  <c r="C86" i="11"/>
  <c r="Z81" i="11" s="1"/>
  <c r="D74" i="11"/>
  <c r="U132" i="9"/>
  <c r="V130" i="9"/>
  <c r="Q117" i="9" s="1"/>
  <c r="EE133" i="9"/>
  <c r="CO210" i="9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AY98" i="20" s="1"/>
  <c r="CA48" i="9"/>
  <c r="CA42" i="9" s="1"/>
  <c r="CL211" i="9"/>
  <c r="CV206" i="9" s="1"/>
  <c r="BG83" i="20" l="1"/>
  <c r="J167" i="20" s="1"/>
  <c r="AY55" i="20"/>
  <c r="BG98" i="20"/>
  <c r="AT48" i="9"/>
  <c r="F9" i="14" s="1"/>
  <c r="AV92" i="20"/>
  <c r="X127" i="20"/>
  <c r="BE101" i="20"/>
  <c r="BG101" i="20" s="1"/>
  <c r="BM47" i="9"/>
  <c r="G8" i="14" s="1"/>
  <c r="U124" i="20"/>
  <c r="BJ46" i="9"/>
  <c r="AT47" i="9"/>
  <c r="F8" i="14" s="1"/>
  <c r="O121" i="20"/>
  <c r="O136" i="20" s="1"/>
  <c r="AQ46" i="9"/>
  <c r="BM48" i="9"/>
  <c r="G9" i="14" s="1"/>
  <c r="AK134" i="20"/>
  <c r="AK136" i="20" s="1"/>
  <c r="BL114" i="20"/>
  <c r="BN114" i="20" s="1"/>
  <c r="AB127" i="15"/>
  <c r="AB132" i="15" s="1"/>
  <c r="BB104" i="15"/>
  <c r="BB65" i="15" s="1"/>
  <c r="V132" i="9"/>
  <c r="V126" i="9" s="1"/>
  <c r="L64" i="9"/>
  <c r="U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L227" i="9"/>
  <c r="CL224" i="9" s="1"/>
  <c r="AX214" i="9" s="1"/>
  <c r="CV233" i="9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L239" i="9"/>
  <c r="CO239" i="9" s="1"/>
  <c r="CL240" i="9"/>
  <c r="CL237" i="9"/>
  <c r="CO237" i="9" s="1"/>
  <c r="CL242" i="9"/>
  <c r="CL238" i="9"/>
  <c r="CO238" i="9" s="1"/>
  <c r="CL241" i="9"/>
  <c r="CO241" i="9" s="1"/>
  <c r="BL44" i="8"/>
  <c r="CM210" i="9"/>
  <c r="CO211" i="9"/>
  <c r="DA229" i="9" l="1"/>
  <c r="DB229" i="9" s="1"/>
  <c r="DD229" i="9" s="1"/>
  <c r="BD91" i="20" s="1"/>
  <c r="BD48" i="20" s="1"/>
  <c r="AC132" i="22"/>
  <c r="AP45" i="22"/>
  <c r="AB132" i="22"/>
  <c r="BB65" i="22"/>
  <c r="BD104" i="22"/>
  <c r="G188" i="22" s="1"/>
  <c r="BB114" i="22"/>
  <c r="C215" i="22" s="1"/>
  <c r="AT84" i="20"/>
  <c r="N76" i="9"/>
  <c r="N77" i="9" s="1"/>
  <c r="AG68" i="9"/>
  <c r="Z62" i="9" s="1"/>
  <c r="AG67" i="9"/>
  <c r="AT41" i="20"/>
  <c r="BG84" i="20"/>
  <c r="J168" i="20" s="1"/>
  <c r="AV49" i="20"/>
  <c r="BG92" i="20"/>
  <c r="J176" i="20" s="1"/>
  <c r="Y62" i="9"/>
  <c r="Y61" i="9"/>
  <c r="AH84" i="11"/>
  <c r="AJ84" i="11" s="1"/>
  <c r="AJ83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Z249" i="9"/>
  <c r="AC90" i="11"/>
  <c r="Z90" i="11" s="1"/>
  <c r="DF240" i="9" s="1"/>
  <c r="DI240" i="9" s="1"/>
  <c r="J185" i="20"/>
  <c r="BE58" i="20"/>
  <c r="Q116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N64" i="9"/>
  <c r="Q63" i="9" s="1"/>
  <c r="R63" i="9" s="1"/>
  <c r="S63" i="9" s="1"/>
  <c r="G178" i="15"/>
  <c r="AE214" i="9"/>
  <c r="K214" i="9" s="1"/>
  <c r="N214" i="9" s="1"/>
  <c r="Y240" i="9" s="1"/>
  <c r="BQ214" i="9"/>
  <c r="CO240" i="9"/>
  <c r="CO242" i="9"/>
  <c r="CZ247" i="9" s="1"/>
  <c r="AC81" i="11"/>
  <c r="AD76" i="11" s="1"/>
  <c r="AJ79" i="11"/>
  <c r="AJ75" i="11"/>
  <c r="AH75" i="11"/>
  <c r="AJ76" i="11"/>
  <c r="CL222" i="9"/>
  <c r="AX212" i="9" s="1"/>
  <c r="CL223" i="9"/>
  <c r="AX213" i="9" s="1"/>
  <c r="CL226" i="9"/>
  <c r="AX216" i="9" s="1"/>
  <c r="CL225" i="9"/>
  <c r="AX215" i="9" s="1"/>
  <c r="CL221" i="9"/>
  <c r="AX211" i="9" s="1"/>
  <c r="F7" i="12"/>
  <c r="F6" i="12"/>
  <c r="G6" i="12"/>
  <c r="F86" i="11"/>
  <c r="CR210" i="9"/>
  <c r="CS210" i="9" s="1"/>
  <c r="CT210" i="9" s="1"/>
  <c r="CU210" i="9" s="1"/>
  <c r="BD105" i="22" l="1"/>
  <c r="G189" i="22" s="1"/>
  <c r="BA114" i="22"/>
  <c r="C214" i="22" s="1"/>
  <c r="BA66" i="22"/>
  <c r="S81" i="11"/>
  <c r="S80" i="11" s="1"/>
  <c r="CZ246" i="9"/>
  <c r="DA249" i="9"/>
  <c r="DB249" i="9" s="1"/>
  <c r="DX244" i="9"/>
  <c r="Y63" i="9"/>
  <c r="AA62" i="9"/>
  <c r="Z61" i="9"/>
  <c r="AA61" i="9" s="1"/>
  <c r="Z63" i="9"/>
  <c r="AM83" i="11"/>
  <c r="AM84" i="11" s="1"/>
  <c r="AC89" i="11" s="1"/>
  <c r="Z89" i="11" s="1"/>
  <c r="AH83" i="11"/>
  <c r="Q84" i="11"/>
  <c r="AH87" i="11"/>
  <c r="I80" i="11"/>
  <c r="L80" i="11" s="1"/>
  <c r="C91" i="11"/>
  <c r="CZ248" i="9"/>
  <c r="Q88" i="11"/>
  <c r="J213" i="20"/>
  <c r="J210" i="20"/>
  <c r="BD105" i="15"/>
  <c r="G189" i="15" s="1"/>
  <c r="BA114" i="15"/>
  <c r="C214" i="15" s="1"/>
  <c r="AD67" i="9"/>
  <c r="AD68" i="9"/>
  <c r="K76" i="9"/>
  <c r="CO243" i="9"/>
  <c r="G175" i="15"/>
  <c r="AE216" i="9"/>
  <c r="K216" i="9" s="1"/>
  <c r="N216" i="9" s="1"/>
  <c r="Y242" i="9" s="1"/>
  <c r="BQ216" i="9"/>
  <c r="AE213" i="9"/>
  <c r="K213" i="9" s="1"/>
  <c r="N213" i="9" s="1"/>
  <c r="Y239" i="9" s="1"/>
  <c r="BQ213" i="9"/>
  <c r="AE211" i="9"/>
  <c r="K211" i="9" s="1"/>
  <c r="N211" i="9" s="1"/>
  <c r="Y237" i="9" s="1"/>
  <c r="BQ211" i="9"/>
  <c r="AE212" i="9"/>
  <c r="K212" i="9" s="1"/>
  <c r="N212" i="9" s="1"/>
  <c r="Y238" i="9" s="1"/>
  <c r="BQ212" i="9"/>
  <c r="BT214" i="9"/>
  <c r="AE215" i="9"/>
  <c r="K215" i="9" s="1"/>
  <c r="N215" i="9" s="1"/>
  <c r="Y241" i="9" s="1"/>
  <c r="BQ215" i="9"/>
  <c r="CM221" i="9"/>
  <c r="AD79" i="11"/>
  <c r="AD80" i="11"/>
  <c r="AD75" i="11"/>
  <c r="AD77" i="11"/>
  <c r="AD78" i="11"/>
  <c r="CV210" i="9"/>
  <c r="CW210" i="9" s="1"/>
  <c r="Y64" i="9" l="1"/>
  <c r="AG69" i="9"/>
  <c r="Z64" i="9" s="1"/>
  <c r="AA64" i="9" s="1"/>
  <c r="AM79" i="11"/>
  <c r="AM80" i="11" s="1"/>
  <c r="AC88" i="11" s="1"/>
  <c r="Z88" i="11" s="1"/>
  <c r="AA63" i="9"/>
  <c r="CR238" i="9"/>
  <c r="CS238" i="9" s="1"/>
  <c r="CT238" i="9" s="1"/>
  <c r="CU238" i="9" s="1"/>
  <c r="CV238" i="9" s="1"/>
  <c r="CW238" i="9" s="1"/>
  <c r="CR239" i="9"/>
  <c r="CS239" i="9" s="1"/>
  <c r="CT239" i="9" s="1"/>
  <c r="CU239" i="9" s="1"/>
  <c r="CV239" i="9" s="1"/>
  <c r="I82" i="11"/>
  <c r="N210" i="9"/>
  <c r="BT210" i="9"/>
  <c r="BL218" i="9" s="1"/>
  <c r="AH210" i="9"/>
  <c r="AR218" i="9" s="1"/>
  <c r="BA210" i="9"/>
  <c r="CE225" i="9"/>
  <c r="BL225" i="9"/>
  <c r="CR237" i="9"/>
  <c r="CS237" i="9" s="1"/>
  <c r="CT237" i="9" s="1"/>
  <c r="CU237" i="9" s="1"/>
  <c r="CV237" i="9" s="1"/>
  <c r="CW237" i="9" s="1"/>
  <c r="CR240" i="9"/>
  <c r="CS240" i="9" s="1"/>
  <c r="CT240" i="9" s="1"/>
  <c r="CU240" i="9" s="1"/>
  <c r="CV240" i="9" s="1"/>
  <c r="CW240" i="9" s="1"/>
  <c r="CR241" i="9"/>
  <c r="CS241" i="9" s="1"/>
  <c r="CT241" i="9" s="1"/>
  <c r="CU241" i="9" s="1"/>
  <c r="CV241" i="9" s="1"/>
  <c r="CW241" i="9" s="1"/>
  <c r="CR242" i="9"/>
  <c r="CS242" i="9" s="1"/>
  <c r="CT242" i="9" s="1"/>
  <c r="CU242" i="9" s="1"/>
  <c r="CV242" i="9" s="1"/>
  <c r="CW242" i="9" s="1"/>
  <c r="K77" i="9"/>
  <c r="K78" i="9" s="1"/>
  <c r="U72" i="9" s="1"/>
  <c r="BT215" i="9"/>
  <c r="K217" i="9"/>
  <c r="U206" i="9" s="1"/>
  <c r="BT211" i="9"/>
  <c r="BQ217" i="9"/>
  <c r="BR215" i="9" s="1"/>
  <c r="BT216" i="9"/>
  <c r="BT212" i="9"/>
  <c r="BT213" i="9"/>
  <c r="DF239" i="9"/>
  <c r="DI239" i="9" s="1"/>
  <c r="DF238" i="9"/>
  <c r="AD81" i="11"/>
  <c r="AO80" i="11"/>
  <c r="AO79" i="11" s="1"/>
  <c r="AO75" i="11" s="1"/>
  <c r="AO76" i="11" s="1"/>
  <c r="AC87" i="11" s="1"/>
  <c r="CW211" i="9"/>
  <c r="CW206" i="9" s="1"/>
  <c r="BE108" i="20" s="1"/>
  <c r="AP43" i="22" l="1"/>
  <c r="AP114" i="22"/>
  <c r="C203" i="22" s="1"/>
  <c r="E155" i="22"/>
  <c r="C165" i="22" s="1"/>
  <c r="BE65" i="20"/>
  <c r="BG108" i="20"/>
  <c r="DA248" i="9"/>
  <c r="DB248" i="9" s="1"/>
  <c r="DX243" i="9"/>
  <c r="BK218" i="9"/>
  <c r="BM218" i="9" s="1"/>
  <c r="AS218" i="9"/>
  <c r="CE226" i="9"/>
  <c r="BL226" i="9"/>
  <c r="CE224" i="9"/>
  <c r="BL224" i="9"/>
  <c r="AT218" i="9"/>
  <c r="CE227" i="9"/>
  <c r="BL227" i="9"/>
  <c r="L83" i="11"/>
  <c r="K83" i="11"/>
  <c r="J83" i="11"/>
  <c r="H83" i="11"/>
  <c r="CE223" i="9"/>
  <c r="BL223" i="9"/>
  <c r="CE222" i="9"/>
  <c r="BL222" i="9"/>
  <c r="CV243" i="9"/>
  <c r="AE131" i="20"/>
  <c r="AE136" i="20" s="1"/>
  <c r="CR243" i="9"/>
  <c r="AP82" i="15"/>
  <c r="AP43" i="15" s="1"/>
  <c r="AA193" i="9"/>
  <c r="F226" i="9"/>
  <c r="F228" i="9"/>
  <c r="F227" i="9"/>
  <c r="L77" i="9"/>
  <c r="L76" i="9"/>
  <c r="AD69" i="9"/>
  <c r="AG70" i="9"/>
  <c r="BR216" i="9"/>
  <c r="BR213" i="9"/>
  <c r="BR212" i="9"/>
  <c r="AA185" i="9"/>
  <c r="AA191" i="9"/>
  <c r="AA189" i="9"/>
  <c r="AA190" i="9"/>
  <c r="AA188" i="9"/>
  <c r="AA187" i="9"/>
  <c r="AA192" i="9"/>
  <c r="AA194" i="9"/>
  <c r="AA186" i="9"/>
  <c r="CA206" i="9"/>
  <c r="BR210" i="9"/>
  <c r="BR214" i="9"/>
  <c r="BR211" i="9"/>
  <c r="BT217" i="9"/>
  <c r="BW214" i="9" s="1"/>
  <c r="BX214" i="9" s="1"/>
  <c r="BY214" i="9" s="1"/>
  <c r="BZ214" i="9" s="1"/>
  <c r="CA214" i="9" s="1"/>
  <c r="CB214" i="9" s="1"/>
  <c r="DI238" i="9"/>
  <c r="DX241" i="9" s="1"/>
  <c r="CW239" i="9"/>
  <c r="CW243" i="9" s="1"/>
  <c r="CW233" i="9" s="1"/>
  <c r="E147" i="15"/>
  <c r="E155" i="15" s="1"/>
  <c r="C165" i="15" s="1"/>
  <c r="AR81" i="15"/>
  <c r="AR42" i="15" s="1"/>
  <c r="CO223" i="9"/>
  <c r="CF224" i="9" s="1"/>
  <c r="BA213" i="9"/>
  <c r="BD81" i="22" l="1"/>
  <c r="G165" i="22" s="1"/>
  <c r="AR42" i="22"/>
  <c r="AD210" i="9"/>
  <c r="M83" i="11"/>
  <c r="N83" i="11" s="1"/>
  <c r="BL219" i="9"/>
  <c r="BK219" i="9"/>
  <c r="AS219" i="9"/>
  <c r="AR219" i="9"/>
  <c r="AS221" i="9"/>
  <c r="AR221" i="9"/>
  <c r="BL221" i="9"/>
  <c r="BK221" i="9"/>
  <c r="DA246" i="9"/>
  <c r="DB246" i="9" s="1"/>
  <c r="AS224" i="9"/>
  <c r="BK224" i="9"/>
  <c r="BM224" i="9" s="1"/>
  <c r="CG224" i="9"/>
  <c r="BP210" i="9"/>
  <c r="BL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Q258" i="9"/>
  <c r="F14" i="17" s="1"/>
  <c r="H14" i="17" s="1"/>
  <c r="X125" i="15"/>
  <c r="F229" i="9"/>
  <c r="K226" i="9" s="1"/>
  <c r="L226" i="9" s="1"/>
  <c r="N226" i="9" s="1"/>
  <c r="AJ67" i="9"/>
  <c r="AJ68" i="9"/>
  <c r="AK68" i="9" s="1"/>
  <c r="AL68" i="9" s="1"/>
  <c r="AM68" i="9" s="1"/>
  <c r="AN68" i="9" s="1"/>
  <c r="AO68" i="9" s="1"/>
  <c r="AD70" i="9"/>
  <c r="AJ69" i="9"/>
  <c r="AK69" i="9" s="1"/>
  <c r="AL69" i="9" s="1"/>
  <c r="AM69" i="9" s="1"/>
  <c r="AN69" i="9" s="1"/>
  <c r="AO69" i="9" s="1"/>
  <c r="AA195" i="9"/>
  <c r="BM260" i="9"/>
  <c r="BO260" i="9" s="1"/>
  <c r="BW210" i="9"/>
  <c r="BX210" i="9" s="1"/>
  <c r="BY210" i="9" s="1"/>
  <c r="G177" i="15"/>
  <c r="BW211" i="9"/>
  <c r="BX211" i="9" s="1"/>
  <c r="BY211" i="9" s="1"/>
  <c r="BZ211" i="9" s="1"/>
  <c r="CA211" i="9" s="1"/>
  <c r="CB211" i="9" s="1"/>
  <c r="BR217" i="9"/>
  <c r="BW213" i="9"/>
  <c r="BX213" i="9" s="1"/>
  <c r="BY213" i="9" s="1"/>
  <c r="BZ213" i="9" s="1"/>
  <c r="CA213" i="9" s="1"/>
  <c r="CB213" i="9" s="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BW216" i="9"/>
  <c r="BX216" i="9" s="1"/>
  <c r="BY216" i="9" s="1"/>
  <c r="BZ216" i="9" s="1"/>
  <c r="CA216" i="9" s="1"/>
  <c r="CB216" i="9" s="1"/>
  <c r="BL35" i="9"/>
  <c r="F8" i="17" s="1"/>
  <c r="J36" i="11"/>
  <c r="AX130" i="9"/>
  <c r="AE130" i="9"/>
  <c r="AH130" i="9" s="1"/>
  <c r="BM219" i="9" l="1"/>
  <c r="AZ61" i="22"/>
  <c r="BD100" i="22"/>
  <c r="G184" i="22" s="1"/>
  <c r="AK125" i="22"/>
  <c r="E211" i="22" s="1"/>
  <c r="X132" i="22"/>
  <c r="AT221" i="9"/>
  <c r="H8" i="17"/>
  <c r="BD66" i="20"/>
  <c r="BG109" i="20"/>
  <c r="J193" i="20" s="1"/>
  <c r="AT219" i="9"/>
  <c r="AR137" i="9"/>
  <c r="Z138" i="9"/>
  <c r="AA138" i="9" s="1"/>
  <c r="BM221" i="9"/>
  <c r="DF237" i="9"/>
  <c r="DI237" i="9" s="1"/>
  <c r="N240" i="9"/>
  <c r="AH233" i="9"/>
  <c r="N241" i="9" s="1"/>
  <c r="BD100" i="15"/>
  <c r="G184" i="15" s="1"/>
  <c r="AZ61" i="15"/>
  <c r="AC195" i="9"/>
  <c r="AU91" i="20" s="1"/>
  <c r="G14" i="17"/>
  <c r="I14" i="17" s="1"/>
  <c r="BD118" i="20"/>
  <c r="F218" i="20" s="1"/>
  <c r="X132" i="15"/>
  <c r="AK125" i="15"/>
  <c r="E211" i="15" s="1"/>
  <c r="BR258" i="9"/>
  <c r="C110" i="11" s="1"/>
  <c r="E110" i="11" s="1"/>
  <c r="BQ259" i="9"/>
  <c r="H229" i="9"/>
  <c r="F13" i="17"/>
  <c r="H13" i="17" s="1"/>
  <c r="AK67" i="9"/>
  <c r="AL67" i="9" s="1"/>
  <c r="AM67" i="9" s="1"/>
  <c r="AN67" i="9" s="1"/>
  <c r="AJ70" i="9"/>
  <c r="AN63" i="9"/>
  <c r="AE67" i="9"/>
  <c r="AE68" i="9"/>
  <c r="AE69" i="9"/>
  <c r="BW217" i="9"/>
  <c r="G8" i="17"/>
  <c r="I8" i="17" s="1"/>
  <c r="AE131" i="9"/>
  <c r="I35" i="11" s="1"/>
  <c r="C64" i="11" s="1"/>
  <c r="E64" i="11" s="1"/>
  <c r="N65" i="11" s="1"/>
  <c r="L65" i="11" s="1"/>
  <c r="EB134" i="9"/>
  <c r="EE132" i="9"/>
  <c r="AX131" i="9"/>
  <c r="BA130" i="9"/>
  <c r="BQ130" i="9"/>
  <c r="BT130" i="9" s="1"/>
  <c r="Y46" i="9" l="1"/>
  <c r="BK89" i="22"/>
  <c r="DF241" i="9"/>
  <c r="AU48" i="20"/>
  <c r="DA247" i="9"/>
  <c r="DB247" i="9" s="1"/>
  <c r="DX242" i="9"/>
  <c r="BK137" i="9"/>
  <c r="AS137" i="9"/>
  <c r="AT137" i="9" s="1"/>
  <c r="EQ142" i="9"/>
  <c r="ES142" i="9" s="1"/>
  <c r="G13" i="17"/>
  <c r="I13" i="17" s="1"/>
  <c r="BR259" i="9"/>
  <c r="CA254" i="9" s="1"/>
  <c r="BT258" i="9"/>
  <c r="BW258" i="9" s="1"/>
  <c r="BX258" i="9" s="1"/>
  <c r="BY258" i="9" s="1"/>
  <c r="BZ258" i="9" s="1"/>
  <c r="CA258" i="9" s="1"/>
  <c r="CA259" i="9" s="1"/>
  <c r="BJ89" i="15"/>
  <c r="E8" i="12"/>
  <c r="M117" i="15"/>
  <c r="AK117" i="15" s="1"/>
  <c r="EL126" i="9"/>
  <c r="EC131" i="9"/>
  <c r="EC130" i="9"/>
  <c r="EC132" i="9"/>
  <c r="EC133" i="9"/>
  <c r="K227" i="9"/>
  <c r="AE70" i="9"/>
  <c r="AN70" i="9"/>
  <c r="AO67" i="9"/>
  <c r="AO70" i="9" s="1"/>
  <c r="AO63" i="9" s="1"/>
  <c r="K111" i="11"/>
  <c r="G186" i="15"/>
  <c r="DG237" i="9"/>
  <c r="EB160" i="9"/>
  <c r="DP233" i="9"/>
  <c r="DG238" i="9"/>
  <c r="DG240" i="9"/>
  <c r="DG239" i="9"/>
  <c r="DI241" i="9"/>
  <c r="G35" i="11"/>
  <c r="N35" i="11" s="1"/>
  <c r="AS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AO126" i="9" s="1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EE134" i="9"/>
  <c r="EH132" i="9" s="1"/>
  <c r="EI132" i="9" s="1"/>
  <c r="EJ132" i="9" s="1"/>
  <c r="EK132" i="9" s="1"/>
  <c r="EL132" i="9" s="1"/>
  <c r="DW107" i="9" l="1"/>
  <c r="EB105" i="9" s="1"/>
  <c r="AK128" i="22"/>
  <c r="E214" i="22" s="1"/>
  <c r="G214" i="22" s="1"/>
  <c r="AF132" i="22"/>
  <c r="M132" i="22"/>
  <c r="AK117" i="22"/>
  <c r="E203" i="22" s="1"/>
  <c r="G203" i="22" s="1"/>
  <c r="AZ83" i="15"/>
  <c r="AZ44" i="15" s="1"/>
  <c r="AZ44" i="22"/>
  <c r="K155" i="9"/>
  <c r="F10" i="17" s="1"/>
  <c r="H10" i="17" s="1"/>
  <c r="H157" i="9"/>
  <c r="F18" i="17"/>
  <c r="G18" i="17" s="1"/>
  <c r="I18" i="17" s="1"/>
  <c r="EC105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BT259" i="9"/>
  <c r="CB259" i="9" s="1"/>
  <c r="CB254" i="9" s="1"/>
  <c r="BC87" i="20" s="1"/>
  <c r="DV131" i="9"/>
  <c r="D34" i="12" s="1"/>
  <c r="DW120" i="9"/>
  <c r="EB118" i="9" s="1"/>
  <c r="EC118" i="9" s="1"/>
  <c r="C280" i="11" s="1"/>
  <c r="ES117" i="9"/>
  <c r="F16" i="17" s="1"/>
  <c r="CE139" i="9"/>
  <c r="CG139" i="9" s="1"/>
  <c r="AU113" i="9"/>
  <c r="AW91" i="20" s="1"/>
  <c r="W46" i="9"/>
  <c r="L6" i="13" s="1"/>
  <c r="P121" i="20"/>
  <c r="AN121" i="20" s="1"/>
  <c r="H207" i="20" s="1"/>
  <c r="BM93" i="20"/>
  <c r="BN93" i="20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U222" i="9" s="1"/>
  <c r="C222" i="11"/>
  <c r="EB106" i="9"/>
  <c r="L155" i="9"/>
  <c r="K156" i="9"/>
  <c r="I111" i="11"/>
  <c r="C116" i="11"/>
  <c r="K110" i="11"/>
  <c r="E111" i="11" s="1"/>
  <c r="CB258" i="9"/>
  <c r="DA237" i="9"/>
  <c r="EL152" i="9"/>
  <c r="BC69" i="22" s="1"/>
  <c r="DL237" i="9"/>
  <c r="DM237" i="9" s="1"/>
  <c r="DN237" i="9" s="1"/>
  <c r="DO237" i="9" s="1"/>
  <c r="DP237" i="9" s="1"/>
  <c r="DG241" i="9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DL238" i="9"/>
  <c r="DM238" i="9" s="1"/>
  <c r="DN238" i="9" s="1"/>
  <c r="DO238" i="9" s="1"/>
  <c r="DP238" i="9" s="1"/>
  <c r="DC237" i="9" s="1"/>
  <c r="DY107" i="9"/>
  <c r="N38" i="11"/>
  <c r="N36" i="11"/>
  <c r="F35" i="11"/>
  <c r="F38" i="11" s="1"/>
  <c r="G38" i="11" s="1"/>
  <c r="H141" i="9"/>
  <c r="H149" i="9" s="1"/>
  <c r="AS130" i="9"/>
  <c r="BQ132" i="9"/>
  <c r="BM113" i="9"/>
  <c r="BM116" i="9" s="1"/>
  <c r="AZ91" i="20" s="1"/>
  <c r="AZ48" i="20" s="1"/>
  <c r="BK116" i="9"/>
  <c r="F11" i="17" s="1"/>
  <c r="BT131" i="9"/>
  <c r="BL140" i="9" s="1"/>
  <c r="EH130" i="9"/>
  <c r="EH133" i="9"/>
  <c r="EI133" i="9" s="1"/>
  <c r="EJ133" i="9" s="1"/>
  <c r="EK133" i="9" s="1"/>
  <c r="EL133" i="9" s="1"/>
  <c r="EM133" i="9" s="1"/>
  <c r="EH131" i="9"/>
  <c r="EI131" i="9" s="1"/>
  <c r="EJ131" i="9" s="1"/>
  <c r="EK131" i="9" s="1"/>
  <c r="EL131" i="9" s="1"/>
  <c r="EM132" i="9"/>
  <c r="BD90" i="22" l="1"/>
  <c r="G174" i="22" s="1"/>
  <c r="AT51" i="22"/>
  <c r="AT114" i="22"/>
  <c r="C207" i="22" s="1"/>
  <c r="N132" i="22"/>
  <c r="AW114" i="22"/>
  <c r="C210" i="22" s="1"/>
  <c r="BD95" i="22"/>
  <c r="G179" i="22" s="1"/>
  <c r="AW56" i="22"/>
  <c r="S132" i="22"/>
  <c r="AK121" i="22"/>
  <c r="E207" i="22" s="1"/>
  <c r="AK129" i="22"/>
  <c r="E215" i="22" s="1"/>
  <c r="G215" i="22" s="1"/>
  <c r="AG132" i="22"/>
  <c r="BD109" i="22"/>
  <c r="G193" i="22" s="1"/>
  <c r="BC70" i="22"/>
  <c r="AR45" i="22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F91" i="20" s="1"/>
  <c r="BF48" i="20" s="1"/>
  <c r="AK131" i="9"/>
  <c r="AL131" i="9" s="1"/>
  <c r="AM131" i="9" s="1"/>
  <c r="AN131" i="9" s="1"/>
  <c r="AO131" i="9" s="1"/>
  <c r="AP131" i="9" s="1"/>
  <c r="AW48" i="20"/>
  <c r="BC44" i="20"/>
  <c r="AT138" i="9"/>
  <c r="EB119" i="9"/>
  <c r="F17" i="17"/>
  <c r="G17" i="17" s="1"/>
  <c r="I17" i="17" s="1"/>
  <c r="DY120" i="9"/>
  <c r="BM140" i="9"/>
  <c r="E280" i="11"/>
  <c r="K280" i="11" s="1"/>
  <c r="C288" i="11"/>
  <c r="C287" i="11" s="1"/>
  <c r="C290" i="11" s="1"/>
  <c r="AT140" i="9"/>
  <c r="H9" i="17"/>
  <c r="G16" i="17"/>
  <c r="I16" i="17" s="1"/>
  <c r="H16" i="17"/>
  <c r="CE141" i="9"/>
  <c r="BL139" i="9"/>
  <c r="BM139" i="9" s="1"/>
  <c r="G11" i="17"/>
  <c r="I11" i="17" s="1"/>
  <c r="H11" i="17"/>
  <c r="G9" i="17"/>
  <c r="I9" i="17" s="1"/>
  <c r="P136" i="20"/>
  <c r="N227" i="9"/>
  <c r="Q226" i="9" s="1"/>
  <c r="R226" i="9" s="1"/>
  <c r="S226" i="9" s="1"/>
  <c r="AH232" i="9"/>
  <c r="Z234" i="9" s="1"/>
  <c r="AH231" i="9"/>
  <c r="Y234" i="9"/>
  <c r="Y233" i="9"/>
  <c r="BD109" i="15"/>
  <c r="G193" i="15" s="1"/>
  <c r="BC70" i="15"/>
  <c r="AU130" i="9"/>
  <c r="F16" i="14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EE105" i="9"/>
  <c r="EC106" i="9"/>
  <c r="EL101" i="9" s="1"/>
  <c r="EE118" i="9"/>
  <c r="EC119" i="9"/>
  <c r="EL114" i="9" s="1"/>
  <c r="N155" i="9"/>
  <c r="C247" i="11"/>
  <c r="L156" i="9"/>
  <c r="U151" i="9" s="1"/>
  <c r="L144" i="9"/>
  <c r="K145" i="9"/>
  <c r="C115" i="11"/>
  <c r="E115" i="11" s="1"/>
  <c r="E116" i="11" s="1"/>
  <c r="I110" i="11"/>
  <c r="G172" i="15"/>
  <c r="DQ238" i="9"/>
  <c r="DC239" i="9" s="1"/>
  <c r="DQ237" i="9"/>
  <c r="DP241" i="9"/>
  <c r="DL241" i="9"/>
  <c r="CA126" i="9"/>
  <c r="F17" i="12"/>
  <c r="F39" i="11"/>
  <c r="G39" i="11" s="1"/>
  <c r="O38" i="11" s="1"/>
  <c r="E35" i="11"/>
  <c r="E39" i="11" s="1"/>
  <c r="V14" i="11" s="1"/>
  <c r="I38" i="11"/>
  <c r="CL143" i="9" s="1"/>
  <c r="CO143" i="9" s="1"/>
  <c r="O36" i="11"/>
  <c r="AP130" i="9"/>
  <c r="EM131" i="9"/>
  <c r="EH134" i="9"/>
  <c r="EI130" i="9"/>
  <c r="EJ130" i="9" s="1"/>
  <c r="EK130" i="9" s="1"/>
  <c r="EL130" i="9" s="1"/>
  <c r="BT132" i="9"/>
  <c r="BW130" i="9" s="1"/>
  <c r="BI130" i="9"/>
  <c r="BH132" i="9" l="1"/>
  <c r="BD132" i="9"/>
  <c r="I155" i="22"/>
  <c r="C169" i="22" s="1"/>
  <c r="BC44" i="22"/>
  <c r="J155" i="22"/>
  <c r="C170" i="22" s="1"/>
  <c r="G207" i="22"/>
  <c r="H17" i="17"/>
  <c r="AK132" i="9"/>
  <c r="AO132" i="9"/>
  <c r="K281" i="11"/>
  <c r="I281" i="11" s="1"/>
  <c r="C291" i="11"/>
  <c r="Z233" i="9"/>
  <c r="AA233" i="9" s="1"/>
  <c r="AA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E232" i="9" s="1"/>
  <c r="K222" i="11"/>
  <c r="E223" i="11"/>
  <c r="EE106" i="9"/>
  <c r="EH105" i="9" s="1"/>
  <c r="EI105" i="9" s="1"/>
  <c r="EJ105" i="9" s="1"/>
  <c r="EK105" i="9" s="1"/>
  <c r="EL105" i="9" s="1"/>
  <c r="EM105" i="9" s="1"/>
  <c r="K265" i="11"/>
  <c r="I265" i="11" s="1"/>
  <c r="K264" i="11"/>
  <c r="E265" i="11"/>
  <c r="I280" i="11"/>
  <c r="EE119" i="9"/>
  <c r="EH118" i="9" s="1"/>
  <c r="EI118" i="9" s="1"/>
  <c r="EJ118" i="9" s="1"/>
  <c r="EK118" i="9" s="1"/>
  <c r="EL118" i="9" s="1"/>
  <c r="EM118" i="9" s="1"/>
  <c r="N156" i="9"/>
  <c r="Q155" i="9" s="1"/>
  <c r="R155" i="9" s="1"/>
  <c r="S155" i="9" s="1"/>
  <c r="T155" i="9" s="1"/>
  <c r="U155" i="9" s="1"/>
  <c r="V155" i="9" s="1"/>
  <c r="E247" i="11"/>
  <c r="N144" i="9"/>
  <c r="L145" i="9"/>
  <c r="U140" i="9" s="1"/>
  <c r="E112" i="11"/>
  <c r="K112" i="11" s="1"/>
  <c r="C111" i="11"/>
  <c r="D16" i="14"/>
  <c r="D18" i="14"/>
  <c r="DQ241" i="9"/>
  <c r="DQ233" i="9" s="1"/>
  <c r="CZ237" i="9" s="1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W94" i="20" s="1"/>
  <c r="E31" i="12"/>
  <c r="EM130" i="9"/>
  <c r="DX133" i="9" s="1"/>
  <c r="D35" i="14" s="1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H155" i="22" l="1"/>
  <c r="C168" i="22" s="1"/>
  <c r="BC47" i="22"/>
  <c r="BD86" i="22"/>
  <c r="G170" i="22" s="1"/>
  <c r="AQ46" i="22"/>
  <c r="BD85" i="22"/>
  <c r="G169" i="22" s="1"/>
  <c r="W132" i="22"/>
  <c r="AK124" i="22"/>
  <c r="E210" i="22" s="1"/>
  <c r="G210" i="22" s="1"/>
  <c r="BD99" i="22"/>
  <c r="G183" i="22" s="1"/>
  <c r="AY60" i="22"/>
  <c r="E287" i="11"/>
  <c r="G287" i="11" s="1"/>
  <c r="H287" i="11" s="1"/>
  <c r="E281" i="11"/>
  <c r="G281" i="11" s="1"/>
  <c r="W132" i="15"/>
  <c r="AW51" i="20"/>
  <c r="BG94" i="20"/>
  <c r="Y142" i="9"/>
  <c r="Y139" i="9"/>
  <c r="AZ99" i="20"/>
  <c r="CF141" i="9"/>
  <c r="CG141" i="9" s="1"/>
  <c r="BD86" i="15"/>
  <c r="BC47" i="15"/>
  <c r="BD99" i="15"/>
  <c r="G183" i="15" s="1"/>
  <c r="AY60" i="15"/>
  <c r="BD85" i="15"/>
  <c r="G169" i="15" s="1"/>
  <c r="CB130" i="9"/>
  <c r="BN132" i="9" s="1"/>
  <c r="BN130" i="9"/>
  <c r="V125" i="20"/>
  <c r="AU131" i="9"/>
  <c r="F17" i="14" s="1"/>
  <c r="DC238" i="9"/>
  <c r="AI132" i="20"/>
  <c r="AR130" i="9"/>
  <c r="Q122" i="20"/>
  <c r="Q136" i="20" s="1"/>
  <c r="AU132" i="9"/>
  <c r="F18" i="14" s="1"/>
  <c r="AH147" i="9"/>
  <c r="Z142" i="9" s="1"/>
  <c r="AH146" i="9"/>
  <c r="AQ84" i="15"/>
  <c r="AQ45" i="15" s="1"/>
  <c r="H150" i="15"/>
  <c r="H155" i="15" s="1"/>
  <c r="C168" i="15" s="1"/>
  <c r="C223" i="11"/>
  <c r="E224" i="11"/>
  <c r="I222" i="11"/>
  <c r="AE231" i="9" s="1"/>
  <c r="C230" i="11"/>
  <c r="C231" i="11"/>
  <c r="I264" i="11"/>
  <c r="EM106" i="9"/>
  <c r="EM101" i="9" s="1"/>
  <c r="F28" i="17" s="1"/>
  <c r="G28" i="17" s="1"/>
  <c r="EL106" i="9"/>
  <c r="E266" i="11"/>
  <c r="C265" i="11"/>
  <c r="EM119" i="9"/>
  <c r="EM114" i="9" s="1"/>
  <c r="EL119" i="9"/>
  <c r="E248" i="11"/>
  <c r="K248" i="11"/>
  <c r="I248" i="11" s="1"/>
  <c r="K247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I112" i="11"/>
  <c r="C112" i="11"/>
  <c r="D14" i="12"/>
  <c r="BD80" i="15"/>
  <c r="G164" i="15" s="1"/>
  <c r="D17" i="14"/>
  <c r="BT144" i="9"/>
  <c r="CE142" i="9" s="1"/>
  <c r="D16" i="12"/>
  <c r="I44" i="11"/>
  <c r="J39" i="11"/>
  <c r="J44" i="11" s="1"/>
  <c r="CL119" i="9"/>
  <c r="CV114" i="9" s="1"/>
  <c r="D33" i="12"/>
  <c r="EM134" i="9"/>
  <c r="EM126" i="9" s="1"/>
  <c r="CO119" i="9"/>
  <c r="CR118" i="9" s="1"/>
  <c r="CS118" i="9" s="1"/>
  <c r="BW132" i="9"/>
  <c r="CA132" i="9"/>
  <c r="E282" i="11" l="1"/>
  <c r="E283" i="11" s="1"/>
  <c r="C281" i="11"/>
  <c r="BK102" i="22"/>
  <c r="AQ45" i="22"/>
  <c r="BD84" i="22"/>
  <c r="G168" i="22" s="1"/>
  <c r="G232" i="11"/>
  <c r="G231" i="11" s="1"/>
  <c r="G230" i="11" s="1"/>
  <c r="C236" i="11"/>
  <c r="E232" i="11"/>
  <c r="E230" i="11" s="1"/>
  <c r="C237" i="11"/>
  <c r="AZ56" i="20"/>
  <c r="BG99" i="20"/>
  <c r="J183" i="20" s="1"/>
  <c r="Z139" i="9"/>
  <c r="AA139" i="9" s="1"/>
  <c r="Z141" i="9"/>
  <c r="AA141" i="9" s="1"/>
  <c r="AA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E146" i="9"/>
  <c r="AE147" i="9"/>
  <c r="I247" i="11"/>
  <c r="E249" i="11"/>
  <c r="C248" i="11"/>
  <c r="K167" i="9"/>
  <c r="N168" i="9"/>
  <c r="Y143" i="9" s="1"/>
  <c r="C113" i="11"/>
  <c r="I113" i="11"/>
  <c r="BK100" i="15"/>
  <c r="F13" i="13"/>
  <c r="BK89" i="15"/>
  <c r="D54" i="11"/>
  <c r="E60" i="11"/>
  <c r="N60" i="11" s="1"/>
  <c r="G16" i="14"/>
  <c r="D15" i="12"/>
  <c r="F15" i="12"/>
  <c r="F16" i="12"/>
  <c r="DX132" i="9"/>
  <c r="D34" i="14" s="1"/>
  <c r="DU131" i="9"/>
  <c r="CB132" i="9"/>
  <c r="CB126" i="9" s="1"/>
  <c r="G18" i="14"/>
  <c r="CT118" i="9"/>
  <c r="CU118" i="9" s="1"/>
  <c r="CV118" i="9" s="1"/>
  <c r="Z132" i="22" l="1"/>
  <c r="E231" i="11"/>
  <c r="C238" i="11"/>
  <c r="N230" i="11" s="1"/>
  <c r="E61" i="11"/>
  <c r="N61" i="11" s="1"/>
  <c r="BB103" i="20"/>
  <c r="BK130" i="9"/>
  <c r="J197" i="20"/>
  <c r="BF70" i="20"/>
  <c r="J173" i="20"/>
  <c r="AT46" i="20"/>
  <c r="J174" i="20"/>
  <c r="BF47" i="20"/>
  <c r="BN131" i="9"/>
  <c r="G17" i="14" s="1"/>
  <c r="Z128" i="20"/>
  <c r="J211" i="20"/>
  <c r="AN133" i="20"/>
  <c r="H219" i="20" s="1"/>
  <c r="J219" i="20" s="1"/>
  <c r="AJ136" i="20"/>
  <c r="AE233" i="9"/>
  <c r="K241" i="9"/>
  <c r="K242" i="9" s="1"/>
  <c r="U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U163" i="9" s="1"/>
  <c r="AH148" i="9"/>
  <c r="Z143" i="9" s="1"/>
  <c r="AA143" i="9" s="1"/>
  <c r="K249" i="11"/>
  <c r="C249" i="11"/>
  <c r="C250" i="11" s="1"/>
  <c r="E250" i="11"/>
  <c r="N169" i="9"/>
  <c r="Q167" i="9" s="1"/>
  <c r="R167" i="9" s="1"/>
  <c r="S167" i="9" s="1"/>
  <c r="T167" i="9" s="1"/>
  <c r="U167" i="9" s="1"/>
  <c r="V167" i="9" s="1"/>
  <c r="G14" i="12"/>
  <c r="G16" i="12"/>
  <c r="D32" i="12"/>
  <c r="CW118" i="9"/>
  <c r="CW119" i="9" s="1"/>
  <c r="CW114" i="9" s="1"/>
  <c r="CV119" i="9"/>
  <c r="AR43" i="22" l="1"/>
  <c r="AR114" i="22"/>
  <c r="C205" i="22" s="1"/>
  <c r="AQ43" i="22"/>
  <c r="AQ114" i="22"/>
  <c r="C204" i="22" s="1"/>
  <c r="M230" i="11"/>
  <c r="BB60" i="20"/>
  <c r="BG103" i="20"/>
  <c r="J187" i="20" s="1"/>
  <c r="C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E234" i="9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9" i="11"/>
  <c r="I250" i="11" s="1"/>
  <c r="K250" i="11"/>
  <c r="L167" i="9"/>
  <c r="G15" i="12"/>
  <c r="O230" i="11" l="1"/>
  <c r="P230" i="11" s="1"/>
  <c r="BQ145" i="9"/>
  <c r="CL146" i="9"/>
  <c r="CO146" i="9" s="1"/>
  <c r="L61" i="11"/>
  <c r="AR114" i="15"/>
  <c r="C205" i="15" s="1"/>
  <c r="AR43" i="15"/>
  <c r="L169" i="9"/>
  <c r="V168" i="9"/>
  <c r="V169" i="9" s="1"/>
  <c r="V163" i="9" s="1"/>
  <c r="AQ114" i="15"/>
  <c r="C204" i="15" s="1"/>
  <c r="AF233" i="9"/>
  <c r="AF232" i="9"/>
  <c r="AF231" i="9"/>
  <c r="AK146" i="9"/>
  <c r="AK147" i="9"/>
  <c r="AL147" i="9" s="1"/>
  <c r="AM147" i="9" s="1"/>
  <c r="AN147" i="9" s="1"/>
  <c r="AO147" i="9" s="1"/>
  <c r="AP147" i="9" s="1"/>
  <c r="AE149" i="9"/>
  <c r="AH212" i="9"/>
  <c r="AH213" i="9"/>
  <c r="BA214" i="9"/>
  <c r="H228" i="9"/>
  <c r="AC194" i="9"/>
  <c r="AC193" i="9"/>
  <c r="AC189" i="9"/>
  <c r="H226" i="9"/>
  <c r="AC190" i="9"/>
  <c r="H227" i="9"/>
  <c r="AC191" i="9"/>
  <c r="AC186" i="9"/>
  <c r="AC188" i="9"/>
  <c r="AC185" i="9"/>
  <c r="BA216" i="9"/>
  <c r="CO226" i="9"/>
  <c r="CF227" i="9" s="1"/>
  <c r="CG227" i="9" s="1"/>
  <c r="AC187" i="9"/>
  <c r="AC192" i="9"/>
  <c r="AH216" i="9"/>
  <c r="P63" i="9" l="1"/>
  <c r="T63" i="9" s="1"/>
  <c r="U63" i="9" s="1"/>
  <c r="V63" i="9" s="1"/>
  <c r="P226" i="9"/>
  <c r="T226" i="9" s="1"/>
  <c r="U226" i="9" s="1"/>
  <c r="V226" i="9" s="1"/>
  <c r="P144" i="9"/>
  <c r="T144" i="9" s="1"/>
  <c r="U144" i="9" s="1"/>
  <c r="V144" i="9" s="1"/>
  <c r="V227" i="9"/>
  <c r="V222" i="9" s="1"/>
  <c r="AU88" i="20" s="1"/>
  <c r="AU45" i="20" s="1"/>
  <c r="U227" i="9"/>
  <c r="V64" i="9"/>
  <c r="V59" i="9" s="1"/>
  <c r="U64" i="9"/>
  <c r="V145" i="9"/>
  <c r="V140" i="9" s="1"/>
  <c r="U145" i="9"/>
  <c r="CF143" i="9"/>
  <c r="BQ146" i="9"/>
  <c r="BT145" i="9"/>
  <c r="AS225" i="9"/>
  <c r="BK225" i="9"/>
  <c r="BM225" i="9" s="1"/>
  <c r="AR227" i="9"/>
  <c r="Z242" i="9"/>
  <c r="AA242" i="9" s="1"/>
  <c r="BK227" i="9"/>
  <c r="BM227" i="9" s="1"/>
  <c r="AS227" i="9"/>
  <c r="Z239" i="9"/>
  <c r="AA239" i="9" s="1"/>
  <c r="AR224" i="9"/>
  <c r="AT224" i="9" s="1"/>
  <c r="Z238" i="9"/>
  <c r="AA238" i="9" s="1"/>
  <c r="AR223" i="9"/>
  <c r="AT86" i="20"/>
  <c r="AF147" i="9"/>
  <c r="AO142" i="9"/>
  <c r="AF146" i="9"/>
  <c r="AF148" i="9"/>
  <c r="AK149" i="9"/>
  <c r="AL146" i="9"/>
  <c r="AM146" i="9" s="1"/>
  <c r="AN146" i="9" s="1"/>
  <c r="AO146" i="9" s="1"/>
  <c r="AH215" i="9"/>
  <c r="AH214" i="9"/>
  <c r="CO224" i="9"/>
  <c r="CF225" i="9" s="1"/>
  <c r="CG225" i="9" s="1"/>
  <c r="BA215" i="9"/>
  <c r="BK91" i="22" l="1"/>
  <c r="AS88" i="20"/>
  <c r="AS45" i="20" s="1"/>
  <c r="AA46" i="9"/>
  <c r="Q29" i="9"/>
  <c r="Q28" i="9"/>
  <c r="K154" i="20"/>
  <c r="K159" i="20" s="1"/>
  <c r="F172" i="20" s="1"/>
  <c r="F24" i="17"/>
  <c r="G24" i="17" s="1"/>
  <c r="AT88" i="20"/>
  <c r="AT118" i="20" s="1"/>
  <c r="F208" i="20" s="1"/>
  <c r="AA130" i="9"/>
  <c r="AA132" i="9"/>
  <c r="E18" i="14" s="1"/>
  <c r="CE143" i="9"/>
  <c r="CG143" i="9" s="1"/>
  <c r="BT146" i="9"/>
  <c r="BW144" i="9" s="1"/>
  <c r="CA140" i="9"/>
  <c r="BR144" i="9"/>
  <c r="BR145" i="9"/>
  <c r="BK226" i="9"/>
  <c r="BM226" i="9" s="1"/>
  <c r="AS226" i="9"/>
  <c r="AT227" i="9"/>
  <c r="Z240" i="9"/>
  <c r="AA240" i="9" s="1"/>
  <c r="AR225" i="9"/>
  <c r="AT225" i="9" s="1"/>
  <c r="Z241" i="9"/>
  <c r="AA241" i="9" s="1"/>
  <c r="AR226" i="9"/>
  <c r="AT43" i="20"/>
  <c r="O118" i="15"/>
  <c r="O132" i="15" s="1"/>
  <c r="Y130" i="9"/>
  <c r="E17" i="12" s="1"/>
  <c r="BJ91" i="15"/>
  <c r="AO149" i="9"/>
  <c r="AP146" i="9"/>
  <c r="AP149" i="9" s="1"/>
  <c r="AP142" i="9" s="1"/>
  <c r="AF149" i="9"/>
  <c r="BA211" i="9"/>
  <c r="CO225" i="9"/>
  <c r="CF226" i="9" s="1"/>
  <c r="CG226" i="9" s="1"/>
  <c r="AY82" i="15" l="1"/>
  <c r="AY43" i="15" s="1"/>
  <c r="O132" i="22"/>
  <c r="AK118" i="22"/>
  <c r="E204" i="22" s="1"/>
  <c r="G204" i="22" s="1"/>
  <c r="E16" i="12"/>
  <c r="BG88" i="20"/>
  <c r="J172" i="20" s="1"/>
  <c r="AT45" i="20"/>
  <c r="E16" i="14"/>
  <c r="E14" i="12"/>
  <c r="AT226" i="9"/>
  <c r="E5" i="12"/>
  <c r="E7" i="14"/>
  <c r="D8" i="14"/>
  <c r="D6" i="12"/>
  <c r="D7" i="12"/>
  <c r="D9" i="14"/>
  <c r="BW145" i="9"/>
  <c r="BX145" i="9" s="1"/>
  <c r="BY145" i="9" s="1"/>
  <c r="BZ145" i="9" s="1"/>
  <c r="CA145" i="9" s="1"/>
  <c r="CB145" i="9" s="1"/>
  <c r="BX144" i="9"/>
  <c r="BY144" i="9" s="1"/>
  <c r="BZ144" i="9" s="1"/>
  <c r="CA144" i="9" s="1"/>
  <c r="AS222" i="9"/>
  <c r="BK222" i="9"/>
  <c r="BM222" i="9" s="1"/>
  <c r="R122" i="20"/>
  <c r="AN122" i="20" s="1"/>
  <c r="H208" i="20" s="1"/>
  <c r="J208" i="20" s="1"/>
  <c r="W130" i="9"/>
  <c r="L12" i="13" s="1"/>
  <c r="BM95" i="20"/>
  <c r="BN95" i="20" s="1"/>
  <c r="AA131" i="9"/>
  <c r="X130" i="9"/>
  <c r="AK118" i="15"/>
  <c r="E204" i="15" s="1"/>
  <c r="CO221" i="9"/>
  <c r="CF222" i="9" s="1"/>
  <c r="CG222" i="9" s="1"/>
  <c r="CV217" i="9"/>
  <c r="CM223" i="9"/>
  <c r="CM226" i="9"/>
  <c r="CM224" i="9"/>
  <c r="CM225" i="9"/>
  <c r="CM222" i="9"/>
  <c r="CO222" i="9"/>
  <c r="E21" i="13" l="1"/>
  <c r="E23" i="13" s="1"/>
  <c r="BK106" i="22"/>
  <c r="AY43" i="22"/>
  <c r="BW146" i="9"/>
  <c r="R136" i="20"/>
  <c r="CB144" i="9"/>
  <c r="CB146" i="9" s="1"/>
  <c r="CB140" i="9" s="1"/>
  <c r="CA146" i="9"/>
  <c r="CO227" i="9"/>
  <c r="CR221" i="9" s="1"/>
  <c r="CS221" i="9" s="1"/>
  <c r="CT221" i="9" s="1"/>
  <c r="CU221" i="9" s="1"/>
  <c r="CV221" i="9" s="1"/>
  <c r="CW221" i="9" s="1"/>
  <c r="CF223" i="9"/>
  <c r="CG223" i="9" s="1"/>
  <c r="AD127" i="15"/>
  <c r="AD132" i="15" s="1"/>
  <c r="BJ106" i="15"/>
  <c r="BK106" i="15" s="1"/>
  <c r="E17" i="14"/>
  <c r="E15" i="12"/>
  <c r="BK97" i="15"/>
  <c r="CR226" i="9"/>
  <c r="CS226" i="9" s="1"/>
  <c r="CT226" i="9" s="1"/>
  <c r="CU226" i="9" s="1"/>
  <c r="CV226" i="9" s="1"/>
  <c r="CW226" i="9" s="1"/>
  <c r="CR222" i="9"/>
  <c r="CS222" i="9" s="1"/>
  <c r="CT222" i="9" s="1"/>
  <c r="CU222" i="9" s="1"/>
  <c r="CV222" i="9" s="1"/>
  <c r="CW222" i="9" s="1"/>
  <c r="CR224" i="9"/>
  <c r="CS224" i="9" s="1"/>
  <c r="CT224" i="9" s="1"/>
  <c r="CU224" i="9" s="1"/>
  <c r="CV224" i="9" s="1"/>
  <c r="CW224" i="9" s="1"/>
  <c r="AD132" i="22" l="1"/>
  <c r="CR225" i="9"/>
  <c r="CS225" i="9" s="1"/>
  <c r="CT225" i="9" s="1"/>
  <c r="CU225" i="9" s="1"/>
  <c r="CV225" i="9" s="1"/>
  <c r="CW225" i="9" s="1"/>
  <c r="CR223" i="9"/>
  <c r="CS223" i="9" s="1"/>
  <c r="CT223" i="9" s="1"/>
  <c r="CU223" i="9" s="1"/>
  <c r="CV223" i="9" s="1"/>
  <c r="CW223" i="9" s="1"/>
  <c r="CW227" i="9" s="1"/>
  <c r="CW217" i="9" s="1"/>
  <c r="BB86" i="20"/>
  <c r="BB43" i="20" s="1"/>
  <c r="AX217" i="9"/>
  <c r="BA212" i="9"/>
  <c r="CV227" i="9" l="1"/>
  <c r="CR227" i="9"/>
  <c r="AS223" i="9"/>
  <c r="AT223" i="9" s="1"/>
  <c r="BK223" i="9"/>
  <c r="BM223" i="9" s="1"/>
  <c r="AS220" i="9"/>
  <c r="BK220" i="9"/>
  <c r="BM220" i="9" s="1"/>
  <c r="AG131" i="20"/>
  <c r="AG136" i="20" s="1"/>
  <c r="BM110" i="20"/>
  <c r="BN110" i="20" s="1"/>
  <c r="BK194" i="9"/>
  <c r="BM194" i="9" s="1"/>
  <c r="L216" i="9"/>
  <c r="AH211" i="9" s="1"/>
  <c r="L210" i="9"/>
  <c r="AY215" i="9"/>
  <c r="AY213" i="9"/>
  <c r="AY212" i="9"/>
  <c r="BH206" i="9"/>
  <c r="L215" i="9"/>
  <c r="AE217" i="9"/>
  <c r="L211" i="9"/>
  <c r="L214" i="9"/>
  <c r="AF212" i="9"/>
  <c r="AY211" i="9"/>
  <c r="BK193" i="9"/>
  <c r="BM193" i="9" s="1"/>
  <c r="AY210" i="9"/>
  <c r="AF210" i="9"/>
  <c r="Y222" i="9" s="1"/>
  <c r="Y221" i="9" s="1"/>
  <c r="AF214" i="9"/>
  <c r="L212" i="9"/>
  <c r="AF215" i="9"/>
  <c r="AY214" i="9"/>
  <c r="AY216" i="9"/>
  <c r="AF213" i="9"/>
  <c r="BK190" i="9"/>
  <c r="BK192" i="9"/>
  <c r="BM192" i="9" s="1"/>
  <c r="AF211" i="9"/>
  <c r="BK191" i="9"/>
  <c r="BM191" i="9" s="1"/>
  <c r="L213" i="9"/>
  <c r="AF216" i="9"/>
  <c r="Z237" i="9" l="1"/>
  <c r="AA237" i="9" s="1"/>
  <c r="AR222" i="9"/>
  <c r="AT222" i="9" s="1"/>
  <c r="AR220" i="9"/>
  <c r="AT220" i="9" s="1"/>
  <c r="Z235" i="9"/>
  <c r="T122" i="15"/>
  <c r="T132" i="15" s="1"/>
  <c r="AX96" i="15"/>
  <c r="AX57" i="15" s="1"/>
  <c r="BL210" i="9"/>
  <c r="AO206" i="9"/>
  <c r="AS190" i="9"/>
  <c r="Y216" i="9"/>
  <c r="Y219" i="9"/>
  <c r="Y217" i="9"/>
  <c r="Y218" i="9"/>
  <c r="Y220" i="9"/>
  <c r="BK195" i="9"/>
  <c r="BM190" i="9"/>
  <c r="BM195" i="9" s="1"/>
  <c r="AX114" i="22" l="1"/>
  <c r="C211" i="22" s="1"/>
  <c r="G211" i="22" s="1"/>
  <c r="BD96" i="22"/>
  <c r="G180" i="22" s="1"/>
  <c r="AX57" i="22"/>
  <c r="T132" i="22"/>
  <c r="AK122" i="22"/>
  <c r="E208" i="22" s="1"/>
  <c r="AK122" i="15"/>
  <c r="E208" i="15" s="1"/>
  <c r="BA91" i="20"/>
  <c r="BA48" i="20" s="1"/>
  <c r="AU190" i="9"/>
  <c r="AX91" i="20" s="1"/>
  <c r="F15" i="17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S210" i="9"/>
  <c r="Z210" i="9"/>
  <c r="G22" i="12"/>
  <c r="P132" i="22" l="1"/>
  <c r="BD92" i="22"/>
  <c r="G176" i="22" s="1"/>
  <c r="AU114" i="22"/>
  <c r="C208" i="22" s="1"/>
  <c r="G208" i="22" s="1"/>
  <c r="AU53" i="22"/>
  <c r="N157" i="20"/>
  <c r="N159" i="20" s="1"/>
  <c r="F175" i="20" s="1"/>
  <c r="F25" i="17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M227" i="9" l="1"/>
  <c r="C59" i="11"/>
  <c r="BT156" i="9"/>
  <c r="BR157" i="9"/>
  <c r="CA152" i="9"/>
  <c r="G155" i="22" l="1"/>
  <c r="C167" i="22" s="1"/>
  <c r="CE144" i="9"/>
  <c r="CE140" i="9"/>
  <c r="G149" i="15"/>
  <c r="G155" i="15" s="1"/>
  <c r="C167" i="15" s="1"/>
  <c r="AY83" i="15"/>
  <c r="AY44" i="15" s="1"/>
  <c r="E59" i="11"/>
  <c r="C62" i="11"/>
  <c r="BW156" i="9"/>
  <c r="BX156" i="9" s="1"/>
  <c r="BY156" i="9" s="1"/>
  <c r="BZ156" i="9" s="1"/>
  <c r="CA156" i="9" s="1"/>
  <c r="CA157" i="9" s="1"/>
  <c r="BT157" i="9"/>
  <c r="AY44" i="22" l="1"/>
  <c r="BD83" i="22"/>
  <c r="G167" i="22" s="1"/>
  <c r="AY114" i="22"/>
  <c r="C212" i="22" s="1"/>
  <c r="N62" i="11"/>
  <c r="N59" i="11"/>
  <c r="E62" i="11"/>
  <c r="N63" i="11" s="1"/>
  <c r="L62" i="11"/>
  <c r="CB156" i="9"/>
  <c r="CB152" i="9" s="1"/>
  <c r="F26" i="17" s="1"/>
  <c r="G26" i="17" s="1"/>
  <c r="BD83" i="15"/>
  <c r="G167" i="15" s="1"/>
  <c r="AY114" i="15"/>
  <c r="C212" i="15" s="1"/>
  <c r="CB157" i="9"/>
  <c r="D51" i="11"/>
  <c r="BB87" i="20" l="1"/>
  <c r="J153" i="20"/>
  <c r="J159" i="20" s="1"/>
  <c r="F171" i="20" s="1"/>
  <c r="CG132" i="9"/>
  <c r="H18" i="14" s="1"/>
  <c r="F61" i="11"/>
  <c r="F60" i="11"/>
  <c r="O59" i="11" s="1"/>
  <c r="F59" i="11"/>
  <c r="BB44" i="20" l="1"/>
  <c r="BG87" i="20"/>
  <c r="J171" i="20" s="1"/>
  <c r="F62" i="11"/>
  <c r="BB118" i="20"/>
  <c r="F216" i="20" s="1"/>
  <c r="L59" i="11"/>
  <c r="O60" i="11"/>
  <c r="L60" i="11" s="1"/>
  <c r="O63" i="11"/>
  <c r="O61" i="11"/>
  <c r="H16" i="12"/>
  <c r="CL145" i="9" l="1"/>
  <c r="CO145" i="9" s="1"/>
  <c r="CL142" i="9"/>
  <c r="CO142" i="9" s="1"/>
  <c r="CL144" i="9"/>
  <c r="CO144" i="9" s="1"/>
  <c r="CF140" i="9" s="1"/>
  <c r="H51" i="11"/>
  <c r="CF144" i="9" l="1"/>
  <c r="CF142" i="9"/>
  <c r="CG140" i="9"/>
  <c r="CM143" i="9"/>
  <c r="O62" i="11"/>
  <c r="L63" i="11"/>
  <c r="F14" i="13" l="1"/>
  <c r="F15" i="13" s="1"/>
  <c r="CG144" i="9"/>
  <c r="AO227" i="9"/>
  <c r="BK93" i="22" l="1"/>
  <c r="CL147" i="9"/>
  <c r="Q119" i="15"/>
  <c r="AK119" i="15" s="1"/>
  <c r="E205" i="15" s="1"/>
  <c r="BJ93" i="15"/>
  <c r="BK93" i="15" s="1"/>
  <c r="AF234" i="9"/>
  <c r="BK101" i="15"/>
  <c r="Q132" i="22" l="1"/>
  <c r="AK119" i="22"/>
  <c r="E205" i="22" s="1"/>
  <c r="G205" i="22" s="1"/>
  <c r="Q132" i="15"/>
  <c r="CM146" i="9"/>
  <c r="CM142" i="9"/>
  <c r="CM145" i="9"/>
  <c r="CM144" i="9"/>
  <c r="CV138" i="9"/>
  <c r="BK103" i="22" l="1"/>
  <c r="CM147" i="9"/>
  <c r="AA126" i="15"/>
  <c r="BJ103" i="15"/>
  <c r="BK103" i="15" s="1"/>
  <c r="CE130" i="9"/>
  <c r="H17" i="12" s="1"/>
  <c r="AA132" i="22" l="1"/>
  <c r="AK126" i="22"/>
  <c r="E212" i="22" s="1"/>
  <c r="G212" i="22" s="1"/>
  <c r="AA132" i="15"/>
  <c r="AK126" i="15"/>
  <c r="E212" i="15" s="1"/>
  <c r="C92" i="11"/>
  <c r="I91" i="11" s="1"/>
  <c r="C93" i="11" l="1"/>
  <c r="J91" i="11" l="1"/>
  <c r="C94" i="11"/>
  <c r="K91" i="11" s="1"/>
  <c r="J210" i="9"/>
  <c r="AW210" i="9"/>
  <c r="L91" i="11" l="1"/>
  <c r="M91" i="11" s="1"/>
  <c r="BV210" i="9" s="1"/>
  <c r="BZ210" i="9" s="1"/>
  <c r="CA210" i="9" s="1"/>
  <c r="CB210" i="9" s="1"/>
  <c r="C96" i="11"/>
  <c r="BC210" i="9" l="1"/>
  <c r="AJ210" i="9" s="1"/>
  <c r="P210" i="9" s="1"/>
  <c r="D93" i="11"/>
  <c r="D92" i="11"/>
  <c r="D95" i="11"/>
  <c r="D91" i="11"/>
  <c r="D94" i="11"/>
  <c r="BA217" i="9" l="1"/>
  <c r="AK213" i="9" s="1"/>
  <c r="AL213" i="9" s="1"/>
  <c r="AM213" i="9" s="1"/>
  <c r="AN213" i="9" s="1"/>
  <c r="AO213" i="9" s="1"/>
  <c r="AP213" i="9" s="1"/>
  <c r="AH217" i="9"/>
  <c r="N217" i="9"/>
  <c r="CB217" i="9"/>
  <c r="CB206" i="9" s="1"/>
  <c r="CA217" i="9"/>
  <c r="Q213" i="9" l="1"/>
  <c r="R213" i="9" s="1"/>
  <c r="S213" i="9" s="1"/>
  <c r="T213" i="9" s="1"/>
  <c r="U213" i="9" s="1"/>
  <c r="V213" i="9" s="1"/>
  <c r="Q211" i="9"/>
  <c r="R211" i="9" s="1"/>
  <c r="S211" i="9" s="1"/>
  <c r="T211" i="9" s="1"/>
  <c r="U211" i="9" s="1"/>
  <c r="V211" i="9" s="1"/>
  <c r="BD214" i="9"/>
  <c r="BE214" i="9" s="1"/>
  <c r="BF214" i="9" s="1"/>
  <c r="BG214" i="9" s="1"/>
  <c r="BH214" i="9" s="1"/>
  <c r="BI214" i="9" s="1"/>
  <c r="Q215" i="9"/>
  <c r="R215" i="9" s="1"/>
  <c r="S215" i="9" s="1"/>
  <c r="T215" i="9" s="1"/>
  <c r="U215" i="9" s="1"/>
  <c r="V215" i="9" s="1"/>
  <c r="AK216" i="9"/>
  <c r="AL216" i="9" s="1"/>
  <c r="AM216" i="9" s="1"/>
  <c r="AN216" i="9" s="1"/>
  <c r="AO216" i="9" s="1"/>
  <c r="AP216" i="9" s="1"/>
  <c r="AK212" i="9"/>
  <c r="AL212" i="9" s="1"/>
  <c r="AM212" i="9" s="1"/>
  <c r="AN212" i="9" s="1"/>
  <c r="AO212" i="9" s="1"/>
  <c r="AP212" i="9" s="1"/>
  <c r="BD213" i="9"/>
  <c r="BE213" i="9" s="1"/>
  <c r="BF213" i="9" s="1"/>
  <c r="BG213" i="9" s="1"/>
  <c r="BH213" i="9" s="1"/>
  <c r="BI213" i="9" s="1"/>
  <c r="BD211" i="9"/>
  <c r="BE211" i="9" s="1"/>
  <c r="BF211" i="9" s="1"/>
  <c r="BG211" i="9" s="1"/>
  <c r="BH211" i="9" s="1"/>
  <c r="BI211" i="9" s="1"/>
  <c r="BD216" i="9"/>
  <c r="BE216" i="9" s="1"/>
  <c r="BF216" i="9" s="1"/>
  <c r="BG216" i="9" s="1"/>
  <c r="BH216" i="9" s="1"/>
  <c r="BI216" i="9" s="1"/>
  <c r="Q214" i="9"/>
  <c r="R214" i="9" s="1"/>
  <c r="S214" i="9" s="1"/>
  <c r="T214" i="9" s="1"/>
  <c r="U214" i="9" s="1"/>
  <c r="V214" i="9" s="1"/>
  <c r="BD210" i="9"/>
  <c r="BE210" i="9" s="1"/>
  <c r="BF210" i="9" s="1"/>
  <c r="BG210" i="9" s="1"/>
  <c r="BH210" i="9" s="1"/>
  <c r="BN210" i="9" s="1"/>
  <c r="Q216" i="9"/>
  <c r="R216" i="9" s="1"/>
  <c r="S216" i="9" s="1"/>
  <c r="T216" i="9" s="1"/>
  <c r="U216" i="9" s="1"/>
  <c r="V216" i="9" s="1"/>
  <c r="BD212" i="9"/>
  <c r="BE212" i="9" s="1"/>
  <c r="BF212" i="9" s="1"/>
  <c r="BG212" i="9" s="1"/>
  <c r="BH212" i="9" s="1"/>
  <c r="BI212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0" i="9"/>
  <c r="BD215" i="9"/>
  <c r="BE215" i="9" s="1"/>
  <c r="BF215" i="9" s="1"/>
  <c r="BG215" i="9" s="1"/>
  <c r="BH215" i="9" s="1"/>
  <c r="BI215" i="9" s="1"/>
  <c r="Q212" i="9"/>
  <c r="R212" i="9" s="1"/>
  <c r="S212" i="9" s="1"/>
  <c r="T212" i="9" s="1"/>
  <c r="U212" i="9" s="1"/>
  <c r="V212" i="9" s="1"/>
  <c r="Q210" i="9"/>
  <c r="R210" i="9" s="1"/>
  <c r="S210" i="9" s="1"/>
  <c r="T210" i="9" s="1"/>
  <c r="U210" i="9" s="1"/>
  <c r="Q193" i="9" s="1"/>
  <c r="BC104" i="20"/>
  <c r="AA129" i="20"/>
  <c r="AK215" i="9"/>
  <c r="AL215" i="9" s="1"/>
  <c r="AM215" i="9" s="1"/>
  <c r="AN215" i="9" s="1"/>
  <c r="AO215" i="9" s="1"/>
  <c r="AP215" i="9" s="1"/>
  <c r="AK217" i="9" l="1"/>
  <c r="BH217" i="9"/>
  <c r="BD217" i="9"/>
  <c r="AL210" i="9"/>
  <c r="AM210" i="9" s="1"/>
  <c r="AN210" i="9" s="1"/>
  <c r="AO210" i="9" s="1"/>
  <c r="AB210" i="9" s="1"/>
  <c r="BI210" i="9"/>
  <c r="V210" i="9"/>
  <c r="U217" i="9"/>
  <c r="Q217" i="9"/>
  <c r="BC61" i="20"/>
  <c r="BG104" i="20"/>
  <c r="J188" i="20" s="1"/>
  <c r="AU210" i="9"/>
  <c r="F24" i="14" s="1"/>
  <c r="AN129" i="20"/>
  <c r="H215" i="20" s="1"/>
  <c r="AA136" i="20"/>
  <c r="V217" i="9"/>
  <c r="V206" i="9" s="1"/>
  <c r="AU85" i="20" s="1"/>
  <c r="Q195" i="9"/>
  <c r="BI217" i="9"/>
  <c r="BI206" i="9" s="1"/>
  <c r="BA100" i="20" s="1"/>
  <c r="AP210" i="9"/>
  <c r="AO217" i="9"/>
  <c r="F22" i="12" l="1"/>
  <c r="BA57" i="20"/>
  <c r="BG100" i="20"/>
  <c r="AU42" i="20"/>
  <c r="BG85" i="20"/>
  <c r="BK210" i="9"/>
  <c r="W126" i="20"/>
  <c r="BN212" i="9"/>
  <c r="BN211" i="9"/>
  <c r="H151" i="20"/>
  <c r="H159" i="20" s="1"/>
  <c r="F169" i="20" s="1"/>
  <c r="Q194" i="9"/>
  <c r="E24" i="14"/>
  <c r="E22" i="12"/>
  <c r="D24" i="14"/>
  <c r="D22" i="12"/>
  <c r="AP217" i="9"/>
  <c r="AP206" i="9" s="1"/>
  <c r="AX96" i="20" s="1"/>
  <c r="AX53" i="20" l="1"/>
  <c r="BG96" i="20"/>
  <c r="S123" i="20"/>
  <c r="AR210" i="9"/>
  <c r="AU212" i="9"/>
  <c r="J169" i="20"/>
  <c r="BA118" i="20"/>
  <c r="F215" i="20" s="1"/>
  <c r="J215" i="20" s="1"/>
  <c r="J184" i="20"/>
  <c r="AU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Q76" i="9"/>
  <c r="R76" i="9" s="1"/>
  <c r="S76" i="9" s="1"/>
  <c r="T76" i="9" s="1"/>
  <c r="U76" i="9" s="1"/>
  <c r="BK96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AA48" i="9"/>
  <c r="X46" i="9"/>
  <c r="AA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A88" i="11"/>
  <c r="AD91" i="11" l="1"/>
  <c r="AA91" i="1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EB159" i="9"/>
  <c r="AC98" i="11"/>
  <c r="EB156" i="9"/>
  <c r="C152" i="11"/>
  <c r="EM237" i="9"/>
  <c r="AK98" i="11"/>
  <c r="C186" i="11"/>
  <c r="BQ229" i="9"/>
  <c r="BQ232" i="9" l="1"/>
  <c r="BT232" i="9" s="1"/>
  <c r="EM240" i="9"/>
  <c r="EP240" i="9" s="1"/>
  <c r="C189" i="11"/>
  <c r="F189" i="11" s="1"/>
  <c r="AK101" i="11"/>
  <c r="F186" i="11"/>
  <c r="F152" i="11"/>
  <c r="E203" i="11"/>
  <c r="EC156" i="9"/>
  <c r="EE156" i="9"/>
  <c r="EP237" i="9"/>
  <c r="BQ231" i="9"/>
  <c r="EM239" i="9"/>
  <c r="AK100" i="11"/>
  <c r="C188" i="11"/>
  <c r="Z99" i="11"/>
  <c r="AA102" i="11"/>
  <c r="EC159" i="9"/>
  <c r="EE159" i="9"/>
  <c r="F155" i="11"/>
  <c r="EB158" i="9"/>
  <c r="AC100" i="11"/>
  <c r="C154" i="11"/>
  <c r="BT229" i="9"/>
  <c r="AH99" i="11"/>
  <c r="AI102" i="11"/>
  <c r="DY244" i="9" l="1"/>
  <c r="DZ244" i="9" s="1"/>
  <c r="F188" i="11"/>
  <c r="EP239" i="9"/>
  <c r="BT231" i="9"/>
  <c r="EC158" i="9"/>
  <c r="EE158" i="9"/>
  <c r="C187" i="11"/>
  <c r="BQ230" i="9"/>
  <c r="EM238" i="9"/>
  <c r="AK99" i="11"/>
  <c r="F154" i="11"/>
  <c r="AC99" i="11"/>
  <c r="EB157" i="9"/>
  <c r="C153" i="11"/>
  <c r="DY243" i="9" l="1"/>
  <c r="DZ243" i="9" s="1"/>
  <c r="EE157" i="9"/>
  <c r="EC157" i="9"/>
  <c r="AK102" i="11"/>
  <c r="AC102" i="11"/>
  <c r="AD98" i="11" s="1"/>
  <c r="EP238" i="9"/>
  <c r="EM241" i="9"/>
  <c r="EW233" i="9" s="1"/>
  <c r="F153" i="11"/>
  <c r="C156" i="11"/>
  <c r="BT230" i="9"/>
  <c r="BQ233" i="9"/>
  <c r="F187" i="11"/>
  <c r="C190" i="11"/>
  <c r="D187" i="11" s="1"/>
  <c r="C203" i="11"/>
  <c r="C202" i="11" s="1"/>
  <c r="BI108" i="15" l="1"/>
  <c r="BK108" i="15" s="1"/>
  <c r="BK108" i="22"/>
  <c r="DY241" i="9"/>
  <c r="DZ241" i="9" s="1"/>
  <c r="DY242" i="9"/>
  <c r="DZ242" i="9" s="1"/>
  <c r="EQ143" i="9"/>
  <c r="EQ145" i="9"/>
  <c r="CE218" i="9"/>
  <c r="CE219" i="9"/>
  <c r="AL99" i="11"/>
  <c r="AL98" i="11"/>
  <c r="D189" i="11"/>
  <c r="D186" i="11"/>
  <c r="D188" i="11"/>
  <c r="CA225" i="9"/>
  <c r="BR232" i="9"/>
  <c r="EN240" i="9"/>
  <c r="BR229" i="9"/>
  <c r="EN237" i="9"/>
  <c r="EN239" i="9"/>
  <c r="BR231" i="9"/>
  <c r="BT233" i="9"/>
  <c r="ES238" i="9" s="1"/>
  <c r="ET238" i="9" s="1"/>
  <c r="EU238" i="9" s="1"/>
  <c r="EV238" i="9" s="1"/>
  <c r="EW238" i="9" s="1"/>
  <c r="EX238" i="9" s="1"/>
  <c r="EP241" i="9"/>
  <c r="AD101" i="11"/>
  <c r="G152" i="11"/>
  <c r="AD100" i="11"/>
  <c r="G155" i="11"/>
  <c r="AD99" i="11"/>
  <c r="BR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N238" i="9"/>
  <c r="G154" i="11"/>
  <c r="EE160" i="9"/>
  <c r="AZ108" i="15" l="1"/>
  <c r="C199" i="11"/>
  <c r="H199" i="11" s="1"/>
  <c r="H200" i="11" s="1"/>
  <c r="E199" i="11"/>
  <c r="J199" i="11" s="1"/>
  <c r="J200" i="11" s="1"/>
  <c r="BD108" i="15"/>
  <c r="G192" i="15" s="1"/>
  <c r="AZ69" i="15"/>
  <c r="BW230" i="9"/>
  <c r="BX230" i="9" s="1"/>
  <c r="BY230" i="9" s="1"/>
  <c r="BZ230" i="9" s="1"/>
  <c r="CA230" i="9" s="1"/>
  <c r="CB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S240" i="9"/>
  <c r="ET240" i="9" s="1"/>
  <c r="EU240" i="9" s="1"/>
  <c r="EV240" i="9" s="1"/>
  <c r="EW240" i="9" s="1"/>
  <c r="EX240" i="9" s="1"/>
  <c r="BW232" i="9"/>
  <c r="BX232" i="9" s="1"/>
  <c r="BY232" i="9" s="1"/>
  <c r="BZ232" i="9" s="1"/>
  <c r="CA232" i="9" s="1"/>
  <c r="CB232" i="9" s="1"/>
  <c r="BW229" i="9"/>
  <c r="ES237" i="9"/>
  <c r="ES239" i="9"/>
  <c r="ET239" i="9" s="1"/>
  <c r="EU239" i="9" s="1"/>
  <c r="EV239" i="9" s="1"/>
  <c r="EW239" i="9" s="1"/>
  <c r="EX239" i="9" s="1"/>
  <c r="BW231" i="9"/>
  <c r="BX231" i="9" s="1"/>
  <c r="BY231" i="9" s="1"/>
  <c r="BZ231" i="9" s="1"/>
  <c r="CA231" i="9" s="1"/>
  <c r="CB231" i="9" s="1"/>
  <c r="EN241" i="9"/>
  <c r="AL102" i="11"/>
  <c r="D156" i="11"/>
  <c r="G156" i="11"/>
  <c r="AD102" i="11"/>
  <c r="G189" i="11"/>
  <c r="G186" i="11"/>
  <c r="G188" i="11"/>
  <c r="BR233" i="9"/>
  <c r="D190" i="11"/>
  <c r="EH159" i="9"/>
  <c r="EI159" i="9" s="1"/>
  <c r="EJ159" i="9" s="1"/>
  <c r="EK159" i="9" s="1"/>
  <c r="EL159" i="9" s="1"/>
  <c r="EM159" i="9" s="1"/>
  <c r="EH156" i="9"/>
  <c r="EH158" i="9"/>
  <c r="EI158" i="9" s="1"/>
  <c r="EJ158" i="9" s="1"/>
  <c r="EK158" i="9" s="1"/>
  <c r="EL158" i="9" s="1"/>
  <c r="EM158" i="9" s="1"/>
  <c r="EH157" i="9"/>
  <c r="EI157" i="9" s="1"/>
  <c r="EJ157" i="9" s="1"/>
  <c r="EK157" i="9" s="1"/>
  <c r="EL157" i="9" s="1"/>
  <c r="EM157" i="9" s="1"/>
  <c r="AZ69" i="22" l="1"/>
  <c r="BD108" i="22"/>
  <c r="G192" i="22" s="1"/>
  <c r="C206" i="11"/>
  <c r="C207" i="11" s="1"/>
  <c r="E207" i="11" s="1"/>
  <c r="H207" i="11" s="1"/>
  <c r="Q186" i="11"/>
  <c r="M186" i="11"/>
  <c r="CL254" i="9" s="1"/>
  <c r="CO254" i="9" s="1"/>
  <c r="M187" i="11"/>
  <c r="CL255" i="9" s="1"/>
  <c r="CO255" i="9" s="1"/>
  <c r="CF218" i="9" s="1"/>
  <c r="CG218" i="9" s="1"/>
  <c r="Q187" i="11"/>
  <c r="ES241" i="9"/>
  <c r="ET237" i="9"/>
  <c r="EU237" i="9" s="1"/>
  <c r="EV237" i="9" s="1"/>
  <c r="EW237" i="9" s="1"/>
  <c r="BW233" i="9"/>
  <c r="BX229" i="9"/>
  <c r="BY229" i="9" s="1"/>
  <c r="BZ229" i="9" s="1"/>
  <c r="CA229" i="9" s="1"/>
  <c r="EH160" i="9"/>
  <c r="EI156" i="9"/>
  <c r="EJ156" i="9" s="1"/>
  <c r="EK156" i="9" s="1"/>
  <c r="EL156" i="9" s="1"/>
  <c r="FB146" i="9"/>
  <c r="G190" i="11"/>
  <c r="FB145" i="9"/>
  <c r="C171" i="11"/>
  <c r="C172" i="11" s="1"/>
  <c r="F159" i="11" s="1"/>
  <c r="F192" i="11" l="1"/>
  <c r="C192" i="11" s="1"/>
  <c r="BQ246" i="9" s="1"/>
  <c r="BT246" i="9" s="1"/>
  <c r="CF220" i="9"/>
  <c r="FE146" i="9"/>
  <c r="G7" i="13"/>
  <c r="G8" i="13" s="1"/>
  <c r="FE145" i="9"/>
  <c r="ER143" i="9" s="1"/>
  <c r="ES143" i="9" s="1"/>
  <c r="F193" i="11"/>
  <c r="C193" i="11" s="1"/>
  <c r="P188" i="11"/>
  <c r="EW241" i="9"/>
  <c r="EX237" i="9"/>
  <c r="EX241" i="9" s="1"/>
  <c r="EX233" i="9" s="1"/>
  <c r="BL112" i="20" s="1"/>
  <c r="BN112" i="20" s="1"/>
  <c r="EM156" i="9"/>
  <c r="EM160" i="9" s="1"/>
  <c r="EM152" i="9" s="1"/>
  <c r="EL160" i="9"/>
  <c r="CB229" i="9"/>
  <c r="CB233" i="9" s="1"/>
  <c r="CB225" i="9" s="1"/>
  <c r="CA233" i="9"/>
  <c r="F160" i="11"/>
  <c r="F161" i="11" s="1"/>
  <c r="G159" i="11" s="1"/>
  <c r="C159" i="11"/>
  <c r="ER145" i="9" l="1"/>
  <c r="ES145" i="9" s="1"/>
  <c r="ER144" i="9"/>
  <c r="C194" i="11"/>
  <c r="D192" i="11" s="1"/>
  <c r="BQ247" i="9"/>
  <c r="BC112" i="20"/>
  <c r="M188" i="11"/>
  <c r="Q188" i="11"/>
  <c r="Q189" i="11" s="1"/>
  <c r="P189" i="11"/>
  <c r="BF112" i="20"/>
  <c r="BF69" i="20" s="1"/>
  <c r="EB144" i="9"/>
  <c r="G160" i="11"/>
  <c r="G161" i="11" s="1"/>
  <c r="C160" i="11"/>
  <c r="C161" i="11" s="1"/>
  <c r="C163" i="11" s="1"/>
  <c r="P154" i="11"/>
  <c r="E172" i="11"/>
  <c r="CF219" i="9"/>
  <c r="CG219" i="9" s="1"/>
  <c r="D193" i="11" l="1"/>
  <c r="C195" i="11"/>
  <c r="BC69" i="20"/>
  <c r="BG112" i="20"/>
  <c r="BQ248" i="9"/>
  <c r="BT247" i="9"/>
  <c r="CE221" i="9" s="1"/>
  <c r="CO256" i="9" s="1"/>
  <c r="M189" i="11"/>
  <c r="D194" i="11"/>
  <c r="L240" i="9"/>
  <c r="L241" i="9"/>
  <c r="CA242" i="9"/>
  <c r="EB145" i="9"/>
  <c r="D160" i="11"/>
  <c r="D159" i="11"/>
  <c r="BR246" i="9"/>
  <c r="BR247" i="9"/>
  <c r="J196" i="20"/>
  <c r="Q154" i="11"/>
  <c r="Q155" i="11" s="1"/>
  <c r="M154" i="11"/>
  <c r="P155" i="11"/>
  <c r="EE144" i="9"/>
  <c r="EQ144" i="9" s="1"/>
  <c r="ES144" i="9" s="1"/>
  <c r="AZ82" i="15" l="1"/>
  <c r="AZ43" i="15" s="1"/>
  <c r="D161" i="11"/>
  <c r="CL256" i="9"/>
  <c r="CF221" i="9"/>
  <c r="CG221" i="9" s="1"/>
  <c r="Y236" i="9"/>
  <c r="BR248" i="9"/>
  <c r="CL257" i="9"/>
  <c r="M155" i="11"/>
  <c r="N154" i="11" s="1"/>
  <c r="EE145" i="9"/>
  <c r="EQ146" i="9" s="1"/>
  <c r="FB147" i="9"/>
  <c r="AZ114" i="15"/>
  <c r="C213" i="15" s="1"/>
  <c r="L242" i="9"/>
  <c r="Y235" i="9"/>
  <c r="AA235" i="9" s="1"/>
  <c r="N186" i="11"/>
  <c r="N187" i="11"/>
  <c r="EE146" i="9"/>
  <c r="EH144" i="9" s="1"/>
  <c r="EI144" i="9" s="1"/>
  <c r="EJ144" i="9" s="1"/>
  <c r="EK144" i="9" s="1"/>
  <c r="EL144" i="9" s="1"/>
  <c r="EB146" i="9"/>
  <c r="EC145" i="9" s="1"/>
  <c r="N188" i="11"/>
  <c r="AZ114" i="22" l="1"/>
  <c r="C213" i="22" s="1"/>
  <c r="AZ43" i="22"/>
  <c r="CE220" i="9"/>
  <c r="CG220" i="9" s="1"/>
  <c r="Z236" i="9"/>
  <c r="AA236" i="9" s="1"/>
  <c r="AH234" i="9"/>
  <c r="AK233" i="9" s="1"/>
  <c r="AL233" i="9" s="1"/>
  <c r="AM233" i="9" s="1"/>
  <c r="AN233" i="9" s="1"/>
  <c r="AO233" i="9" s="1"/>
  <c r="AP233" i="9" s="1"/>
  <c r="N189" i="11"/>
  <c r="EM144" i="9"/>
  <c r="EH145" i="9"/>
  <c r="EI145" i="9" s="1"/>
  <c r="EJ145" i="9" s="1"/>
  <c r="EK145" i="9" s="1"/>
  <c r="EL145" i="9" s="1"/>
  <c r="EM145" i="9" s="1"/>
  <c r="CV250" i="9"/>
  <c r="CM255" i="9"/>
  <c r="CM254" i="9"/>
  <c r="CO257" i="9"/>
  <c r="BT248" i="9"/>
  <c r="N242" i="9"/>
  <c r="Q240" i="9" s="1"/>
  <c r="R240" i="9" s="1"/>
  <c r="S240" i="9" s="1"/>
  <c r="T240" i="9" s="1"/>
  <c r="U240" i="9" s="1"/>
  <c r="FE147" i="9"/>
  <c r="ER146" i="9" s="1"/>
  <c r="ES146" i="9" s="1"/>
  <c r="FB148" i="9"/>
  <c r="I151" i="11"/>
  <c r="N152" i="11"/>
  <c r="N153" i="11"/>
  <c r="CM256" i="9"/>
  <c r="EL140" i="9"/>
  <c r="EC144" i="9"/>
  <c r="BK107" i="22" l="1"/>
  <c r="EL146" i="9"/>
  <c r="F155" i="22"/>
  <c r="C166" i="22" s="1"/>
  <c r="AK232" i="9"/>
  <c r="AL232" i="9" s="1"/>
  <c r="AM232" i="9" s="1"/>
  <c r="AN232" i="9" s="1"/>
  <c r="AO232" i="9" s="1"/>
  <c r="AP232" i="9" s="1"/>
  <c r="AK231" i="9"/>
  <c r="N155" i="11"/>
  <c r="FL141" i="9"/>
  <c r="FC146" i="9"/>
  <c r="FC145" i="9"/>
  <c r="V240" i="9"/>
  <c r="Q241" i="9"/>
  <c r="R241" i="9" s="1"/>
  <c r="S241" i="9" s="1"/>
  <c r="T241" i="9" s="1"/>
  <c r="U241" i="9" s="1"/>
  <c r="U242" i="9" s="1"/>
  <c r="FC147" i="9"/>
  <c r="BW247" i="9"/>
  <c r="BX247" i="9" s="1"/>
  <c r="BY247" i="9" s="1"/>
  <c r="BZ247" i="9" s="1"/>
  <c r="CA247" i="9" s="1"/>
  <c r="CB247" i="9" s="1"/>
  <c r="CR254" i="9"/>
  <c r="CR255" i="9"/>
  <c r="CR256" i="9"/>
  <c r="CM257" i="9"/>
  <c r="CF210" i="9"/>
  <c r="G25" i="12" s="1"/>
  <c r="AE127" i="15"/>
  <c r="BJ107" i="15"/>
  <c r="BK107" i="15" s="1"/>
  <c r="EM146" i="9"/>
  <c r="EM140" i="9" s="1"/>
  <c r="FE148" i="9"/>
  <c r="FH147" i="9" s="1"/>
  <c r="FI147" i="9" s="1"/>
  <c r="FJ147" i="9" s="1"/>
  <c r="FK147" i="9" s="1"/>
  <c r="FL147" i="9" s="1"/>
  <c r="BW246" i="9"/>
  <c r="BX246" i="9" s="1"/>
  <c r="BY246" i="9" s="1"/>
  <c r="BZ246" i="9" s="1"/>
  <c r="CA246" i="9" s="1"/>
  <c r="CB246" i="9" s="1"/>
  <c r="F148" i="15"/>
  <c r="F155" i="15" s="1"/>
  <c r="C166" i="15" s="1"/>
  <c r="BC82" i="15"/>
  <c r="BC43" i="15" s="1"/>
  <c r="BK111" i="22" l="1"/>
  <c r="I163" i="22" s="1" a="1"/>
  <c r="I163" i="22" s="1"/>
  <c r="BC114" i="22"/>
  <c r="C216" i="22" s="1"/>
  <c r="BC43" i="22"/>
  <c r="BD82" i="22"/>
  <c r="G166" i="22" s="1"/>
  <c r="AE132" i="22"/>
  <c r="AK127" i="22"/>
  <c r="E213" i="22" s="1"/>
  <c r="G213" i="22" s="1"/>
  <c r="AL231" i="9"/>
  <c r="AM231" i="9" s="1"/>
  <c r="AN231" i="9" s="1"/>
  <c r="AO231" i="9" s="1"/>
  <c r="AK234" i="9"/>
  <c r="BF86" i="20"/>
  <c r="ES133" i="9"/>
  <c r="AE132" i="15"/>
  <c r="AK127" i="15"/>
  <c r="E213" i="15" s="1"/>
  <c r="G213" i="15" s="1"/>
  <c r="CB248" i="9"/>
  <c r="CB242" i="9" s="1"/>
  <c r="BC114" i="15"/>
  <c r="C216" i="15" s="1"/>
  <c r="BD82" i="15"/>
  <c r="G166" i="15" s="1"/>
  <c r="CS256" i="9"/>
  <c r="CT256" i="9" s="1"/>
  <c r="CU256" i="9" s="1"/>
  <c r="CV256" i="9" s="1"/>
  <c r="CW256" i="9" s="1"/>
  <c r="CS254" i="9"/>
  <c r="CT254" i="9" s="1"/>
  <c r="CU254" i="9" s="1"/>
  <c r="CV254" i="9" s="1"/>
  <c r="AI130" i="15"/>
  <c r="EQ131" i="9"/>
  <c r="E34" i="12" s="1"/>
  <c r="BJ111" i="15"/>
  <c r="BK111" i="15" s="1"/>
  <c r="I163" i="15" s="1" a="1"/>
  <c r="I163" i="15" s="1"/>
  <c r="CS255" i="9"/>
  <c r="CT255" i="9" s="1"/>
  <c r="CU255" i="9" s="1"/>
  <c r="CV255" i="9" s="1"/>
  <c r="CW255" i="9" s="1"/>
  <c r="V241" i="9"/>
  <c r="V242" i="9" s="1"/>
  <c r="V236" i="9" s="1"/>
  <c r="CA248" i="9"/>
  <c r="FM147" i="9"/>
  <c r="FH146" i="9"/>
  <c r="FI146" i="9" s="1"/>
  <c r="FJ146" i="9" s="1"/>
  <c r="FK146" i="9" s="1"/>
  <c r="FL146" i="9" s="1"/>
  <c r="FM146" i="9" s="1"/>
  <c r="FH145" i="9"/>
  <c r="AI132" i="22" l="1"/>
  <c r="E163" i="22" s="1" a="1"/>
  <c r="AK130" i="22"/>
  <c r="E216" i="22" s="1"/>
  <c r="G216" i="22" s="1"/>
  <c r="AP231" i="9"/>
  <c r="AP234" i="9" s="1"/>
  <c r="AP227" i="9" s="1"/>
  <c r="Y210" i="9" s="1"/>
  <c r="AO234" i="9"/>
  <c r="BF118" i="20"/>
  <c r="F220" i="20" s="1"/>
  <c r="BF43" i="20"/>
  <c r="CW254" i="9"/>
  <c r="CW257" i="9" s="1"/>
  <c r="CW250" i="9" s="1"/>
  <c r="CV257" i="9"/>
  <c r="I152" i="20"/>
  <c r="I159" i="20" s="1"/>
  <c r="F170" i="20" s="1"/>
  <c r="AB212" i="9"/>
  <c r="AB211" i="9"/>
  <c r="AU86" i="20"/>
  <c r="E33" i="12"/>
  <c r="E35" i="14"/>
  <c r="AK130" i="15"/>
  <c r="E216" i="15" s="1"/>
  <c r="G216" i="15" s="1"/>
  <c r="AI132" i="15"/>
  <c r="E163" i="15" s="1" a="1"/>
  <c r="BC86" i="20"/>
  <c r="CH212" i="9"/>
  <c r="FI145" i="9"/>
  <c r="FJ145" i="9" s="1"/>
  <c r="FK145" i="9" s="1"/>
  <c r="FL145" i="9" s="1"/>
  <c r="FH148" i="9"/>
  <c r="E163" i="22" l="1"/>
  <c r="K163" i="22" s="1"/>
  <c r="K181" i="22"/>
  <c r="K196" i="22"/>
  <c r="K190" i="22"/>
  <c r="K176" i="22"/>
  <c r="K171" i="22"/>
  <c r="K177" i="22"/>
  <c r="K191" i="22"/>
  <c r="K192" i="22"/>
  <c r="K172" i="22"/>
  <c r="K193" i="22"/>
  <c r="K173" i="22"/>
  <c r="K195" i="22"/>
  <c r="K175" i="22"/>
  <c r="K174" i="22"/>
  <c r="K183" i="22"/>
  <c r="K194" i="22"/>
  <c r="K178" i="22"/>
  <c r="K184" i="22"/>
  <c r="K179" i="22"/>
  <c r="K180" i="22"/>
  <c r="K186" i="22"/>
  <c r="K187" i="22"/>
  <c r="K182" i="22"/>
  <c r="K188" i="22"/>
  <c r="K185" i="22"/>
  <c r="K189" i="22"/>
  <c r="K164" i="22"/>
  <c r="K165" i="22"/>
  <c r="K169" i="22"/>
  <c r="K170" i="22"/>
  <c r="K168" i="22"/>
  <c r="K167" i="22"/>
  <c r="K166" i="22"/>
  <c r="BG86" i="20"/>
  <c r="J170" i="20" s="1"/>
  <c r="CE210" i="9"/>
  <c r="CH211" i="9"/>
  <c r="X210" i="9"/>
  <c r="L17" i="13" s="1"/>
  <c r="BM97" i="20"/>
  <c r="BN97" i="20" s="1"/>
  <c r="T123" i="20"/>
  <c r="BC118" i="20"/>
  <c r="F217" i="20" s="1"/>
  <c r="BC43" i="20"/>
  <c r="AU118" i="20"/>
  <c r="F209" i="20" s="1"/>
  <c r="AU43" i="20"/>
  <c r="FL148" i="9"/>
  <c r="FM145" i="9"/>
  <c r="FM148" i="9" s="1"/>
  <c r="FM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AH131" i="20"/>
  <c r="CD210" i="9"/>
  <c r="N17" i="13" s="1"/>
  <c r="BM111" i="20"/>
  <c r="BN111" i="20" s="1"/>
  <c r="K197" i="22" l="1"/>
  <c r="T136" i="20"/>
  <c r="AN123" i="20"/>
  <c r="H209" i="20" s="1"/>
  <c r="J209" i="20" s="1"/>
  <c r="G23" i="12"/>
  <c r="G25" i="14"/>
  <c r="AN131" i="20"/>
  <c r="H217" i="20" s="1"/>
  <c r="J217" i="20" s="1"/>
  <c r="AH136" i="20"/>
  <c r="K197" i="15"/>
  <c r="ES132" i="9"/>
  <c r="BM115" i="20"/>
  <c r="BN115" i="20" s="1"/>
  <c r="AL134" i="20"/>
  <c r="EO131" i="9"/>
  <c r="M22" i="13" s="1"/>
  <c r="EP131" i="9"/>
  <c r="E32" i="12" l="1"/>
  <c r="E34" i="14"/>
  <c r="AN134" i="20"/>
  <c r="H220" i="20" s="1"/>
  <c r="J220" i="20" s="1"/>
  <c r="AL136" i="20"/>
  <c r="CO147" i="9" l="1"/>
  <c r="CG142" i="9"/>
  <c r="CR143" i="9" l="1"/>
  <c r="CS143" i="9" s="1"/>
  <c r="CT143" i="9" s="1"/>
  <c r="CU143" i="9" s="1"/>
  <c r="CV143" i="9" s="1"/>
  <c r="CW143" i="9" s="1"/>
  <c r="CR146" i="9"/>
  <c r="CS146" i="9" s="1"/>
  <c r="CT146" i="9" s="1"/>
  <c r="CU146" i="9" s="1"/>
  <c r="CV146" i="9" s="1"/>
  <c r="CW146" i="9" s="1"/>
  <c r="CR145" i="9"/>
  <c r="CS145" i="9" s="1"/>
  <c r="CT145" i="9" s="1"/>
  <c r="CU145" i="9" s="1"/>
  <c r="CV145" i="9" s="1"/>
  <c r="CW145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7" i="9" l="1"/>
  <c r="CW138" i="9" s="1"/>
  <c r="CD130" i="9" s="1"/>
  <c r="T5" i="13" s="1"/>
  <c r="CR147" i="9"/>
  <c r="CV147" i="9"/>
  <c r="AD130" i="20" l="1"/>
  <c r="CG131" i="9"/>
  <c r="CC130" i="9"/>
  <c r="O12" i="13" s="1"/>
  <c r="BM107" i="20"/>
  <c r="BN107" i="20" s="1"/>
  <c r="L167" i="20" s="1" a="1"/>
  <c r="L167" i="20" s="1"/>
  <c r="H15" i="12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<sst xmlns="http://schemas.openxmlformats.org/spreadsheetml/2006/main" count="5614" uniqueCount="673">
  <si>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</si>
  <si>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</si>
  <si>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</si>
  <si>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</si>
  <si>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</si>
  <si>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</si>
  <si>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</si>
  <si>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</si>
  <si>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</si>
  <si>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</si>
  <si>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</si>
  <si>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</si>
  <si>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</si>
  <si>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</si>
  <si>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</si>
  <si>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</si>
  <si>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</si>
  <si>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</si>
  <si>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</si>
  <si>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</si>
  <si>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</si>
  <si>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</si>
  <si>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</si>
  <si>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</si>
  <si>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</si>
  <si>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</si>
  <si>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</si>
  <si>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</si>
  <si>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</si>
  <si>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</si>
  <si>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</si>
  <si>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</si>
  <si>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</si>
  <si>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</si>
  <si>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</si>
  <si>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</si>
  <si>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</si>
  <si>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</si>
  <si>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</si>
  <si>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</si>
  <si>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</si>
  <si>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</si>
  <si>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</si>
  <si>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</si>
  <si>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</si>
  <si>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</si>
  <si>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</si>
  <si>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</si>
  <si>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</si>
  <si>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</si>
  <si>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</si>
  <si>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</si>
  <si>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</si>
  <si>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</si>
  <si>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</si>
  <si>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</si>
  <si>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</si>
  <si>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</si>
  <si>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</si>
  <si>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</si>
  <si>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</si>
  <si>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</si>
  <si>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</si>
  <si>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</si>
  <si>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</si>
  <si>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</si>
  <si>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</si>
  <si>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</si>
  <si>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</si>
  <si>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</si>
  <si>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</si>
  <si>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</si>
  <si>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</si>
  <si>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</si>
  <si>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</si>
  <si>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</si>
  <si>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</si>
  <si>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</si>
  <si>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</si>
  <si>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</si>
  <si>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</si>
  <si>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</si>
  <si>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</si>
  <si>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</si>
  <si>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</si>
  <si>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</si>
  <si>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</si>
  <si>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</si>
  <si>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</si>
  <si>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</si>
  <si>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</si>
  <si>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</si>
  <si>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</si>
  <si>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</si>
  <si>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</si>
  <si>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</si>
  <si>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</si>
  <si>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</si>
  <si>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</si>
  <si>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</si>
  <si>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</si>
  <si>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</si>
  <si>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</si>
  <si>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</si>
  <si>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</si>
  <si>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</si>
  <si>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</si>
  <si>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</si>
  <si>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</si>
  <si>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</si>
  <si>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</si>
  <si>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</si>
  <si>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</si>
  <si>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</si>
  <si>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</si>
  <si>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</si>
  <si>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</si>
  <si>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</si>
  <si>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</si>
  <si>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</si>
  <si>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</si>
  <si>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</si>
  <si>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</si>
  <si>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</si>
  <si>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</si>
  <si>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</si>
  <si>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</si>
  <si>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</si>
  <si>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</si>
  <si>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</si>
  <si>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</si>
  <si>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</si>
  <si>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</si>
  <si>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</si>
  <si>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</si>
  <si>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</si>
  <si>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</si>
  <si>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</si>
  <si>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</si>
  <si>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</si>
  <si>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</si>
  <si>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</si>
  <si>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</si>
  <si>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</si>
  <si>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</si>
  <si>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</si>
  <si>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</si>
  <si>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</si>
  <si>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</si>
  <si>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</si>
  <si>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</si>
  <si>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</si>
  <si>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</si>
  <si>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</si>
  <si>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</si>
  <si>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</si>
  <si>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</si>
  <si>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</si>
  <si>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</si>
  <si>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</si>
  <si>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</si>
  <si>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</si>
  <si>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</si>
  <si>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</si>
  <si>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</si>
  <si>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</si>
  <si>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</si>
  <si>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</si>
  <si>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</si>
  <si>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</si>
  <si>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</si>
  <si>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</si>
  <si>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</si>
  <si>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</si>
  <si>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</si>
  <si>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</si>
  <si>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</si>
  <si>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</si>
  <si>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</si>
  <si>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</si>
  <si>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</si>
  <si>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</si>
  <si>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</si>
  <si>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</si>
  <si>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</si>
  <si>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</si>
  <si>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</si>
  <si>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</si>
  <si>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</si>
  <si>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</si>
  <si>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</si>
  <si>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</si>
  <si>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</si>
  <si>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</si>
  <si>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</si>
  <si>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</si>
  <si>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</si>
  <si>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</si>
  <si>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</si>
  <si>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</si>
  <si>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</si>
  <si>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</si>
  <si>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</si>
  <si>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</si>
  <si>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</si>
  <si>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</si>
  <si>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</si>
  <si>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</si>
  <si>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</si>
  <si>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</si>
  <si>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</si>
  <si>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</si>
  <si>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</si>
  <si>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</si>
  <si>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</si>
  <si>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</si>
  <si>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</si>
  <si>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</si>
  <si>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</si>
  <si>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</si>
  <si>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</si>
  <si>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</si>
  <si>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</si>
  <si>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</si>
  <si>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</si>
  <si>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</si>
  <si>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</si>
  <si>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</si>
  <si>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</si>
  <si>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</si>
  <si>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</si>
  <si>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</si>
  <si>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</si>
  <si>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</si>
  <si>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</si>
  <si>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</si>
  <si>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</si>
  <si>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</si>
  <si>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</si>
  <si>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</si>
  <si>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</si>
  <si>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</si>
  <si>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</si>
  <si>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</si>
  <si>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</si>
  <si>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</si>
  <si>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</si>
  <si>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</si>
  <si>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</si>
  <si>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</si>
  <si>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</si>
  <si>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</si>
  <si>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</si>
  <si>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</si>
  <si>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</si>
  <si>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</si>
  <si>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</si>
  <si>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</si>
  <si>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</si>
  <si>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</si>
  <si>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</si>
  <si>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</si>
  <si>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</si>
  <si>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</si>
  <si>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</si>
  <si>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</si>
  <si>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</si>
  <si>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</si>
  <si>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</si>
  <si>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</si>
  <si>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</si>
  <si>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</si>
  <si>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</si>
  <si>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</si>
  <si>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</si>
  <si>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</si>
  <si>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</si>
  <si>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</si>
  <si>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</si>
  <si>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</si>
  <si>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</si>
  <si>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</si>
  <si>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</si>
  <si>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</si>
  <si>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</si>
  <si>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</si>
  <si>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</si>
  <si>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</si>
  <si>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</si>
  <si>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</si>
  <si>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</si>
  <si>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</si>
  <si>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</si>
  <si>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</si>
  <si>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</si>
  <si>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</si>
  <si>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</si>
  <si>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</si>
  <si>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</si>
  <si>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</si>
  <si>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</si>
  <si>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</si>
  <si>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</si>
  <si>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</si>
  <si>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</si>
  <si>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</si>
  <si>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</si>
  <si>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</si>
  <si>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</si>
  <si>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</si>
  <si>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</si>
  <si>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</si>
  <si>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</si>
  <si>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</si>
  <si>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</si>
  <si>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</si>
  <si>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</si>
  <si>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</si>
  <si>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</si>
  <si>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</si>
  <si>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</si>
  <si>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</si>
  <si>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</si>
  <si>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</si>
  <si>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</si>
  <si>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</si>
  <si>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</si>
  <si>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</si>
  <si>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</si>
  <si>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</si>
  <si>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</si>
  <si>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</si>
  <si>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</si>
  <si>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</si>
  <si>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</si>
  <si>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</si>
  <si>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</si>
  <si>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</si>
  <si>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</si>
  <si>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</si>
  <si>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</si>
  <si>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</si>
  <si>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</si>
  <si>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</si>
  <si>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</si>
  <si>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</si>
  <si>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</si>
  <si>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</si>
  <si>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</si>
  <si>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</si>
  <si>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</si>
  <si>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</si>
  <si>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</si>
  <si>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</si>
  <si>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</si>
  <si>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</si>
  <si>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</si>
  <si>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</si>
  <si>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</si>
  <si>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</si>
  <si>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</si>
  <si>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</si>
  <si>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</si>
  <si>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</si>
  <si>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</si>
  <si>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</si>
  <si>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</si>
  <si>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</si>
  <si>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</si>
  <si>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</si>
  <si>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</si>
  <si>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</si>
  <si>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</si>
  <si>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</si>
  <si>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</si>
  <si>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</si>
  <si>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</si>
  <si>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</si>
  <si>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</si>
  <si>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</si>
  <si>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</si>
  <si>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</si>
  <si>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</si>
  <si>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</si>
  <si>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</si>
  <si>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</si>
  <si>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</si>
  <si>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</si>
  <si>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</si>
  <si>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</si>
  <si>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</si>
  <si>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</si>
  <si>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</si>
  <si>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</si>
  <si>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</si>
  <si>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</si>
  <si>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</si>
  <si>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</si>
  <si>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</si>
  <si>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</si>
  <si>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</si>
  <si>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</si>
  <si>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</si>
  <si>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</si>
  <si>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</si>
  <si>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</si>
  <si>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</si>
  <si>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</si>
  <si>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</si>
  <si>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</si>
  <si>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</si>
  <si>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</si>
  <si>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</si>
  <si>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</si>
  <si>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</si>
  <si>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</si>
  <si>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</si>
  <si>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</si>
  <si>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</si>
  <si>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</si>
  <si>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</si>
  <si>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</si>
  <si>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</si>
  <si>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</si>
  <si>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</si>
  <si>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</si>
  <si>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</si>
  <si>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</si>
  <si>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</si>
  <si>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</si>
  <si>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</si>
  <si>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</si>
  <si>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</si>
  <si>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</si>
  <si>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</si>
  <si>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</si>
  <si>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</si>
  <si>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</si>
  <si>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</si>
  <si>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</si>
  <si>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</si>
  <si>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</si>
  <si>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</si>
  <si>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</si>
  <si>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</si>
  <si>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</si>
  <si>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</si>
  <si>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</si>
  <si>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</si>
  <si>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</si>
  <si>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</si>
  <si>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</si>
  <si>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</si>
  <si>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</si>
  <si>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</si>
  <si>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</si>
  <si>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</si>
  <si>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</si>
  <si>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</si>
  <si>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</si>
  <si>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</si>
  <si>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</si>
  <si>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</si>
  <si>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</si>
  <si>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</si>
  <si>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</si>
  <si>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</si>
  <si>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</si>
  <si>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</si>
  <si>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</si>
  <si>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</si>
  <si>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</si>
  <si>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</si>
  <si>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</si>
  <si>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</si>
  <si>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</si>
  <si>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</si>
  <si>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</si>
  <si>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</si>
  <si>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</si>
  <si>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</si>
  <si>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</si>
  <si>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</si>
  <si>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</si>
  <si>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</si>
  <si>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</si>
  <si>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</si>
  <si>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</si>
  <si>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</si>
  <si>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</si>
  <si>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</si>
  <si>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</si>
  <si>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</si>
  <si>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</si>
  <si>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</si>
  <si>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</si>
  <si>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</si>
  <si>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</si>
  <si>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</si>
  <si>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</si>
  <si>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</si>
  <si>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</si>
  <si>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</si>
  <si>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</si>
  <si>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</si>
  <si>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</si>
  <si>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</si>
  <si>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</si>
  <si>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</si>
  <si>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</si>
  <si>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</si>
  <si>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</si>
  <si>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</si>
  <si>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</si>
  <si>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</si>
  <si>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</si>
  <si>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</si>
  <si>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</si>
  <si>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</si>
  <si>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</si>
  <si>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</si>
  <si>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</si>
  <si>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</si>
  <si>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</si>
  <si>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</si>
  <si>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</si>
  <si>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</si>
  <si>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</si>
  <si>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</si>
  <si>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</si>
  <si>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</si>
  <si>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</si>
  <si>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</si>
  <si>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</si>
  <si>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</si>
  <si>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</si>
  <si>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</si>
  <si>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</si>
  <si>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</si>
  <si>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</si>
  <si>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</si>
  <si>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</si>
  <si>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</si>
  <si>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</si>
  <si>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</si>
  <si>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</si>
  <si>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</si>
  <si>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</si>
  <si>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</si>
  <si>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</si>
  <si>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</si>
  <si>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</si>
  <si>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</si>
  <si>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</si>
  <si>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</si>
  <si>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</si>
  <si>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</si>
  <si>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</si>
  <si>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</si>
  <si>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</si>
  <si>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</si>
  <si>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</si>
  <si>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</si>
  <si>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</si>
  <si>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</si>
  <si>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</si>
  <si>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</si>
  <si>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</si>
  <si>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</si>
  <si>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</si>
  <si>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</si>
  <si>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</si>
  <si>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</si>
  <si>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</si>
  <si>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</si>
  <si>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</si>
  <si>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</si>
  <si>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</si>
  <si>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</si>
  <si>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</si>
  <si>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</si>
  <si>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</si>
  <si>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</si>
  <si>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</si>
  <si>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</si>
  <si>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</si>
  <si>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</si>
  <si>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</si>
  <si>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</si>
  <si>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</si>
  <si>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</si>
  <si>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</si>
  <si>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</si>
  <si>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</si>
  <si>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</si>
  <si>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</si>
  <si>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</si>
  <si>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</si>
  <si>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</si>
  <si>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</si>
  <si>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</si>
  <si>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</si>
  <si>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</si>
  <si>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</si>
  <si>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</si>
  <si>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</si>
  <si>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</si>
  <si>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</si>
  <si>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</si>
  <si>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</si>
  <si>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</si>
  <si>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</si>
  <si>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</si>
  <si>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</si>
  <si>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</si>
  <si>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</si>
  <si>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</si>
  <si>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</si>
  <si>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</si>
  <si>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</si>
  <si>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</si>
  <si>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</si>
  <si>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</si>
  <si>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</si>
  <si>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</si>
  <si>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</si>
  <si>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</si>
  <si>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</si>
  <si>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</si>
  <si>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</si>
  <si>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</si>
  <si>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</si>
  <si>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</si>
  <si>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</si>
  <si>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</si>
  <si>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</si>
  <si>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</si>
  <si>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</si>
  <si>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</si>
  <si>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</si>
  <si>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</si>
  <si>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</si>
  <si>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</si>
  <si>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</si>
  <si>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</si>
  <si>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</si>
  <si>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</si>
  <si>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</si>
  <si>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</si>
  <si>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</si>
  <si>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</si>
  <si>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</si>
  <si>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</si>
  <si>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</si>
  <si>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</si>
  <si>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</si>
  <si>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</si>
  <si>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</si>
  <si>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</si>
  <si>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</si>
  <si>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</si>
  <si>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</si>
  <si>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</si>
  <si>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</si>
  <si>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</si>
  <si>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</si>
  <si>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</si>
  <si>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</si>
  <si>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</si>
  <si>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Q_loss</t>
  </si>
  <si>
    <t>kJ/kg</t>
  </si>
  <si>
    <t>https://pubs.geoscienceworld.org/msa/ammin/article-abstract/79/1-2/134/42837/Enthalpy-of-formation-of-wollastonite-CaSiO3-and</t>
  </si>
  <si>
    <t>h_CaSiO3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</si>
</sst>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3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27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0" fillId="0" borderId="13" xfId="0" applyFont="1" applyBorder="1" applyAlignment="1">
      <alignment horizontal="center"/>
    </xf>
    <xf numFmtId="0" fontId="37" fillId="0" borderId="0" xfId="0" applyFont="1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0" borderId="12" xfId="0" applyBorder="1" applyAlignment="1">
      <alignment horizontal="center" wrapText="1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8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4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55" fillId="0" borderId="0" xfId="0" applyFont="1" applyAlignment="1">
      <alignment horizontal="center" vertical="center"/>
    </xf>
    <xf numFmtId="0" fontId="55" fillId="0" borderId="14" xfId="0" applyFont="1" applyBorder="1" applyAlignment="1">
      <alignment horizontal="center" vertical="center"/>
    </xf>
    <xf numFmtId="0" fontId="55" fillId="0" borderId="2" xfId="0" applyFont="1" applyBorder="1" applyAlignment="1">
      <alignment horizontal="center" vertical="center"/>
    </xf>
    <xf numFmtId="0" fontId="55" fillId="0" borderId="13" xfId="0" applyFont="1" applyBorder="1" applyAlignment="1">
      <alignment horizontal="center" vertical="center"/>
    </xf>
    <xf numFmtId="0" fontId="63" fillId="0" borderId="0" xfId="0" applyFont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6" fillId="12" borderId="1" xfId="0" applyFont="1" applyFill="1" applyBorder="1" applyAlignment="1">
      <alignment horizont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10" fillId="17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39" fillId="14" borderId="0" xfId="0" applyFont="1" applyFill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13" fillId="12" borderId="1" xfId="0" applyFont="1" applyFill="1" applyBorder="1" applyAlignment="1">
      <alignment horizontal="center"/>
    </xf>
    <xf numFmtId="0" fontId="37" fillId="13" borderId="0" xfId="0" applyFont="1" applyFill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/>
    </xf>
    <xf numFmtId="0" fontId="39" fillId="14" borderId="30" xfId="0" applyFont="1" applyFill="1" applyBorder="1" applyAlignment="1">
      <alignment horizontal="center" vertical="center"/>
    </xf>
    <xf numFmtId="0" fontId="37" fillId="15" borderId="30" xfId="0" applyFont="1" applyFill="1" applyBorder="1" applyAlignment="1">
      <alignment horizontal="center" vertical="center"/>
    </xf>
    <xf numFmtId="0" fontId="9" fillId="0" borderId="47" xfId="0" applyFont="1" applyBorder="1" applyAlignment="1">
      <alignment horizontal="center" vertical="center" wrapText="1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30" fillId="0" borderId="0" xfId="0" applyFont="1" applyAlignment="1">
      <alignment horizontal="center" vertical="center" textRotation="90"/>
    </xf>
    <xf numFmtId="0" fontId="50" fillId="17" borderId="0" xfId="0" applyFont="1" applyFill="1" applyAlignment="1">
      <alignment horizontal="center" vertical="center"/>
    </xf>
    <xf numFmtId="0" fontId="13" fillId="0" borderId="0" xfId="0" applyFont="1" applyAlignment="1">
      <alignment horizontal="center"/>
    </xf>
    <xf numFmtId="0" fontId="55" fillId="19" borderId="0" xfId="0" applyFont="1" applyFill="1" applyAlignment="1">
      <alignment horizontal="center" vertical="center"/>
    </xf>
    <xf numFmtId="0" fontId="55" fillId="19" borderId="30" xfId="0" applyFont="1" applyFill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50" fillId="0" borderId="0" xfId="0" applyFont="1" applyAlignment="1">
      <alignment horizontal="center"/>
    </xf>
    <xf numFmtId="0" fontId="33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6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575382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188210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467188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23</xdr:col>
      <xdr:colOff>2142</xdr:colOff>
      <xdr:row>207</xdr:row>
      <xdr:rowOff>41794</xdr:rowOff>
    </xdr:from>
    <xdr:to>
      <xdr:col>23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9677</xdr:colOff>
      <xdr:row>215</xdr:row>
      <xdr:rowOff>0</xdr:rowOff>
    </xdr:from>
    <xdr:to>
      <xdr:col>28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217</xdr:row>
      <xdr:rowOff>157112</xdr:rowOff>
    </xdr:from>
    <xdr:to>
      <xdr:col>101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614309</xdr:colOff>
      <xdr:row>207</xdr:row>
      <xdr:rowOff>28701</xdr:rowOff>
    </xdr:from>
    <xdr:to>
      <xdr:col>87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154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226963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120</xdr:col>
      <xdr:colOff>419404</xdr:colOff>
      <xdr:row>234</xdr:row>
      <xdr:rowOff>9050</xdr:rowOff>
    </xdr:from>
    <xdr:to>
      <xdr:col>120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683846</xdr:colOff>
      <xdr:row>153</xdr:row>
      <xdr:rowOff>4887</xdr:rowOff>
    </xdr:from>
    <xdr:to>
      <xdr:col>128</xdr:col>
      <xdr:colOff>709706</xdr:colOff>
      <xdr:row>233</xdr:row>
      <xdr:rowOff>136769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9122308" y="33376579"/>
          <a:ext cx="25860" cy="1742342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765260</xdr:colOff>
      <xdr:row>225</xdr:row>
      <xdr:rowOff>197283</xdr:rowOff>
    </xdr:from>
    <xdr:to>
      <xdr:col>67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742461</xdr:colOff>
      <xdr:row>269</xdr:row>
      <xdr:rowOff>97692</xdr:rowOff>
    </xdr:from>
    <xdr:to>
      <xdr:col>120</xdr:col>
      <xdr:colOff>488462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666923" y="58732615"/>
          <a:ext cx="41851385" cy="1172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28015</xdr:colOff>
      <xdr:row>152</xdr:row>
      <xdr:rowOff>184727</xdr:rowOff>
    </xdr:from>
    <xdr:to>
      <xdr:col>143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18676</xdr:colOff>
      <xdr:row>225</xdr:row>
      <xdr:rowOff>130735</xdr:rowOff>
    </xdr:from>
    <xdr:to>
      <xdr:col>80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233</xdr:row>
      <xdr:rowOff>165028</xdr:rowOff>
    </xdr:from>
    <xdr:to>
      <xdr:col>101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242</xdr:row>
      <xdr:rowOff>201083</xdr:rowOff>
    </xdr:from>
    <xdr:to>
      <xdr:col>80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681639</xdr:colOff>
      <xdr:row>250</xdr:row>
      <xdr:rowOff>157023</xdr:rowOff>
    </xdr:from>
    <xdr:to>
      <xdr:col>101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585528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195385</xdr:colOff>
      <xdr:row>210</xdr:row>
      <xdr:rowOff>0</xdr:rowOff>
    </xdr:from>
    <xdr:to>
      <xdr:col>80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1999231" y="45485538"/>
          <a:ext cx="39077" cy="102576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26592</xdr:colOff>
      <xdr:row>207</xdr:row>
      <xdr:rowOff>19538</xdr:rowOff>
    </xdr:from>
    <xdr:to>
      <xdr:col>22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226101</xdr:colOff>
      <xdr:row>254</xdr:row>
      <xdr:rowOff>195781</xdr:rowOff>
    </xdr:from>
    <xdr:to>
      <xdr:col>80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H57"/>
  <sheetViews>
    <sheetView zoomScale="125" workbookViewId="0">
      <selection activeCell="F6" sqref="F6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06" t="s">
        <v>102</v>
      </c>
      <c r="S2" s="307"/>
      <c r="T2" s="306" t="s">
        <v>108</v>
      </c>
      <c r="U2" s="307"/>
      <c r="W2" s="308" t="s">
        <v>233</v>
      </c>
      <c r="X2" s="308"/>
      <c r="Y2" s="13" t="s">
        <v>52</v>
      </c>
      <c r="AB2" s="3" t="s">
        <v>345</v>
      </c>
      <c r="AE2" s="3" t="s">
        <v>408</v>
      </c>
      <c r="AH2" s="3" t="s">
        <v>429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346</v>
      </c>
      <c r="AD3" s="3" t="s">
        <v>409</v>
      </c>
      <c r="AE3" s="3">
        <v>1.667</v>
      </c>
      <c r="AG3" s="13" t="s">
        <v>65</v>
      </c>
      <c r="AH3" s="212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346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  <c r="AD4" s="3" t="s">
        <v>83</v>
      </c>
      <c r="AE4" s="3">
        <v>2.2999999999999998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460</v>
      </c>
      <c r="AA5" s="61" t="s">
        <v>492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511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493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311</v>
      </c>
      <c r="J12" s="13">
        <v>794.3</v>
      </c>
      <c r="Q12" s="309" t="s">
        <v>391</v>
      </c>
      <c r="R12" s="309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314</v>
      </c>
      <c r="J13" s="13">
        <v>124.2</v>
      </c>
      <c r="Q13" s="128" t="s">
        <v>322</v>
      </c>
      <c r="R13" s="13" t="s">
        <v>392</v>
      </c>
      <c r="S13" s="13" t="s">
        <v>33</v>
      </c>
      <c r="T13" s="13" t="s">
        <v>34</v>
      </c>
      <c r="U13" s="13" t="s">
        <v>35</v>
      </c>
      <c r="V13" s="13" t="s">
        <v>400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312</v>
      </c>
      <c r="J14" s="13">
        <v>629.6</v>
      </c>
      <c r="Q14" s="13" t="s">
        <v>98</v>
      </c>
      <c r="R14" s="13" t="s">
        <v>346</v>
      </c>
      <c r="S14" s="13" t="s">
        <v>98</v>
      </c>
      <c r="T14" s="13" t="s">
        <v>98</v>
      </c>
      <c r="U14" s="13" t="s">
        <v>98</v>
      </c>
      <c r="V14" s="13" t="s">
        <v>346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313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</row>
    <row r="17" spans="2:10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318</v>
      </c>
      <c r="J17" s="13">
        <v>366.5</v>
      </c>
    </row>
    <row r="18" spans="2:10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</row>
    <row r="19" spans="2:10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</row>
    <row r="20" spans="2:10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0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0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0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0" ht="17" x14ac:dyDescent="0.25">
      <c r="B24" s="4" t="s">
        <v>307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0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0" ht="17" x14ac:dyDescent="0.25">
      <c r="B26" s="4" t="s">
        <v>308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0" ht="17" x14ac:dyDescent="0.25">
      <c r="B27" s="4" t="s">
        <v>315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0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0" ht="17" x14ac:dyDescent="0.25">
      <c r="B29" s="4" t="s">
        <v>323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0" ht="16" x14ac:dyDescent="0.2">
      <c r="B30" s="4" t="s">
        <v>363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0" ht="17" x14ac:dyDescent="0.25">
      <c r="B31" s="4" t="s">
        <v>367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0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2:7" ht="17" x14ac:dyDescent="0.25">
      <c r="B33" s="3" t="s">
        <v>368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2:7" ht="17" x14ac:dyDescent="0.25">
      <c r="B34" s="4" t="s">
        <v>369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2:7" ht="17" x14ac:dyDescent="0.25">
      <c r="B35" s="3" t="s">
        <v>370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2:7" ht="17" x14ac:dyDescent="0.25">
      <c r="B36" s="4" t="s">
        <v>371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2:7" ht="16" x14ac:dyDescent="0.2">
      <c r="B37" s="4" t="s">
        <v>372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2:7" ht="17" x14ac:dyDescent="0.25">
      <c r="B38" s="4" t="s">
        <v>373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2:7" ht="17" x14ac:dyDescent="0.25">
      <c r="B39" s="4" t="s">
        <v>492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2:7" ht="17" x14ac:dyDescent="0.25">
      <c r="B40" s="4" t="s">
        <v>493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2:7" ht="17" x14ac:dyDescent="0.25">
      <c r="B41" s="4" t="s">
        <v>511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2:7" x14ac:dyDescent="0.2">
      <c r="B42" s="4"/>
    </row>
    <row r="43" spans="2:7" x14ac:dyDescent="0.2">
      <c r="B43" s="3" t="s">
        <v>107</v>
      </c>
    </row>
    <row r="44" spans="2:7" ht="17" x14ac:dyDescent="0.25">
      <c r="B44" s="13" t="s">
        <v>54</v>
      </c>
      <c r="C44" s="3" t="s">
        <v>124</v>
      </c>
    </row>
    <row r="45" spans="2:7" ht="17" x14ac:dyDescent="0.25">
      <c r="B45" s="13" t="s">
        <v>54</v>
      </c>
      <c r="C45" s="16" t="s">
        <v>374</v>
      </c>
    </row>
    <row r="46" spans="2:7" ht="18" x14ac:dyDescent="0.25">
      <c r="B46" s="19" t="s">
        <v>6</v>
      </c>
      <c r="C46" s="16" t="s">
        <v>362</v>
      </c>
    </row>
    <row r="47" spans="2:7" ht="18" x14ac:dyDescent="0.25">
      <c r="B47" s="19" t="s">
        <v>6</v>
      </c>
      <c r="C47" s="3" t="s">
        <v>128</v>
      </c>
    </row>
    <row r="48" spans="2:7" ht="17" x14ac:dyDescent="0.25">
      <c r="B48" s="13" t="s">
        <v>172</v>
      </c>
      <c r="C48" s="3" t="s">
        <v>173</v>
      </c>
    </row>
    <row r="49" spans="2:3" x14ac:dyDescent="0.2">
      <c r="B49" s="13" t="s">
        <v>345</v>
      </c>
      <c r="C49" s="16" t="s">
        <v>347</v>
      </c>
    </row>
    <row r="50" spans="2:3" x14ac:dyDescent="0.2">
      <c r="B50" s="13" t="s">
        <v>5</v>
      </c>
      <c r="C50" s="16" t="s">
        <v>359</v>
      </c>
    </row>
    <row r="51" spans="2:3" x14ac:dyDescent="0.2">
      <c r="B51" s="13" t="s">
        <v>392</v>
      </c>
      <c r="C51" s="3" t="s">
        <v>393</v>
      </c>
    </row>
    <row r="52" spans="2:3" x14ac:dyDescent="0.2">
      <c r="B52" s="128" t="s">
        <v>398</v>
      </c>
      <c r="C52" s="3" t="s">
        <v>401</v>
      </c>
    </row>
    <row r="53" spans="2:3" x14ac:dyDescent="0.2">
      <c r="B53" s="13" t="s">
        <v>408</v>
      </c>
      <c r="C53" s="3" t="s">
        <v>338</v>
      </c>
    </row>
    <row r="54" spans="2:3" x14ac:dyDescent="0.2">
      <c r="B54" s="13" t="s">
        <v>505</v>
      </c>
      <c r="C54" s="3" t="s">
        <v>506</v>
      </c>
    </row>
    <row r="55" spans="2:3" ht="17" x14ac:dyDescent="0.25">
      <c r="B55" s="13" t="s">
        <v>497</v>
      </c>
      <c r="C55" s="3" t="s">
        <v>496</v>
      </c>
    </row>
    <row r="56" spans="2:3" x14ac:dyDescent="0.2">
      <c r="B56" s="13" t="s">
        <v>40</v>
      </c>
      <c r="C56" s="3" t="s">
        <v>666</v>
      </c>
    </row>
    <row r="57" spans="2:3" x14ac:dyDescent="0.2">
      <c r="B57" s="13" t="s">
        <v>672</v>
      </c>
      <c r="C57" s="3" t="s">
        <v>671</v>
      </c>
    </row>
  </sheetData>
  <sortState xmlns:xlrd2="http://schemas.microsoft.com/office/spreadsheetml/2017/richdata2" ref="I6:I10">
    <sortCondition ref="I5:I10"/>
  </sortState>
  <mergeCells count="4">
    <mergeCell ref="R2:S2"/>
    <mergeCell ref="T2:U2"/>
    <mergeCell ref="W2:X2"/>
    <mergeCell ref="Q12:R12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64" zoomScale="125" workbookViewId="0">
      <selection activeCell="H91" sqref="H91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08" t="s">
        <v>125</v>
      </c>
      <c r="P10" s="308"/>
      <c r="Q10" s="308"/>
      <c r="R10" s="308"/>
      <c r="S10" s="308"/>
      <c r="T10" s="308"/>
      <c r="U10" s="308"/>
      <c r="V10" s="308" t="s">
        <v>125</v>
      </c>
      <c r="W10" s="308"/>
      <c r="X10" s="308"/>
      <c r="Y10" s="308"/>
      <c r="Z10" s="308"/>
      <c r="AA10" s="308"/>
      <c r="AB10" s="308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08" t="s">
        <v>306</v>
      </c>
      <c r="P11" s="308"/>
      <c r="Q11" s="308"/>
      <c r="R11" s="306"/>
      <c r="S11" s="307"/>
      <c r="T11" s="324" t="s">
        <v>305</v>
      </c>
      <c r="U11" s="325"/>
      <c r="V11" s="308" t="str">
        <f>_xlfn.CONCAT(E19," ",C19," ","+"," ",E21," ",C21," ","--&gt;"," ",E22," ",C22," ","+"," ",E20*E21," ",C20)</f>
        <v>1.5 C + 1.5 O2 --&gt; 1.5 CO2 + 5.64 N2</v>
      </c>
      <c r="W11" s="308"/>
      <c r="X11" s="308"/>
      <c r="Y11" s="308"/>
      <c r="Z11" s="308"/>
      <c r="AA11" s="308"/>
      <c r="AB11" s="308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8" t="s">
        <v>225</v>
      </c>
      <c r="P12" s="308"/>
      <c r="Q12" s="308"/>
      <c r="R12" s="306"/>
      <c r="S12" s="307"/>
      <c r="T12" s="308" t="s">
        <v>224</v>
      </c>
      <c r="U12" s="308"/>
      <c r="V12" s="308" t="str">
        <f>_xlfn.CONCAT(E25," ",C25," ","+"," ",E26," ",C26," ","--&gt;"," ",E27," ",C27)</f>
        <v>1.5 CO2 + 1.5 C --&gt; 3 CO</v>
      </c>
      <c r="W12" s="308"/>
      <c r="X12" s="308"/>
      <c r="Y12" s="308"/>
      <c r="Z12" s="308"/>
      <c r="AA12" s="308"/>
      <c r="AB12" s="308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8" t="s">
        <v>226</v>
      </c>
      <c r="P13" s="308"/>
      <c r="Q13" s="308"/>
      <c r="R13" s="306"/>
      <c r="S13" s="307"/>
      <c r="T13" s="324" t="s">
        <v>227</v>
      </c>
      <c r="U13" s="325"/>
      <c r="V13" s="308" t="str">
        <f>_xlfn.CONCAT(E29," ",C29," ","+"," ",E30," ",C30," ","--&gt;"," ",E31," ",C31," ","+"," ",E32," ",C32)</f>
        <v>1 Fe2O3 + 3 CO --&gt; 2 Fe + 3 CO2</v>
      </c>
      <c r="W13" s="308"/>
      <c r="X13" s="308"/>
      <c r="Y13" s="308"/>
      <c r="Z13" s="308"/>
      <c r="AA13" s="308"/>
      <c r="AB13" s="308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8"/>
      <c r="P14" s="308"/>
      <c r="Q14" s="308"/>
      <c r="R14" s="306"/>
      <c r="S14" s="307"/>
      <c r="T14" s="308"/>
      <c r="U14" s="308"/>
      <c r="V14" s="308" t="str">
        <f>_xlfn.CONCAT(E36," ",C36," ","--&gt;"," ",E37," ",C37," ","+"," ",E39," ",C39)</f>
        <v>1 CaCO3 --&gt; 1 CaO + 0.0624775822865075 MgO</v>
      </c>
      <c r="W14" s="308"/>
      <c r="X14" s="308"/>
      <c r="Y14" s="308"/>
      <c r="Z14" s="308"/>
      <c r="AA14" s="308"/>
      <c r="AB14" s="308"/>
    </row>
    <row r="15" spans="1:28" ht="17" x14ac:dyDescent="0.25">
      <c r="O15" s="308" t="s">
        <v>228</v>
      </c>
      <c r="P15" s="308"/>
      <c r="Q15" s="308"/>
      <c r="R15" s="306"/>
      <c r="S15" s="307"/>
      <c r="T15" s="308" t="s">
        <v>229</v>
      </c>
      <c r="U15" s="308"/>
      <c r="V15" s="308" t="str">
        <f>_xlfn.CONCAT(E41," ",C41," ","+"," ",E42," ",C42," ","--&gt;"," ",E43," ",C43)</f>
        <v>1 CaO + 1 SiO2 --&gt; 1 CaSiO3</v>
      </c>
      <c r="W15" s="308"/>
      <c r="X15" s="308"/>
      <c r="Y15" s="308"/>
      <c r="Z15" s="308"/>
      <c r="AA15" s="308"/>
      <c r="AB15" s="308"/>
    </row>
    <row r="16" spans="1:28" x14ac:dyDescent="0.2">
      <c r="L16" s="77" t="s">
        <v>414</v>
      </c>
      <c r="M16" s="83" t="s">
        <v>415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8" t="s">
        <v>334</v>
      </c>
      <c r="P17" s="308"/>
      <c r="Q17" s="308"/>
      <c r="R17" s="308"/>
      <c r="S17" s="308"/>
      <c r="T17" s="308"/>
      <c r="U17" s="308"/>
      <c r="V17" s="308" t="s">
        <v>125</v>
      </c>
      <c r="W17" s="308"/>
      <c r="X17" s="308"/>
      <c r="Y17" s="308"/>
      <c r="Z17" s="308"/>
      <c r="AA17" s="308"/>
      <c r="AB17" s="308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08" t="s">
        <v>335</v>
      </c>
      <c r="P18" s="308"/>
      <c r="Q18" s="308"/>
      <c r="R18" s="308"/>
      <c r="S18" s="308"/>
      <c r="T18" s="308" t="s">
        <v>336</v>
      </c>
      <c r="U18" s="306"/>
      <c r="V18" s="32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9"/>
      <c r="X18" s="329"/>
      <c r="Y18" s="329"/>
      <c r="Z18" s="329"/>
      <c r="AA18" s="329"/>
      <c r="AB18" s="329"/>
    </row>
    <row r="19" spans="1:28" ht="16" x14ac:dyDescent="0.2">
      <c r="B19" s="319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9"/>
      <c r="W19" s="329"/>
      <c r="X19" s="329"/>
      <c r="Y19" s="329"/>
      <c r="Z19" s="329"/>
      <c r="AA19" s="329"/>
      <c r="AB19" s="329"/>
    </row>
    <row r="20" spans="1:28" ht="18" x14ac:dyDescent="0.25">
      <c r="A20" s="1"/>
      <c r="B20" s="320"/>
      <c r="C20" s="91" t="s">
        <v>304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1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287</v>
      </c>
      <c r="M21" s="83" t="s">
        <v>23</v>
      </c>
    </row>
    <row r="22" spans="1:28" ht="17" x14ac:dyDescent="0.25">
      <c r="B22" s="322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3"/>
      <c r="C23" s="93" t="s">
        <v>304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6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286</v>
      </c>
    </row>
    <row r="26" spans="1:28" x14ac:dyDescent="0.2">
      <c r="B26" s="326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6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6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27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8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412</v>
      </c>
      <c r="O32" s="3" t="s">
        <v>413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13" t="s">
        <v>411</v>
      </c>
      <c r="C35" s="15" t="s">
        <v>330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312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14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6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9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9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6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6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12" t="s">
        <v>19</v>
      </c>
      <c r="C44" s="31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15" t="s">
        <v>351</v>
      </c>
      <c r="D47" s="315"/>
      <c r="E47" s="315"/>
      <c r="F47" s="315"/>
    </row>
    <row r="48" spans="2:23" x14ac:dyDescent="0.2">
      <c r="C48" s="316"/>
      <c r="D48" s="316"/>
      <c r="E48" s="316"/>
      <c r="F48" s="316"/>
      <c r="H48" s="308" t="s">
        <v>70</v>
      </c>
      <c r="I48" s="308"/>
      <c r="J48" s="308"/>
      <c r="K48" s="308"/>
      <c r="L48" s="308"/>
      <c r="M48" s="308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8" t="s">
        <v>74</v>
      </c>
      <c r="I49" s="308"/>
      <c r="J49" s="308"/>
      <c r="K49" s="13"/>
      <c r="L49" s="324" t="s">
        <v>358</v>
      </c>
      <c r="M49" s="325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11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11"/>
      <c r="J51" s="311"/>
      <c r="K51" s="311"/>
      <c r="L51" s="311"/>
      <c r="M51" s="311"/>
    </row>
    <row r="52" spans="1:17" ht="16.25" customHeight="1" x14ac:dyDescent="0.25">
      <c r="C52" s="20" t="s">
        <v>24</v>
      </c>
      <c r="D52" s="13" t="s">
        <v>430</v>
      </c>
      <c r="H52" s="311"/>
      <c r="I52" s="311"/>
      <c r="J52" s="311"/>
      <c r="K52" s="311"/>
      <c r="L52" s="311"/>
      <c r="M52" s="311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654</v>
      </c>
      <c r="D55" s="303" t="s">
        <v>657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431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431</v>
      </c>
    </row>
    <row r="59" spans="1:17" ht="17" x14ac:dyDescent="0.25">
      <c r="A59" s="116" t="s">
        <v>321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17" t="s">
        <v>656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0" t="s">
        <v>658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18"/>
      <c r="K60" s="301" t="s">
        <v>655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0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206</v>
      </c>
      <c r="H61" s="71">
        <f>H60*3.76</f>
        <v>3.76</v>
      </c>
      <c r="J61" s="318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18"/>
      <c r="K62" s="301" t="s">
        <v>591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330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15" t="s">
        <v>378</v>
      </c>
      <c r="C69" s="315"/>
      <c r="D69" s="315"/>
      <c r="E69" s="315"/>
      <c r="F69" s="315"/>
      <c r="G69" s="315"/>
      <c r="W69" s="17"/>
      <c r="X69" s="17"/>
      <c r="Y69" s="333" t="s">
        <v>494</v>
      </c>
      <c r="Z69" s="334"/>
      <c r="AA69" s="334"/>
      <c r="AB69" s="334"/>
      <c r="AC69" s="334"/>
      <c r="AD69" s="334"/>
      <c r="AE69" s="334"/>
      <c r="AF69" s="334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36"/>
      <c r="C70" s="336"/>
      <c r="D70" s="336"/>
      <c r="E70" s="336"/>
      <c r="F70" s="336"/>
      <c r="G70" s="336"/>
      <c r="Y70" s="335"/>
      <c r="Z70" s="332"/>
      <c r="AA70" s="332"/>
      <c r="AB70" s="332"/>
      <c r="AC70" s="332"/>
      <c r="AD70" s="332"/>
      <c r="AE70" s="332"/>
      <c r="AF70" s="332"/>
    </row>
    <row r="71" spans="1:45" x14ac:dyDescent="0.2">
      <c r="E71" s="13"/>
      <c r="F71" s="13" t="s">
        <v>47</v>
      </c>
      <c r="G71" s="13" t="s">
        <v>1</v>
      </c>
      <c r="H71" s="13" t="s">
        <v>382</v>
      </c>
      <c r="Y71" s="335"/>
      <c r="Z71" s="332"/>
      <c r="AA71" s="332"/>
      <c r="AB71" s="332"/>
      <c r="AC71" s="332"/>
      <c r="AD71" s="332"/>
      <c r="AE71" s="332"/>
      <c r="AF71" s="332"/>
    </row>
    <row r="72" spans="1:45" x14ac:dyDescent="0.2">
      <c r="B72" s="13" t="s">
        <v>18</v>
      </c>
      <c r="C72" s="13" t="s">
        <v>5</v>
      </c>
      <c r="D72" s="34" t="s">
        <v>365</v>
      </c>
      <c r="E72" s="13"/>
      <c r="F72" s="13" t="s">
        <v>240</v>
      </c>
      <c r="G72" s="13" t="s">
        <v>11</v>
      </c>
      <c r="H72" s="13" t="s">
        <v>383</v>
      </c>
      <c r="Y72" s="24"/>
    </row>
    <row r="73" spans="1:45" ht="17" x14ac:dyDescent="0.25">
      <c r="B73" s="13" t="s">
        <v>11</v>
      </c>
      <c r="C73" s="13" t="s">
        <v>12</v>
      </c>
      <c r="D73" s="34" t="s">
        <v>366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114</v>
      </c>
      <c r="S73" s="3" t="s">
        <v>114</v>
      </c>
      <c r="Y73" s="304" t="s">
        <v>113</v>
      </c>
      <c r="Z73" s="3" t="s">
        <v>1</v>
      </c>
      <c r="AA73" s="3" t="s">
        <v>47</v>
      </c>
      <c r="AB73" s="3" t="s">
        <v>5</v>
      </c>
      <c r="AC73" s="201" t="s">
        <v>410</v>
      </c>
      <c r="AD73" s="3" t="s">
        <v>39</v>
      </c>
      <c r="AG73" s="171" t="s">
        <v>113</v>
      </c>
      <c r="AH73" s="201" t="s">
        <v>410</v>
      </c>
      <c r="AJ73" s="201" t="s">
        <v>410</v>
      </c>
      <c r="AL73" s="171" t="s">
        <v>114</v>
      </c>
      <c r="AM73" s="201" t="s">
        <v>410</v>
      </c>
      <c r="AO73" s="201" t="s">
        <v>410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376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410</v>
      </c>
      <c r="S74" s="201" t="s">
        <v>410</v>
      </c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379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182</v>
      </c>
      <c r="AJ75" s="1">
        <f>4*AC76</f>
        <v>198.42666582485532</v>
      </c>
      <c r="AL75" s="13"/>
      <c r="AM75" s="1"/>
      <c r="AN75" s="19" t="s">
        <v>182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182</v>
      </c>
      <c r="S76" s="1">
        <f>4*S77</f>
        <v>198.42666582485532</v>
      </c>
      <c r="Y76" s="61" t="s">
        <v>371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371</v>
      </c>
      <c r="AH76" s="1">
        <f>AC76</f>
        <v>49.60666645621383</v>
      </c>
      <c r="AI76" s="61" t="s">
        <v>371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9" t="s">
        <v>113</v>
      </c>
      <c r="I77" s="309"/>
      <c r="J77" s="309"/>
      <c r="K77" s="309"/>
      <c r="L77" s="309"/>
      <c r="P77" s="61" t="s">
        <v>371</v>
      </c>
      <c r="Q77" s="1">
        <f>F81</f>
        <v>49.60666645621383</v>
      </c>
      <c r="R77" s="61" t="s">
        <v>371</v>
      </c>
      <c r="S77" s="1">
        <f>Q77</f>
        <v>49.60666645621383</v>
      </c>
      <c r="Y77" s="13" t="s">
        <v>122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389</v>
      </c>
      <c r="C78" s="3" t="s">
        <v>1</v>
      </c>
      <c r="D78" s="3" t="s">
        <v>47</v>
      </c>
      <c r="E78" s="3" t="s">
        <v>5</v>
      </c>
      <c r="F78" s="201" t="s">
        <v>410</v>
      </c>
      <c r="H78" s="201" t="s">
        <v>410</v>
      </c>
      <c r="I78" s="201" t="s">
        <v>410</v>
      </c>
      <c r="J78" s="201" t="s">
        <v>410</v>
      </c>
      <c r="K78" s="201" t="s">
        <v>410</v>
      </c>
      <c r="L78" s="201" t="s">
        <v>410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240</v>
      </c>
      <c r="E79" s="19" t="s">
        <v>84</v>
      </c>
      <c r="F79" s="13" t="s">
        <v>42</v>
      </c>
      <c r="G79" s="1"/>
      <c r="H79" s="13" t="s">
        <v>384</v>
      </c>
      <c r="I79" s="13" t="s">
        <v>366</v>
      </c>
      <c r="J79" s="61" t="s">
        <v>385</v>
      </c>
      <c r="K79" s="61" t="s">
        <v>386</v>
      </c>
      <c r="L79" s="19" t="s">
        <v>387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182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182</v>
      </c>
      <c r="AO79" s="3">
        <f>4*AO80</f>
        <v>932.54449711465156</v>
      </c>
    </row>
    <row r="80" spans="1:45" ht="17" x14ac:dyDescent="0.25">
      <c r="A80" s="338" t="s">
        <v>662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182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38"/>
      <c r="B81" s="61" t="s">
        <v>371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38"/>
      <c r="B82" s="13" t="s">
        <v>122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641</v>
      </c>
      <c r="N82" s="6"/>
      <c r="O82" s="6"/>
      <c r="P82" s="6"/>
      <c r="Y82" s="24"/>
    </row>
    <row r="83" spans="1:39" ht="18" x14ac:dyDescent="0.25">
      <c r="A83" s="338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38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37" t="s">
        <v>660</v>
      </c>
      <c r="I84" s="337"/>
      <c r="J84" s="337"/>
      <c r="K84" s="337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38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114</v>
      </c>
      <c r="Z85" s="3" t="s">
        <v>1</v>
      </c>
      <c r="AA85" s="3" t="s">
        <v>47</v>
      </c>
      <c r="AB85" s="3" t="s">
        <v>5</v>
      </c>
      <c r="AC85" s="201" t="s">
        <v>410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240</v>
      </c>
      <c r="AB86" s="79" t="s">
        <v>84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18" t="s">
        <v>661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402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18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122</v>
      </c>
      <c r="AH88" s="3">
        <f>AC77</f>
        <v>111.78777915045893</v>
      </c>
      <c r="AI88" s="13" t="s">
        <v>122</v>
      </c>
      <c r="AJ88" s="3">
        <f>AH88</f>
        <v>111.78777915045893</v>
      </c>
    </row>
    <row r="89" spans="1:39" ht="18" x14ac:dyDescent="0.25">
      <c r="B89" s="171" t="s">
        <v>390</v>
      </c>
      <c r="C89" s="3" t="s">
        <v>1</v>
      </c>
      <c r="D89" s="3" t="s">
        <v>47</v>
      </c>
      <c r="E89" s="3" t="s">
        <v>5</v>
      </c>
      <c r="F89" s="201" t="s">
        <v>410</v>
      </c>
      <c r="G89" s="132" t="s">
        <v>322</v>
      </c>
      <c r="H89" s="3" t="s">
        <v>392</v>
      </c>
      <c r="I89" s="3" t="s">
        <v>394</v>
      </c>
      <c r="J89" s="4" t="s">
        <v>395</v>
      </c>
      <c r="K89" s="3" t="s">
        <v>396</v>
      </c>
      <c r="L89" s="132" t="s">
        <v>397</v>
      </c>
      <c r="M89" s="132" t="s">
        <v>399</v>
      </c>
      <c r="N89" s="132" t="s">
        <v>488</v>
      </c>
      <c r="P89" s="128" t="s">
        <v>122</v>
      </c>
      <c r="Q89" s="3">
        <f>F82</f>
        <v>111.78777915045893</v>
      </c>
      <c r="R89" s="13" t="s">
        <v>122</v>
      </c>
      <c r="S89" s="3">
        <f>Q89</f>
        <v>111.78777915045893</v>
      </c>
      <c r="X89" s="318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240</v>
      </c>
      <c r="E90" s="19" t="s">
        <v>84</v>
      </c>
      <c r="F90" s="13" t="s">
        <v>42</v>
      </c>
      <c r="G90" s="13" t="s">
        <v>98</v>
      </c>
      <c r="H90" s="13" t="s">
        <v>346</v>
      </c>
      <c r="I90" s="13" t="s">
        <v>240</v>
      </c>
      <c r="J90" s="13" t="s">
        <v>240</v>
      </c>
      <c r="K90" s="13" t="s">
        <v>240</v>
      </c>
      <c r="L90" s="13" t="s">
        <v>98</v>
      </c>
      <c r="M90" s="13" t="s">
        <v>346</v>
      </c>
      <c r="N90" s="13" t="s">
        <v>346</v>
      </c>
      <c r="X90" s="318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0" t="s">
        <v>659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0"/>
      <c r="B92" s="13" t="s">
        <v>182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Y92" s="24"/>
    </row>
    <row r="93" spans="1:39" x14ac:dyDescent="0.2">
      <c r="A93" s="310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0"/>
      <c r="B94" s="13" t="s">
        <v>363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452</v>
      </c>
      <c r="AG94" s="171" t="s">
        <v>483</v>
      </c>
    </row>
    <row r="95" spans="1:39" x14ac:dyDescent="0.2">
      <c r="B95" s="13" t="s">
        <v>379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114</v>
      </c>
      <c r="Z96" s="3" t="s">
        <v>1</v>
      </c>
      <c r="AA96" s="3" t="s">
        <v>47</v>
      </c>
      <c r="AB96" s="3" t="s">
        <v>5</v>
      </c>
      <c r="AC96" s="201" t="s">
        <v>410</v>
      </c>
      <c r="AD96" s="3" t="s">
        <v>39</v>
      </c>
      <c r="AG96" s="171" t="s">
        <v>114</v>
      </c>
      <c r="AH96" s="3" t="s">
        <v>1</v>
      </c>
      <c r="AI96" s="3" t="s">
        <v>47</v>
      </c>
      <c r="AJ96" s="3" t="s">
        <v>5</v>
      </c>
      <c r="AK96" s="201" t="s">
        <v>410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240</v>
      </c>
      <c r="AB97" s="79" t="s">
        <v>84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240</v>
      </c>
      <c r="AJ97" s="79" t="s">
        <v>84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495</v>
      </c>
      <c r="C108" s="3" t="s">
        <v>1</v>
      </c>
      <c r="D108" s="3" t="s">
        <v>5</v>
      </c>
      <c r="E108" s="201" t="s">
        <v>410</v>
      </c>
      <c r="H108" s="171" t="s">
        <v>389</v>
      </c>
      <c r="I108" s="3" t="s">
        <v>1</v>
      </c>
      <c r="J108" s="3" t="s">
        <v>5</v>
      </c>
      <c r="K108" s="201" t="s">
        <v>410</v>
      </c>
    </row>
    <row r="109" spans="2:38" ht="18" x14ac:dyDescent="0.25">
      <c r="B109" s="13" t="s">
        <v>41</v>
      </c>
      <c r="C109" s="13" t="s">
        <v>11</v>
      </c>
      <c r="D109" s="19" t="s">
        <v>84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84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'Ore-&gt;PI'!BR258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451</v>
      </c>
      <c r="AR116" s="16" t="s">
        <v>451</v>
      </c>
    </row>
    <row r="124" spans="2:44" x14ac:dyDescent="0.2">
      <c r="V124" s="3" t="s">
        <v>381</v>
      </c>
    </row>
    <row r="125" spans="2:44" x14ac:dyDescent="0.2">
      <c r="H125" s="3" t="s">
        <v>377</v>
      </c>
      <c r="M125" s="16" t="s">
        <v>375</v>
      </c>
      <c r="U125" s="3" t="s">
        <v>380</v>
      </c>
    </row>
    <row r="127" spans="2:44" x14ac:dyDescent="0.2">
      <c r="C127" s="3" t="s">
        <v>401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31" t="s">
        <v>663</v>
      </c>
      <c r="D147" s="331"/>
      <c r="E147" s="331"/>
      <c r="F147" s="331"/>
      <c r="G147" s="331"/>
    </row>
    <row r="148" spans="1:30" x14ac:dyDescent="0.2">
      <c r="B148" s="171" t="s">
        <v>452</v>
      </c>
      <c r="C148" s="332"/>
      <c r="D148" s="332"/>
      <c r="E148" s="332"/>
      <c r="F148" s="332"/>
      <c r="G148" s="332"/>
    </row>
    <row r="149" spans="1:30" x14ac:dyDescent="0.2">
      <c r="B149" s="3">
        <v>0.7</v>
      </c>
      <c r="I149" s="128" t="s">
        <v>337</v>
      </c>
    </row>
    <row r="150" spans="1:30" ht="18" x14ac:dyDescent="0.25">
      <c r="B150" s="171" t="s">
        <v>113</v>
      </c>
      <c r="C150" s="3" t="s">
        <v>1</v>
      </c>
      <c r="D150" s="3" t="s">
        <v>47</v>
      </c>
      <c r="E150" s="3" t="s">
        <v>5</v>
      </c>
      <c r="F150" s="201" t="s">
        <v>410</v>
      </c>
      <c r="G150" s="3" t="s">
        <v>39</v>
      </c>
      <c r="I150" s="1" t="s">
        <v>89</v>
      </c>
      <c r="L150" s="171" t="s">
        <v>113</v>
      </c>
      <c r="M150" s="3" t="s">
        <v>1</v>
      </c>
      <c r="N150" s="3" t="s">
        <v>47</v>
      </c>
      <c r="O150" s="3" t="s">
        <v>5</v>
      </c>
      <c r="P150" s="201" t="s">
        <v>410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240</v>
      </c>
      <c r="E151" s="79" t="s">
        <v>84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240</v>
      </c>
      <c r="O151" s="79" t="s">
        <v>84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482</v>
      </c>
      <c r="C163" s="3">
        <f>C161+C156</f>
        <v>1292.56993077671</v>
      </c>
    </row>
    <row r="166" spans="2:21" ht="17" x14ac:dyDescent="0.25">
      <c r="B166" s="171" t="s">
        <v>113</v>
      </c>
      <c r="C166" s="201" t="s">
        <v>410</v>
      </c>
      <c r="E166" s="201" t="s">
        <v>410</v>
      </c>
      <c r="G166" s="171" t="s">
        <v>114</v>
      </c>
      <c r="H166" s="201" t="s">
        <v>410</v>
      </c>
      <c r="J166" s="201" t="s">
        <v>410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182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182</v>
      </c>
      <c r="J168" s="1">
        <f>2*J169</f>
        <v>31788.018058373855</v>
      </c>
    </row>
    <row r="169" spans="2:21" ht="18" x14ac:dyDescent="0.25">
      <c r="B169" s="61" t="s">
        <v>454</v>
      </c>
      <c r="C169" s="1">
        <f>F153</f>
        <v>1165.1175310558663</v>
      </c>
      <c r="D169" s="61" t="s">
        <v>455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32" t="s">
        <v>664</v>
      </c>
      <c r="C176" s="332"/>
      <c r="D176" s="332"/>
      <c r="E176" s="332"/>
      <c r="F176" s="332"/>
      <c r="G176" s="332"/>
    </row>
    <row r="177" spans="2:17" x14ac:dyDescent="0.2">
      <c r="B177" s="332"/>
      <c r="C177" s="332"/>
      <c r="D177" s="332"/>
      <c r="E177" s="332"/>
      <c r="F177" s="332"/>
      <c r="G177" s="332"/>
    </row>
    <row r="178" spans="2:17" x14ac:dyDescent="0.2">
      <c r="B178" s="332"/>
      <c r="C178" s="332"/>
      <c r="D178" s="332"/>
      <c r="E178" s="332"/>
      <c r="F178" s="332"/>
      <c r="G178" s="332"/>
    </row>
    <row r="182" spans="2:17" x14ac:dyDescent="0.2">
      <c r="B182" s="171" t="s">
        <v>453</v>
      </c>
    </row>
    <row r="183" spans="2:17" x14ac:dyDescent="0.2">
      <c r="B183" s="3">
        <v>0.15</v>
      </c>
    </row>
    <row r="184" spans="2:17" ht="17" x14ac:dyDescent="0.25">
      <c r="B184" s="171" t="s">
        <v>113</v>
      </c>
      <c r="C184" s="3" t="s">
        <v>1</v>
      </c>
      <c r="D184" s="3" t="s">
        <v>47</v>
      </c>
      <c r="E184" s="3" t="s">
        <v>5</v>
      </c>
      <c r="F184" s="201" t="s">
        <v>410</v>
      </c>
      <c r="G184" s="3" t="s">
        <v>39</v>
      </c>
      <c r="L184" s="171" t="s">
        <v>114</v>
      </c>
      <c r="M184" s="3" t="s">
        <v>1</v>
      </c>
      <c r="N184" s="3" t="s">
        <v>47</v>
      </c>
      <c r="O184" s="3" t="s">
        <v>5</v>
      </c>
      <c r="P184" s="201" t="s">
        <v>410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240</v>
      </c>
      <c r="E185" s="79" t="s">
        <v>84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240</v>
      </c>
      <c r="O185" s="79" t="s">
        <v>84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481</v>
      </c>
      <c r="C195" s="3">
        <f>C194+C190</f>
        <v>276.97927088072356</v>
      </c>
    </row>
    <row r="197" spans="2:10" ht="17" x14ac:dyDescent="0.25">
      <c r="B197" s="171" t="s">
        <v>113</v>
      </c>
      <c r="C197" s="201" t="s">
        <v>410</v>
      </c>
      <c r="E197" s="201" t="s">
        <v>410</v>
      </c>
      <c r="G197" s="171" t="s">
        <v>114</v>
      </c>
      <c r="H197" s="201" t="s">
        <v>410</v>
      </c>
      <c r="J197" s="201" t="s">
        <v>410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182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182</v>
      </c>
      <c r="J199" s="1">
        <f>E199</f>
        <v>6811.7181553658256</v>
      </c>
    </row>
    <row r="200" spans="2:10" ht="18" x14ac:dyDescent="0.25">
      <c r="B200" s="61" t="s">
        <v>454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32" t="s">
        <v>498</v>
      </c>
      <c r="C215" s="332"/>
      <c r="D215" s="332"/>
      <c r="E215" s="332"/>
      <c r="G215" s="20" t="s">
        <v>67</v>
      </c>
      <c r="H215" s="237" t="s">
        <v>24</v>
      </c>
      <c r="J215" s="308" t="s">
        <v>70</v>
      </c>
      <c r="K215" s="308"/>
      <c r="L215" s="308"/>
      <c r="M215" s="308"/>
      <c r="N215" s="308"/>
      <c r="O215" s="308"/>
    </row>
    <row r="216" spans="2:20" ht="18" x14ac:dyDescent="0.25">
      <c r="B216" s="332"/>
      <c r="C216" s="332"/>
      <c r="D216" s="332"/>
      <c r="E216" s="332"/>
      <c r="G216" s="13">
        <v>3.76</v>
      </c>
      <c r="H216" s="13">
        <v>2</v>
      </c>
      <c r="J216" s="308" t="s">
        <v>500</v>
      </c>
      <c r="K216" s="308"/>
      <c r="L216" s="308"/>
      <c r="M216" s="13"/>
      <c r="N216" s="330" t="s">
        <v>75</v>
      </c>
      <c r="O216" s="325"/>
    </row>
    <row r="217" spans="2:20" x14ac:dyDescent="0.2">
      <c r="B217" s="332"/>
      <c r="C217" s="332"/>
      <c r="D217" s="332"/>
      <c r="E217" s="332"/>
      <c r="J217" s="308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8"/>
      <c r="L217" s="308"/>
      <c r="M217" s="308"/>
      <c r="N217" s="308"/>
      <c r="O217" s="308"/>
    </row>
    <row r="218" spans="2:20" x14ac:dyDescent="0.2">
      <c r="B218" s="309" t="s">
        <v>665</v>
      </c>
      <c r="C218" s="309"/>
      <c r="D218" s="309"/>
      <c r="E218" s="309"/>
    </row>
    <row r="220" spans="2:20" ht="17" x14ac:dyDescent="0.25">
      <c r="C220" s="3" t="s">
        <v>1</v>
      </c>
      <c r="D220" s="3" t="s">
        <v>5</v>
      </c>
      <c r="E220" s="201" t="s">
        <v>410</v>
      </c>
      <c r="H220" s="171" t="s">
        <v>389</v>
      </c>
      <c r="I220" s="3" t="s">
        <v>1</v>
      </c>
      <c r="J220" s="3" t="s">
        <v>5</v>
      </c>
      <c r="K220" s="201" t="s">
        <v>410</v>
      </c>
    </row>
    <row r="221" spans="2:20" ht="18" x14ac:dyDescent="0.25">
      <c r="B221" s="171" t="s">
        <v>499</v>
      </c>
      <c r="C221" s="13" t="s">
        <v>11</v>
      </c>
      <c r="D221" s="19" t="s">
        <v>84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84</v>
      </c>
      <c r="K221" s="13" t="s">
        <v>42</v>
      </c>
      <c r="L221" s="3" t="s">
        <v>44</v>
      </c>
    </row>
    <row r="222" spans="2:20" ht="18" x14ac:dyDescent="0.25">
      <c r="B222" s="61" t="s">
        <v>493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206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644</v>
      </c>
      <c r="K228" s="132" t="s">
        <v>647</v>
      </c>
      <c r="L228" s="3" t="s">
        <v>392</v>
      </c>
      <c r="M228" s="3" t="s">
        <v>40</v>
      </c>
      <c r="N228" s="4" t="s">
        <v>35</v>
      </c>
      <c r="O228" s="132" t="s">
        <v>645</v>
      </c>
      <c r="P228" s="132" t="s">
        <v>646</v>
      </c>
    </row>
    <row r="229" spans="2:21" x14ac:dyDescent="0.2">
      <c r="C229" s="3" t="s">
        <v>643</v>
      </c>
      <c r="J229" s="13" t="s">
        <v>98</v>
      </c>
      <c r="K229" s="13" t="s">
        <v>98</v>
      </c>
      <c r="L229" s="13" t="s">
        <v>346</v>
      </c>
      <c r="M229" s="13" t="s">
        <v>240</v>
      </c>
      <c r="N229" s="13" t="s">
        <v>240</v>
      </c>
      <c r="O229" s="13" t="s">
        <v>98</v>
      </c>
      <c r="P229" s="13" t="s">
        <v>346</v>
      </c>
    </row>
    <row r="230" spans="2:21" ht="18" x14ac:dyDescent="0.25">
      <c r="B230" s="13" t="s">
        <v>182</v>
      </c>
      <c r="C230" s="3">
        <f>23*C232</f>
        <v>67.666824132189475</v>
      </c>
      <c r="D230" s="19" t="s">
        <v>303</v>
      </c>
      <c r="E230" s="3">
        <f>E232</f>
        <v>35.304429982011904</v>
      </c>
      <c r="F230" s="19" t="s">
        <v>303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493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648</v>
      </c>
    </row>
    <row r="235" spans="2:21" x14ac:dyDescent="0.2">
      <c r="C235" s="3" t="s">
        <v>590</v>
      </c>
      <c r="N235" s="3" t="s">
        <v>649</v>
      </c>
    </row>
    <row r="236" spans="2:21" x14ac:dyDescent="0.2">
      <c r="B236" s="13" t="s">
        <v>182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493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32" t="s">
        <v>508</v>
      </c>
      <c r="C240" s="332"/>
      <c r="D240" s="332"/>
      <c r="E240" s="332"/>
      <c r="J240" s="308" t="s">
        <v>70</v>
      </c>
      <c r="K240" s="308"/>
      <c r="L240" s="308"/>
      <c r="M240" s="308"/>
      <c r="N240" s="308"/>
      <c r="O240" s="308"/>
    </row>
    <row r="241" spans="2:21" ht="18" x14ac:dyDescent="0.25">
      <c r="B241" s="332"/>
      <c r="C241" s="332"/>
      <c r="D241" s="332"/>
      <c r="E241" s="332"/>
      <c r="J241" s="308" t="s">
        <v>510</v>
      </c>
      <c r="K241" s="308"/>
      <c r="L241" s="308"/>
      <c r="M241" s="13"/>
      <c r="N241" s="330" t="s">
        <v>75</v>
      </c>
      <c r="O241" s="325"/>
    </row>
    <row r="242" spans="2:21" x14ac:dyDescent="0.2">
      <c r="B242" s="332"/>
      <c r="C242" s="332"/>
      <c r="D242" s="332"/>
      <c r="E242" s="332"/>
      <c r="J242" s="308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8"/>
      <c r="L242" s="308"/>
      <c r="M242" s="308"/>
      <c r="N242" s="308"/>
      <c r="O242" s="308"/>
    </row>
    <row r="243" spans="2:21" x14ac:dyDescent="0.2">
      <c r="B243" s="309" t="s">
        <v>665</v>
      </c>
      <c r="C243" s="309"/>
      <c r="D243" s="309"/>
      <c r="E243" s="309"/>
    </row>
    <row r="245" spans="2:21" ht="17" x14ac:dyDescent="0.25">
      <c r="C245" s="3" t="s">
        <v>1</v>
      </c>
      <c r="D245" s="3" t="s">
        <v>5</v>
      </c>
      <c r="E245" s="201" t="s">
        <v>410</v>
      </c>
      <c r="H245" s="171" t="s">
        <v>389</v>
      </c>
      <c r="I245" s="3" t="s">
        <v>1</v>
      </c>
      <c r="J245" s="3" t="s">
        <v>5</v>
      </c>
      <c r="K245" s="201" t="s">
        <v>410</v>
      </c>
    </row>
    <row r="246" spans="2:21" ht="18" x14ac:dyDescent="0.25">
      <c r="B246" s="171" t="s">
        <v>509</v>
      </c>
      <c r="C246" s="13" t="s">
        <v>11</v>
      </c>
      <c r="D246" s="19" t="s">
        <v>84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84</v>
      </c>
      <c r="K246" s="13" t="s">
        <v>42</v>
      </c>
      <c r="L246" s="3" t="s">
        <v>44</v>
      </c>
    </row>
    <row r="247" spans="2:21" ht="18" x14ac:dyDescent="0.25">
      <c r="B247" s="61" t="s">
        <v>492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206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644</v>
      </c>
      <c r="C252" s="132" t="s">
        <v>647</v>
      </c>
      <c r="D252" s="3" t="s">
        <v>392</v>
      </c>
      <c r="E252" s="3" t="s">
        <v>40</v>
      </c>
      <c r="F252" s="4" t="s">
        <v>35</v>
      </c>
      <c r="G252" s="132" t="s">
        <v>645</v>
      </c>
      <c r="H252" s="132" t="s">
        <v>650</v>
      </c>
    </row>
    <row r="253" spans="2:21" x14ac:dyDescent="0.2">
      <c r="B253" s="13" t="s">
        <v>98</v>
      </c>
      <c r="C253" s="13" t="s">
        <v>98</v>
      </c>
      <c r="D253" s="13" t="s">
        <v>346</v>
      </c>
      <c r="E253" s="13" t="s">
        <v>240</v>
      </c>
      <c r="F253" s="13" t="s">
        <v>240</v>
      </c>
      <c r="G253" s="13" t="s">
        <v>98</v>
      </c>
      <c r="H253" s="13" t="s">
        <v>346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32" t="s">
        <v>513</v>
      </c>
      <c r="C257" s="332"/>
      <c r="D257" s="332"/>
      <c r="E257" s="332"/>
      <c r="J257" s="308" t="s">
        <v>70</v>
      </c>
      <c r="K257" s="308"/>
      <c r="L257" s="308"/>
      <c r="M257" s="308"/>
      <c r="N257" s="308"/>
      <c r="O257" s="308"/>
    </row>
    <row r="258" spans="2:19" ht="18" x14ac:dyDescent="0.25">
      <c r="B258" s="332"/>
      <c r="C258" s="332"/>
      <c r="D258" s="332"/>
      <c r="E258" s="332"/>
      <c r="J258" s="308" t="s">
        <v>515</v>
      </c>
      <c r="K258" s="308"/>
      <c r="L258" s="308"/>
      <c r="M258" s="13"/>
      <c r="N258" s="330" t="s">
        <v>75</v>
      </c>
      <c r="O258" s="325"/>
    </row>
    <row r="259" spans="2:19" x14ac:dyDescent="0.2">
      <c r="B259" s="332"/>
      <c r="C259" s="332"/>
      <c r="D259" s="332"/>
      <c r="E259" s="332"/>
      <c r="J259" s="308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8"/>
      <c r="L259" s="308"/>
      <c r="M259" s="308"/>
      <c r="N259" s="308"/>
      <c r="O259" s="308"/>
    </row>
    <row r="260" spans="2:19" x14ac:dyDescent="0.2">
      <c r="B260" s="309" t="s">
        <v>665</v>
      </c>
      <c r="C260" s="309"/>
      <c r="D260" s="309"/>
      <c r="E260" s="309"/>
    </row>
    <row r="262" spans="2:19" ht="17" x14ac:dyDescent="0.25">
      <c r="C262" s="3" t="s">
        <v>1</v>
      </c>
      <c r="D262" s="3" t="s">
        <v>5</v>
      </c>
      <c r="E262" s="201" t="s">
        <v>410</v>
      </c>
      <c r="H262" s="171" t="s">
        <v>389</v>
      </c>
      <c r="I262" s="3" t="s">
        <v>1</v>
      </c>
      <c r="J262" s="3" t="s">
        <v>5</v>
      </c>
      <c r="K262" s="201" t="s">
        <v>410</v>
      </c>
    </row>
    <row r="263" spans="2:19" ht="18" x14ac:dyDescent="0.25">
      <c r="B263" s="171" t="s">
        <v>352</v>
      </c>
      <c r="C263" s="13" t="s">
        <v>11</v>
      </c>
      <c r="D263" s="19" t="s">
        <v>84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84</v>
      </c>
      <c r="K263" s="13" t="s">
        <v>42</v>
      </c>
      <c r="L263" s="3" t="s">
        <v>44</v>
      </c>
    </row>
    <row r="264" spans="2:19" ht="18" x14ac:dyDescent="0.25">
      <c r="B264" s="61" t="s">
        <v>511</v>
      </c>
      <c r="C264" s="3">
        <f>'Ore-&gt;PI'!$EC$105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206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644</v>
      </c>
      <c r="C269" s="132" t="s">
        <v>647</v>
      </c>
      <c r="D269" s="3" t="s">
        <v>392</v>
      </c>
      <c r="E269" s="3" t="s">
        <v>40</v>
      </c>
      <c r="F269" s="4" t="s">
        <v>35</v>
      </c>
      <c r="G269" s="132" t="s">
        <v>645</v>
      </c>
      <c r="H269" s="132" t="s">
        <v>651</v>
      </c>
    </row>
    <row r="270" spans="2:19" x14ac:dyDescent="0.2">
      <c r="B270" s="13" t="s">
        <v>98</v>
      </c>
      <c r="C270" s="13" t="s">
        <v>98</v>
      </c>
      <c r="D270" s="13" t="s">
        <v>346</v>
      </c>
      <c r="E270" s="13" t="s">
        <v>240</v>
      </c>
      <c r="F270" s="13" t="s">
        <v>240</v>
      </c>
      <c r="G270" s="13" t="s">
        <v>98</v>
      </c>
      <c r="H270" s="13" t="s">
        <v>346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32" t="s">
        <v>512</v>
      </c>
      <c r="C273" s="332"/>
      <c r="D273" s="332"/>
      <c r="E273" s="332"/>
      <c r="J273" s="308" t="s">
        <v>70</v>
      </c>
      <c r="K273" s="308"/>
      <c r="L273" s="308"/>
      <c r="M273" s="308"/>
      <c r="N273" s="308"/>
      <c r="O273" s="308"/>
    </row>
    <row r="274" spans="2:15" ht="18" x14ac:dyDescent="0.25">
      <c r="B274" s="332"/>
      <c r="C274" s="332"/>
      <c r="D274" s="332"/>
      <c r="E274" s="332"/>
      <c r="J274" s="308" t="s">
        <v>74</v>
      </c>
      <c r="K274" s="308"/>
      <c r="L274" s="308"/>
      <c r="M274" s="13"/>
      <c r="N274" s="330" t="s">
        <v>75</v>
      </c>
      <c r="O274" s="325"/>
    </row>
    <row r="275" spans="2:15" x14ac:dyDescent="0.2">
      <c r="B275" s="332"/>
      <c r="C275" s="332"/>
      <c r="D275" s="332"/>
      <c r="E275" s="332"/>
      <c r="J275" s="308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8"/>
      <c r="L275" s="308"/>
      <c r="M275" s="308"/>
      <c r="N275" s="308"/>
      <c r="O275" s="308"/>
    </row>
    <row r="276" spans="2:15" x14ac:dyDescent="0.2">
      <c r="B276" s="309" t="s">
        <v>665</v>
      </c>
      <c r="C276" s="309"/>
      <c r="D276" s="309"/>
      <c r="E276" s="309"/>
    </row>
    <row r="278" spans="2:15" ht="17" x14ac:dyDescent="0.25">
      <c r="C278" s="3" t="s">
        <v>1</v>
      </c>
      <c r="D278" s="3" t="s">
        <v>5</v>
      </c>
      <c r="E278" s="201" t="s">
        <v>410</v>
      </c>
      <c r="H278" s="171" t="s">
        <v>389</v>
      </c>
      <c r="I278" s="3" t="s">
        <v>1</v>
      </c>
      <c r="J278" s="3" t="s">
        <v>5</v>
      </c>
      <c r="K278" s="201" t="s">
        <v>410</v>
      </c>
    </row>
    <row r="279" spans="2:15" ht="18" x14ac:dyDescent="0.25">
      <c r="B279" s="171" t="s">
        <v>514</v>
      </c>
      <c r="C279" s="13" t="s">
        <v>11</v>
      </c>
      <c r="D279" s="19" t="s">
        <v>84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84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'Ore-&gt;PI'!EC118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206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322</v>
      </c>
      <c r="F285" s="3" t="s">
        <v>392</v>
      </c>
      <c r="G285" s="3" t="s">
        <v>595</v>
      </c>
      <c r="H285" s="3" t="s">
        <v>595</v>
      </c>
    </row>
    <row r="286" spans="2:15" ht="18" x14ac:dyDescent="0.25">
      <c r="C286" s="13" t="s">
        <v>11</v>
      </c>
      <c r="D286" s="19" t="s">
        <v>84</v>
      </c>
      <c r="E286" s="13" t="s">
        <v>98</v>
      </c>
      <c r="F286" s="13" t="s">
        <v>346</v>
      </c>
      <c r="G286" s="13" t="s">
        <v>346</v>
      </c>
      <c r="H286" s="13" t="s">
        <v>58</v>
      </c>
    </row>
    <row r="287" spans="2:15" x14ac:dyDescent="0.2">
      <c r="B287" s="13" t="s">
        <v>182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593</v>
      </c>
      <c r="C290" s="3">
        <f>C287/C288</f>
        <v>0.33567230039130802</v>
      </c>
    </row>
    <row r="291" spans="2:3" x14ac:dyDescent="0.2">
      <c r="B291" s="3" t="s">
        <v>594</v>
      </c>
      <c r="C291" s="3">
        <f>(1-C290)</f>
        <v>0.66432769960869198</v>
      </c>
    </row>
  </sheetData>
  <mergeCells count="77">
    <mergeCell ref="A80:A85"/>
    <mergeCell ref="A91:A94"/>
    <mergeCell ref="J240:O240"/>
    <mergeCell ref="J241:L241"/>
    <mergeCell ref="B243:E243"/>
    <mergeCell ref="B260:E260"/>
    <mergeCell ref="B276:E276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18:E218"/>
    <mergeCell ref="B240:E24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O10:U10"/>
    <mergeCell ref="O11:Q11"/>
    <mergeCell ref="T11:U11"/>
    <mergeCell ref="O12:Q12"/>
    <mergeCell ref="T12:U1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A60:A61"/>
    <mergeCell ref="H51:M52"/>
    <mergeCell ref="B44:C44"/>
    <mergeCell ref="B35:B36"/>
    <mergeCell ref="C47:F48"/>
    <mergeCell ref="H48:M48"/>
    <mergeCell ref="J59:J62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629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619</v>
      </c>
      <c r="E3" s="3" t="s">
        <v>618</v>
      </c>
      <c r="F3" s="292" t="s">
        <v>613</v>
      </c>
      <c r="G3" s="292" t="s">
        <v>621</v>
      </c>
      <c r="H3" s="3" t="s">
        <v>622</v>
      </c>
      <c r="I3" s="292" t="s">
        <v>623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630</v>
      </c>
      <c r="V3" s="3" t="s">
        <v>631</v>
      </c>
    </row>
    <row r="4" spans="2:22" x14ac:dyDescent="0.2">
      <c r="B4" s="3"/>
      <c r="C4" s="171" t="s">
        <v>602</v>
      </c>
      <c r="D4" s="13" t="s">
        <v>620</v>
      </c>
      <c r="E4" s="13" t="s">
        <v>63</v>
      </c>
      <c r="F4" s="13" t="s">
        <v>346</v>
      </c>
      <c r="G4" s="13" t="s">
        <v>620</v>
      </c>
      <c r="H4" s="13" t="s">
        <v>98</v>
      </c>
      <c r="I4" s="13" t="s">
        <v>620</v>
      </c>
      <c r="J4" s="13" t="s">
        <v>346</v>
      </c>
      <c r="K4" s="13" t="s">
        <v>58</v>
      </c>
      <c r="L4" s="3"/>
      <c r="M4" s="3"/>
      <c r="N4" s="3"/>
      <c r="O4" s="3"/>
      <c r="P4" s="3"/>
      <c r="Q4" s="3"/>
      <c r="T4" s="171" t="s">
        <v>602</v>
      </c>
      <c r="U4" s="13" t="s">
        <v>58</v>
      </c>
      <c r="V4" s="13" t="s">
        <v>58</v>
      </c>
    </row>
    <row r="5" spans="2:22" ht="15" customHeight="1" x14ac:dyDescent="0.2">
      <c r="B5" s="339" t="s">
        <v>596</v>
      </c>
      <c r="C5" s="3" t="s">
        <v>601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601</v>
      </c>
      <c r="U5" s="3">
        <f>K5</f>
        <v>-9.8484726160779719</v>
      </c>
      <c r="V5">
        <f>K15</f>
        <v>880.83108552905367</v>
      </c>
    </row>
    <row r="6" spans="2:22" ht="18" x14ac:dyDescent="0.25">
      <c r="B6" s="339"/>
      <c r="C6" s="3"/>
      <c r="D6" s="3" t="s">
        <v>54</v>
      </c>
      <c r="E6" s="1" t="s">
        <v>606</v>
      </c>
      <c r="F6" s="1" t="s">
        <v>607</v>
      </c>
      <c r="G6" s="1" t="s">
        <v>608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604</v>
      </c>
      <c r="U6" s="3">
        <f>H8</f>
        <v>831.8</v>
      </c>
      <c r="V6" s="3">
        <f>H18</f>
        <v>831.8</v>
      </c>
    </row>
    <row r="7" spans="2:22" ht="16" x14ac:dyDescent="0.2">
      <c r="B7" s="339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603</v>
      </c>
      <c r="U7" s="3">
        <f>Q11</f>
        <v>-293.51452993154498</v>
      </c>
      <c r="V7">
        <f>P21</f>
        <v>-2123.0450060933322</v>
      </c>
    </row>
    <row r="8" spans="2:22" x14ac:dyDescent="0.2">
      <c r="B8" s="339"/>
      <c r="C8" s="3" t="s">
        <v>604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9"/>
      <c r="C9" s="3"/>
      <c r="D9" s="3" t="s">
        <v>40</v>
      </c>
      <c r="E9" s="3" t="s">
        <v>598</v>
      </c>
      <c r="F9" s="3" t="s">
        <v>599</v>
      </c>
      <c r="G9" s="292" t="s">
        <v>610</v>
      </c>
      <c r="H9" s="292" t="s">
        <v>611</v>
      </c>
      <c r="I9" s="3" t="s">
        <v>612</v>
      </c>
      <c r="J9" s="292" t="s">
        <v>613</v>
      </c>
      <c r="K9" s="292" t="s">
        <v>614</v>
      </c>
      <c r="L9" s="292" t="s">
        <v>101</v>
      </c>
      <c r="M9" s="292" t="s">
        <v>615</v>
      </c>
      <c r="N9" s="292" t="s">
        <v>616</v>
      </c>
      <c r="O9" s="3" t="s">
        <v>54</v>
      </c>
      <c r="P9" s="292" t="s">
        <v>617</v>
      </c>
      <c r="Q9" s="292" t="s">
        <v>34</v>
      </c>
    </row>
    <row r="10" spans="2:22" ht="17" x14ac:dyDescent="0.25">
      <c r="B10" s="339"/>
      <c r="C10" s="3"/>
      <c r="D10" s="13" t="s">
        <v>632</v>
      </c>
      <c r="E10" s="13" t="s">
        <v>240</v>
      </c>
      <c r="F10" s="13" t="s">
        <v>240</v>
      </c>
      <c r="G10" s="13" t="s">
        <v>503</v>
      </c>
      <c r="H10" s="13" t="s">
        <v>503</v>
      </c>
      <c r="I10" s="13" t="s">
        <v>240</v>
      </c>
      <c r="J10" s="13" t="s">
        <v>503</v>
      </c>
      <c r="K10" s="13" t="s">
        <v>504</v>
      </c>
      <c r="L10" s="13" t="s">
        <v>504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630</v>
      </c>
      <c r="V10" s="3" t="s">
        <v>631</v>
      </c>
    </row>
    <row r="11" spans="2:22" x14ac:dyDescent="0.2">
      <c r="B11" s="339"/>
      <c r="C11" s="3" t="s">
        <v>603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602</v>
      </c>
      <c r="U11" s="13" t="s">
        <v>58</v>
      </c>
      <c r="V11" s="13" t="s">
        <v>58</v>
      </c>
    </row>
    <row r="12" spans="2:22" x14ac:dyDescent="0.2">
      <c r="S12" s="340" t="s">
        <v>633</v>
      </c>
      <c r="T12" s="13" t="s">
        <v>601</v>
      </c>
      <c r="U12" s="240" t="s">
        <v>479</v>
      </c>
      <c r="V12" s="240">
        <v>880.83</v>
      </c>
    </row>
    <row r="13" spans="2:22" x14ac:dyDescent="0.2">
      <c r="B13" s="240"/>
      <c r="C13" s="240"/>
      <c r="D13" s="240" t="s">
        <v>600</v>
      </c>
      <c r="E13" s="240" t="s">
        <v>598</v>
      </c>
      <c r="F13" s="240" t="s">
        <v>599</v>
      </c>
      <c r="G13" s="240" t="s">
        <v>33</v>
      </c>
      <c r="H13" s="240" t="s">
        <v>34</v>
      </c>
      <c r="I13" s="293" t="s">
        <v>322</v>
      </c>
      <c r="J13" s="293" t="s">
        <v>345</v>
      </c>
      <c r="K13" s="293" t="s">
        <v>34</v>
      </c>
      <c r="L13" s="240"/>
      <c r="M13" s="240"/>
      <c r="N13" s="240"/>
      <c r="O13" s="240"/>
      <c r="P13" s="240"/>
      <c r="S13" s="340"/>
      <c r="T13" s="13" t="s">
        <v>604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240</v>
      </c>
      <c r="F14" s="294" t="s">
        <v>240</v>
      </c>
      <c r="G14" s="294" t="s">
        <v>605</v>
      </c>
      <c r="H14" s="294" t="s">
        <v>605</v>
      </c>
      <c r="I14" s="294" t="s">
        <v>98</v>
      </c>
      <c r="J14" s="294" t="s">
        <v>346</v>
      </c>
      <c r="K14" s="294" t="s">
        <v>58</v>
      </c>
      <c r="L14" s="240"/>
      <c r="M14" s="240"/>
      <c r="N14" s="240"/>
      <c r="O14" s="240"/>
      <c r="P14" s="240"/>
      <c r="S14" s="340"/>
      <c r="T14" s="13" t="s">
        <v>603</v>
      </c>
      <c r="U14" s="240">
        <v>869.44899999999996</v>
      </c>
      <c r="V14" s="240">
        <v>858.81600000000003</v>
      </c>
    </row>
    <row r="15" spans="2:22" x14ac:dyDescent="0.2">
      <c r="B15" s="339" t="s">
        <v>597</v>
      </c>
      <c r="C15" s="240" t="s">
        <v>601</v>
      </c>
      <c r="D15" s="240">
        <f>'Ore-&gt;PI'!BR156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9"/>
      <c r="C16" s="240"/>
      <c r="D16" s="240" t="s">
        <v>54</v>
      </c>
      <c r="E16" s="295" t="s">
        <v>606</v>
      </c>
      <c r="F16" s="295" t="s">
        <v>607</v>
      </c>
      <c r="G16" s="295" t="s">
        <v>608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9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9"/>
      <c r="C18" s="240" t="s">
        <v>604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9"/>
      <c r="C19" s="240"/>
      <c r="D19" s="240" t="s">
        <v>502</v>
      </c>
      <c r="E19" s="240" t="s">
        <v>502</v>
      </c>
      <c r="F19" s="297" t="s">
        <v>625</v>
      </c>
      <c r="G19" s="297" t="s">
        <v>626</v>
      </c>
      <c r="H19" s="297" t="s">
        <v>613</v>
      </c>
      <c r="I19" s="297" t="s">
        <v>623</v>
      </c>
      <c r="J19" s="297" t="s">
        <v>623</v>
      </c>
      <c r="K19" s="240" t="s">
        <v>40</v>
      </c>
      <c r="L19" s="297" t="s">
        <v>615</v>
      </c>
      <c r="M19" s="297" t="s">
        <v>616</v>
      </c>
      <c r="N19" s="297" t="s">
        <v>627</v>
      </c>
      <c r="O19" s="297" t="s">
        <v>628</v>
      </c>
      <c r="P19" s="297" t="s">
        <v>34</v>
      </c>
    </row>
    <row r="20" spans="2:16" x14ac:dyDescent="0.2">
      <c r="B20" s="339"/>
      <c r="C20" s="240"/>
      <c r="D20" s="294" t="s">
        <v>503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504</v>
      </c>
      <c r="J20" s="294" t="s">
        <v>624</v>
      </c>
      <c r="K20" s="294" t="s">
        <v>609</v>
      </c>
      <c r="L20" s="294" t="s">
        <v>98</v>
      </c>
      <c r="M20" s="294" t="s">
        <v>98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9"/>
      <c r="C21" s="240" t="s">
        <v>603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574</v>
      </c>
    </row>
    <row r="33" spans="3:3" x14ac:dyDescent="0.2">
      <c r="C33" s="3" t="s">
        <v>575</v>
      </c>
    </row>
    <row r="34" spans="3:3" x14ac:dyDescent="0.2">
      <c r="C34" s="3" t="s">
        <v>559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60"/>
  <sheetViews>
    <sheetView topLeftCell="EM100" zoomScaleNormal="120" workbookViewId="0">
      <selection activeCell="EF106" sqref="EF106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0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62" t="s">
        <v>364</v>
      </c>
      <c r="Q23" s="362"/>
      <c r="BG23" s="16" t="s">
        <v>191</v>
      </c>
      <c r="BH23" s="3" t="s">
        <v>300</v>
      </c>
      <c r="BI23" s="3" t="s">
        <v>301</v>
      </c>
    </row>
    <row r="24" spans="14:66" ht="16" customHeight="1" thickBot="1" x14ac:dyDescent="0.25">
      <c r="P24" s="363"/>
      <c r="Q24" s="363"/>
    </row>
    <row r="25" spans="14:66" ht="16" x14ac:dyDescent="0.2">
      <c r="P25" s="352" t="s">
        <v>344</v>
      </c>
      <c r="Q25" s="138" t="s">
        <v>317</v>
      </c>
      <c r="AO25" s="354" t="s">
        <v>439</v>
      </c>
      <c r="AP25" s="354"/>
      <c r="AQ25" s="354"/>
      <c r="AR25" s="354"/>
      <c r="AS25" s="354"/>
      <c r="AT25" s="354"/>
      <c r="AU25" s="354"/>
      <c r="BH25" s="354" t="s">
        <v>443</v>
      </c>
      <c r="BI25" s="354"/>
      <c r="BJ25" s="354"/>
      <c r="BK25" s="354"/>
      <c r="BL25" s="354"/>
      <c r="BM25" s="354"/>
      <c r="BN25" s="354"/>
    </row>
    <row r="26" spans="14:66" x14ac:dyDescent="0.2">
      <c r="P26" s="353"/>
      <c r="Q26" s="136" t="s">
        <v>48</v>
      </c>
      <c r="AO26" s="13" t="s">
        <v>289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322</v>
      </c>
      <c r="AU26" s="13" t="s">
        <v>316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322</v>
      </c>
      <c r="BN26" s="13" t="s">
        <v>316</v>
      </c>
    </row>
    <row r="27" spans="14:66" ht="17" x14ac:dyDescent="0.25">
      <c r="P27" s="139" t="s">
        <v>341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639</v>
      </c>
      <c r="Q28" s="136">
        <f>V42/V59</f>
        <v>1.1602561161065021</v>
      </c>
      <c r="AO28" s="13" t="s">
        <v>265</v>
      </c>
      <c r="AP28" s="13" t="s">
        <v>293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294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343</v>
      </c>
      <c r="Q29" s="137">
        <f>V46/V59</f>
        <v>0.97422228752096129</v>
      </c>
      <c r="BH29" s="13" t="s">
        <v>265</v>
      </c>
      <c r="BI29" s="13" t="s">
        <v>295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296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297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298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299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71"/>
      <c r="R41" s="271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1" t="s">
        <v>423</v>
      </c>
      <c r="F42" s="371"/>
      <c r="G42" s="371"/>
      <c r="H42" s="371"/>
      <c r="J42" s="4"/>
      <c r="K42" s="4"/>
      <c r="L42" s="4"/>
      <c r="M42" s="4"/>
      <c r="N42" s="4"/>
      <c r="O42" s="4"/>
      <c r="P42" s="271"/>
      <c r="Q42" s="271" t="s">
        <v>424</v>
      </c>
      <c r="R42" s="271"/>
      <c r="S42" s="4"/>
      <c r="T42" s="4"/>
      <c r="U42" s="50">
        <f>K52</f>
        <v>1011.7674660019052</v>
      </c>
      <c r="V42" s="48">
        <f>V52</f>
        <v>109233.7126431732</v>
      </c>
      <c r="W42" s="355" t="s">
        <v>416</v>
      </c>
      <c r="X42" s="355"/>
      <c r="Y42" s="355"/>
      <c r="Z42" s="355"/>
      <c r="AA42" s="355"/>
      <c r="AB42" s="4"/>
      <c r="AC42" s="4"/>
      <c r="AD42" s="4"/>
      <c r="AE42" s="4"/>
      <c r="AF42" s="4"/>
      <c r="AG42" s="4"/>
      <c r="AH42" s="4"/>
      <c r="AI42" s="97"/>
      <c r="AJ42" s="4" t="s">
        <v>553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55" t="s">
        <v>567</v>
      </c>
      <c r="AQ42" s="355"/>
      <c r="AR42" s="355"/>
      <c r="AS42" s="355"/>
      <c r="AT42" s="355"/>
      <c r="AV42" s="4"/>
      <c r="AW42" s="4"/>
      <c r="AX42" s="4"/>
      <c r="AY42" s="4"/>
      <c r="AZ42" s="4"/>
      <c r="BA42" s="4"/>
      <c r="BB42" s="4"/>
      <c r="BC42" s="4" t="s">
        <v>552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55" t="s">
        <v>444</v>
      </c>
      <c r="BJ42" s="355"/>
      <c r="BK42" s="355"/>
      <c r="BL42" s="355"/>
      <c r="BM42" s="355"/>
      <c r="BV42" s="3" t="s">
        <v>550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1"/>
      <c r="F43" s="371"/>
      <c r="G43" s="371"/>
      <c r="H43" s="371"/>
      <c r="J43" s="4"/>
      <c r="K43" s="4"/>
      <c r="L43" s="4"/>
      <c r="M43" s="4"/>
      <c r="N43" s="4"/>
      <c r="O43" s="4"/>
      <c r="P43" s="4"/>
      <c r="Q43" s="4"/>
      <c r="R43" s="4"/>
      <c r="S43" s="4"/>
      <c r="W43" s="361"/>
      <c r="X43" s="361"/>
      <c r="Y43" s="361"/>
      <c r="Z43" s="361"/>
      <c r="AA43" s="361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55"/>
      <c r="AQ43" s="355"/>
      <c r="AR43" s="355"/>
      <c r="AS43" s="355"/>
      <c r="AT43" s="355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55"/>
      <c r="BJ43" s="355"/>
      <c r="BK43" s="355"/>
      <c r="BL43" s="355"/>
      <c r="BM43" s="355"/>
    </row>
    <row r="44" spans="5:80" ht="19.25" customHeight="1" x14ac:dyDescent="0.25">
      <c r="J44" s="4"/>
      <c r="K44" s="1" t="s">
        <v>560</v>
      </c>
      <c r="L44" s="1" t="s">
        <v>561</v>
      </c>
      <c r="M44" s="1" t="s">
        <v>563</v>
      </c>
      <c r="N44" s="1" t="s">
        <v>85</v>
      </c>
      <c r="O44" s="1" t="s">
        <v>667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562</v>
      </c>
      <c r="V44" s="1" t="s">
        <v>50</v>
      </c>
      <c r="W44" s="22" t="s">
        <v>432</v>
      </c>
      <c r="X44" s="100" t="s">
        <v>480</v>
      </c>
      <c r="Y44" s="192" t="s">
        <v>337</v>
      </c>
      <c r="Z44" s="357" t="s">
        <v>344</v>
      </c>
      <c r="AA44" s="138" t="s">
        <v>317</v>
      </c>
      <c r="AB44" s="4"/>
      <c r="AC44" s="4"/>
      <c r="AD44" s="1" t="s">
        <v>560</v>
      </c>
      <c r="AE44" s="1" t="s">
        <v>561</v>
      </c>
      <c r="AF44" s="1" t="s">
        <v>563</v>
      </c>
      <c r="AG44" s="1" t="s">
        <v>85</v>
      </c>
      <c r="AH44" s="1" t="s">
        <v>667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562</v>
      </c>
      <c r="AO44" s="1" t="s">
        <v>50</v>
      </c>
      <c r="AP44" s="22" t="s">
        <v>432</v>
      </c>
      <c r="AQ44" s="22" t="s">
        <v>480</v>
      </c>
      <c r="AR44" s="161" t="s">
        <v>337</v>
      </c>
      <c r="AS44" s="352" t="s">
        <v>344</v>
      </c>
      <c r="AT44" s="138" t="s">
        <v>317</v>
      </c>
      <c r="AU44" s="4"/>
      <c r="AV44" s="4"/>
      <c r="AW44" s="1" t="s">
        <v>560</v>
      </c>
      <c r="AX44" s="1" t="s">
        <v>561</v>
      </c>
      <c r="AY44" s="1" t="s">
        <v>563</v>
      </c>
      <c r="AZ44" s="1" t="s">
        <v>85</v>
      </c>
      <c r="BA44" s="1" t="s">
        <v>667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562</v>
      </c>
      <c r="BH44" s="1" t="s">
        <v>50</v>
      </c>
      <c r="BI44" s="22" t="s">
        <v>432</v>
      </c>
      <c r="BJ44" s="22" t="s">
        <v>480</v>
      </c>
      <c r="BK44" s="192" t="s">
        <v>337</v>
      </c>
      <c r="BL44" s="352" t="s">
        <v>344</v>
      </c>
      <c r="BM44" s="138" t="s">
        <v>317</v>
      </c>
      <c r="BN44" s="1"/>
      <c r="BO44" s="4"/>
      <c r="BP44" s="1" t="s">
        <v>560</v>
      </c>
      <c r="BQ44" s="1" t="s">
        <v>561</v>
      </c>
      <c r="BR44" s="1" t="s">
        <v>563</v>
      </c>
      <c r="BS44" s="1" t="s">
        <v>85</v>
      </c>
      <c r="BT44" s="1" t="s">
        <v>667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562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283</v>
      </c>
      <c r="M45" s="1" t="s">
        <v>90</v>
      </c>
      <c r="N45" s="1" t="s">
        <v>86</v>
      </c>
      <c r="O45" s="1" t="s">
        <v>652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3" t="s">
        <v>48</v>
      </c>
      <c r="X45" s="75" t="s">
        <v>48</v>
      </c>
      <c r="Y45" s="193" t="s">
        <v>89</v>
      </c>
      <c r="Z45" s="358"/>
      <c r="AA45" s="136" t="s">
        <v>82</v>
      </c>
      <c r="AB45" s="4"/>
      <c r="AC45" s="4"/>
      <c r="AD45" s="1" t="s">
        <v>88</v>
      </c>
      <c r="AE45" s="4" t="s">
        <v>283</v>
      </c>
      <c r="AF45" s="1" t="s">
        <v>90</v>
      </c>
      <c r="AG45" s="1" t="s">
        <v>86</v>
      </c>
      <c r="AH45" s="1" t="s">
        <v>652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3" t="s">
        <v>48</v>
      </c>
      <c r="AQ45" s="9" t="s">
        <v>48</v>
      </c>
      <c r="AR45" s="1" t="s">
        <v>89</v>
      </c>
      <c r="AS45" s="353"/>
      <c r="AT45" s="136" t="s">
        <v>82</v>
      </c>
      <c r="AU45" s="4"/>
      <c r="AV45" s="4"/>
      <c r="AW45" s="1" t="s">
        <v>88</v>
      </c>
      <c r="AX45" s="4" t="s">
        <v>283</v>
      </c>
      <c r="AY45" s="1" t="s">
        <v>90</v>
      </c>
      <c r="AZ45" s="1" t="s">
        <v>86</v>
      </c>
      <c r="BA45" s="1" t="s">
        <v>652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3" t="s">
        <v>48</v>
      </c>
      <c r="BJ45" s="9" t="s">
        <v>48</v>
      </c>
      <c r="BK45" s="9" t="s">
        <v>89</v>
      </c>
      <c r="BL45" s="353"/>
      <c r="BM45" s="136" t="s">
        <v>82</v>
      </c>
      <c r="BN45" s="4"/>
      <c r="BO45" s="4" t="s">
        <v>41</v>
      </c>
      <c r="BP45" s="1" t="s">
        <v>88</v>
      </c>
      <c r="BQ45" s="4" t="s">
        <v>283</v>
      </c>
      <c r="BR45" s="2" t="s">
        <v>90</v>
      </c>
      <c r="BS45" s="2" t="s">
        <v>86</v>
      </c>
      <c r="BT45" s="1" t="s">
        <v>652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48" t="s">
        <v>424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-5161.3080991582347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4">
        <f>ROUND(U42+U59+U72-AN42-AN63, 10)</f>
        <v>0</v>
      </c>
      <c r="Z46" s="191" t="s">
        <v>341</v>
      </c>
      <c r="AA46" s="136">
        <f>(($AG$46*($AN$46-$U$46))/V59)</f>
        <v>0</v>
      </c>
      <c r="AB46" s="348" t="s">
        <v>553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-5161.3080991582347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341</v>
      </c>
      <c r="AT46" s="136">
        <f>((AZ46*(BG46-AN46))/AU28)</f>
        <v>0</v>
      </c>
      <c r="AU46" s="348" t="s">
        <v>552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-5161.3080991582347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4">
        <f>BZ42+BZ55-BG42</f>
        <v>0</v>
      </c>
      <c r="BL46" s="139" t="s">
        <v>341</v>
      </c>
      <c r="BM46" s="136">
        <f>((BS46*(BZ46-BG46))/BN35)</f>
        <v>0.10204303400670409</v>
      </c>
      <c r="BN46" s="348" t="s">
        <v>550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-5161.3080991582347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48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-15157.037695371337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639</v>
      </c>
      <c r="AA47" s="136">
        <f>($AO$42+AO63)/(V59+V72+$V$42)</f>
        <v>0.54834789034775577</v>
      </c>
      <c r="AB47" s="348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-15157.037695371337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639</v>
      </c>
      <c r="AT47" s="136">
        <f>BH42/(AU28+AO42)</f>
        <v>0.15191900995389168</v>
      </c>
      <c r="AU47" s="348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-15157.037695371337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639</v>
      </c>
      <c r="BM47" s="136">
        <f>(CA42+CA55)/(BN35+BH42)</f>
        <v>0.9084965360427989</v>
      </c>
      <c r="BN47" s="348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-15157.037695371337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48" t="s">
        <v>555</v>
      </c>
      <c r="J48" s="4" t="s">
        <v>315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-3024.5445666482651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407</v>
      </c>
      <c r="AA48" s="137">
        <f>$AO$46/(V59+V72+$V$42)</f>
        <v>0.4504526211892465</v>
      </c>
      <c r="AB48" s="348" t="s">
        <v>554</v>
      </c>
      <c r="AC48" s="4" t="s">
        <v>315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-3024.5445666482651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407</v>
      </c>
      <c r="AT48" s="137">
        <f>BH46/(AU28+AO42)</f>
        <v>0.12756053024900801</v>
      </c>
      <c r="AU48" s="348" t="s">
        <v>551</v>
      </c>
      <c r="AV48" s="4" t="s">
        <v>315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-3024.5445666482651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407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>
        <f>SUM(BT46:BT47)</f>
        <v>-20318.34579452957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48"/>
      <c r="J49" s="4" t="s">
        <v>307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-16434.670424590011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48"/>
      <c r="AC49" s="4" t="s">
        <v>307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-16434.670424590011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48"/>
      <c r="AV49" s="4" t="s">
        <v>307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-16434.670424590011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668</v>
      </c>
      <c r="BU49" s="4"/>
      <c r="BV49" s="4"/>
      <c r="BZ49" s="3" t="s">
        <v>96</v>
      </c>
      <c r="CA49" s="1" t="s">
        <v>93</v>
      </c>
    </row>
    <row r="50" spans="2:86" x14ac:dyDescent="0.2">
      <c r="I50" s="348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48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48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48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48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48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>
        <f>SUM(O46:O51)</f>
        <v>-39777.560785767848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587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62">
        <f>SUM(AH46:AH51)</f>
        <v>-39777.560785767848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587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62">
        <f>SUM(BA46:BA51)</f>
        <v>-39777.560785767848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587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668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589</v>
      </c>
      <c r="Z53" s="1" t="s">
        <v>589</v>
      </c>
      <c r="AA53" s="1" t="s">
        <v>589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668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589</v>
      </c>
      <c r="AS53" s="1" t="s">
        <v>589</v>
      </c>
      <c r="AT53" s="1" t="s">
        <v>589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668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589</v>
      </c>
      <c r="BK53" s="1" t="s">
        <v>589</v>
      </c>
      <c r="BL53" s="1" t="s">
        <v>589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588</v>
      </c>
      <c r="Z54" s="3" t="s">
        <v>588</v>
      </c>
      <c r="AA54" s="3" t="s">
        <v>588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588</v>
      </c>
      <c r="AS54" s="3" t="s">
        <v>588</v>
      </c>
      <c r="AT54" s="3" t="s">
        <v>588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588</v>
      </c>
      <c r="BK54" s="3" t="s">
        <v>588</v>
      </c>
      <c r="BL54" s="3" t="s">
        <v>588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549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6">
        <f>N47</f>
        <v>1979.5520626852608</v>
      </c>
      <c r="Z56" s="286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6">
        <f>AG47</f>
        <v>1979.5520626852608</v>
      </c>
      <c r="AS56" s="286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318</v>
      </c>
      <c r="Y57" s="286">
        <f>2*N48</f>
        <v>26.539522960691897</v>
      </c>
      <c r="Z57" s="286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318</v>
      </c>
      <c r="AR57" s="286">
        <f>2*AG48</f>
        <v>26.539522960691897</v>
      </c>
      <c r="AS57" s="286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318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560</v>
      </c>
      <c r="BQ57" s="1" t="s">
        <v>561</v>
      </c>
      <c r="BR57" s="1" t="s">
        <v>563</v>
      </c>
      <c r="BS57" s="1" t="s">
        <v>85</v>
      </c>
      <c r="BT57" s="1" t="s">
        <v>667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562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311</v>
      </c>
      <c r="Y58" s="286">
        <f>2*N49</f>
        <v>196.14637665136635</v>
      </c>
      <c r="Z58" s="286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311</v>
      </c>
      <c r="AR58" s="286">
        <f>2*AG49</f>
        <v>196.14637665136635</v>
      </c>
      <c r="AS58" s="286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311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51"/>
      <c r="BO58" s="4" t="s">
        <v>41</v>
      </c>
      <c r="BP58" s="1" t="s">
        <v>88</v>
      </c>
      <c r="BQ58" s="4" t="s">
        <v>283</v>
      </c>
      <c r="BR58" s="2" t="s">
        <v>90</v>
      </c>
      <c r="BS58" s="2" t="s">
        <v>86</v>
      </c>
      <c r="BT58" s="1" t="s">
        <v>652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83" t="s">
        <v>578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6">
        <f>N50</f>
        <v>12.394871839617645</v>
      </c>
      <c r="Z59" s="286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6">
        <f>AG50</f>
        <v>12.394871839617645</v>
      </c>
      <c r="AS59" s="286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6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48" t="s">
        <v>549</v>
      </c>
      <c r="BO59" s="62" t="s">
        <v>315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-3024.5445666482651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319</v>
      </c>
      <c r="F60" s="3" t="s">
        <v>320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6">
        <f>N51</f>
        <v>4.1765146853454036</v>
      </c>
      <c r="Z60" s="286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6">
        <f>AG51</f>
        <v>4.1765146853454036</v>
      </c>
      <c r="AS60" s="286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6">
        <f>AZ51</f>
        <v>4.1765146853454036</v>
      </c>
      <c r="BK60" s="286">
        <f>BS62</f>
        <v>4.1765146853454036</v>
      </c>
      <c r="BL60" s="3">
        <f t="shared" si="30"/>
        <v>0</v>
      </c>
      <c r="BM60" s="4"/>
      <c r="BN60" s="348"/>
      <c r="BO60" s="4" t="s">
        <v>307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-16434.670424590011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42" t="s">
        <v>490</v>
      </c>
      <c r="C61" s="342"/>
      <c r="D61" s="342"/>
      <c r="E61" s="342"/>
      <c r="F61" s="342"/>
      <c r="G61" s="342"/>
      <c r="H61" s="342"/>
      <c r="J61" s="4"/>
      <c r="K61" s="3" t="s">
        <v>566</v>
      </c>
      <c r="L61" s="1" t="s">
        <v>560</v>
      </c>
      <c r="M61" s="1" t="s">
        <v>563</v>
      </c>
      <c r="N61" s="1" t="s">
        <v>85</v>
      </c>
      <c r="O61" s="1" t="s">
        <v>667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562</v>
      </c>
      <c r="V61" s="1" t="s">
        <v>50</v>
      </c>
      <c r="X61" s="4" t="s">
        <v>18</v>
      </c>
      <c r="Y61" s="286">
        <f>12*N63</f>
        <v>148.42688499366969</v>
      </c>
      <c r="Z61" s="286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6">
        <f>(3*AG46)+(2*AG47)+AG48+(3*AG49)</f>
        <v>20818.724417046393</v>
      </c>
      <c r="AS61" s="286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6">
        <f>(3*AZ46)+(2*AZ47)+AZ48+(3*AZ49)</f>
        <v>20818.724417046393</v>
      </c>
      <c r="BK61" s="286">
        <f>(3*BS46)+(2*BS47)+BS59+(3*BS60)</f>
        <v>20818.724417046393</v>
      </c>
      <c r="BL61" s="3">
        <f t="shared" si="30"/>
        <v>0</v>
      </c>
      <c r="BM61" s="4"/>
      <c r="BN61" s="348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43"/>
      <c r="C62" s="343"/>
      <c r="D62" s="343"/>
      <c r="E62" s="343"/>
      <c r="F62" s="343"/>
      <c r="G62" s="343"/>
      <c r="H62" s="343"/>
      <c r="J62" s="4" t="s">
        <v>41</v>
      </c>
      <c r="K62" s="3" t="s">
        <v>565</v>
      </c>
      <c r="L62" s="1" t="s">
        <v>88</v>
      </c>
      <c r="M62" s="1" t="s">
        <v>90</v>
      </c>
      <c r="N62" s="1" t="s">
        <v>86</v>
      </c>
      <c r="O62" s="1" t="s">
        <v>652</v>
      </c>
      <c r="P62" s="1" t="s">
        <v>653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6">
        <f>23*N63</f>
        <v>284.48486290453354</v>
      </c>
      <c r="Z62" s="286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48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322</v>
      </c>
      <c r="H63" s="13" t="s">
        <v>316</v>
      </c>
      <c r="I63" s="282" t="s">
        <v>578</v>
      </c>
      <c r="J63" s="62" t="s">
        <v>493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</f>
        <v>42600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6">
        <f>(3*N46)+(2*N47)+N48+(3*N49)+(2*N76)</f>
        <v>21257.820618485999</v>
      </c>
      <c r="Z63" s="286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518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51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62">
        <f>SUM(BT57:BT62)</f>
        <v>-19459.214991238277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42600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363</v>
      </c>
      <c r="Y64" s="286">
        <f>2*N77</f>
        <v>1651.0017174129191</v>
      </c>
      <c r="Z64" s="286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668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668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560</v>
      </c>
      <c r="AE65" s="1" t="s">
        <v>561</v>
      </c>
      <c r="AF65" s="1" t="s">
        <v>563</v>
      </c>
      <c r="AG65" s="1" t="s">
        <v>85</v>
      </c>
      <c r="AH65" s="1" t="s">
        <v>667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562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283</v>
      </c>
      <c r="AF66" s="2" t="s">
        <v>12</v>
      </c>
      <c r="AG66" s="2" t="s">
        <v>13</v>
      </c>
      <c r="AH66" s="1" t="s">
        <v>652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48" t="s">
        <v>518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-8941.1903712354979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290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48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-13421.939597941302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291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48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292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48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8">
        <f>SUM(AH67:AH69)</f>
        <v>-22363.1299691768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668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529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42" t="s">
        <v>523</v>
      </c>
      <c r="F74" s="342"/>
      <c r="G74" s="342"/>
      <c r="H74" s="342"/>
      <c r="K74" s="1" t="s">
        <v>560</v>
      </c>
      <c r="L74" s="1" t="s">
        <v>561</v>
      </c>
      <c r="M74" s="1" t="s">
        <v>563</v>
      </c>
      <c r="N74" s="1" t="s">
        <v>85</v>
      </c>
      <c r="O74" s="1" t="s">
        <v>667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562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42"/>
      <c r="F75" s="342"/>
      <c r="G75" s="342"/>
      <c r="H75" s="342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652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48" t="s">
        <v>529</v>
      </c>
      <c r="J76" s="1" t="s">
        <v>303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48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 t="s">
        <v>89</v>
      </c>
      <c r="L79" s="1"/>
      <c r="M79" s="3" t="s">
        <v>91</v>
      </c>
      <c r="N79" s="3" t="s">
        <v>87</v>
      </c>
      <c r="O79" s="1" t="s">
        <v>668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339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404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520</v>
      </c>
      <c r="EI101" s="4"/>
      <c r="EJ101" s="4"/>
      <c r="EK101" s="4"/>
      <c r="EL101" s="50">
        <f>EC106</f>
        <v>4.8979947555174279</v>
      </c>
      <c r="EM101" s="48">
        <f>EM106</f>
        <v>206840.02835429934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90"/>
      <c r="AI102" s="190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42" t="s">
        <v>519</v>
      </c>
      <c r="DU103" s="342"/>
      <c r="DV103" s="342"/>
      <c r="DW103" s="342"/>
      <c r="DX103" s="342"/>
      <c r="DY103" s="342"/>
      <c r="EA103" s="4"/>
      <c r="EB103" s="3" t="s">
        <v>566</v>
      </c>
      <c r="EC103" s="1" t="s">
        <v>560</v>
      </c>
      <c r="ED103" s="3" t="s">
        <v>5</v>
      </c>
      <c r="EE103" s="1" t="s">
        <v>85</v>
      </c>
      <c r="EF103" s="1" t="s">
        <v>667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562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284</v>
      </c>
      <c r="BK104" s="4"/>
      <c r="BL104" s="4" t="s">
        <v>285</v>
      </c>
      <c r="BM104" s="4"/>
      <c r="BN104" s="4"/>
      <c r="BO104" s="4"/>
      <c r="BP104" s="4"/>
      <c r="BQ104" s="4"/>
      <c r="BR104" s="4"/>
      <c r="BS104" s="4"/>
      <c r="DT104" s="343"/>
      <c r="DU104" s="343"/>
      <c r="DV104" s="343"/>
      <c r="DW104" s="343"/>
      <c r="DX104" s="343"/>
      <c r="DY104" s="343"/>
      <c r="EA104" s="4" t="s">
        <v>41</v>
      </c>
      <c r="EB104" s="3" t="s">
        <v>565</v>
      </c>
      <c r="EC104" s="1" t="s">
        <v>88</v>
      </c>
      <c r="ED104" s="1" t="s">
        <v>90</v>
      </c>
      <c r="EE104" s="1" t="s">
        <v>86</v>
      </c>
      <c r="EF104" s="1" t="s">
        <v>652</v>
      </c>
      <c r="EG104" s="1" t="s">
        <v>346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346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569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322</v>
      </c>
      <c r="DY105" s="114" t="s">
        <v>316</v>
      </c>
      <c r="DZ105" s="222" t="s">
        <v>520</v>
      </c>
      <c r="EA105" s="96" t="s">
        <v>511</v>
      </c>
      <c r="EB105" s="17">
        <f>DW107</f>
        <v>193470.79284293839</v>
      </c>
      <c r="EC105" s="17">
        <f>EB105/LHV_Oil</f>
        <v>4.8979947555174279</v>
      </c>
      <c r="ED105" s="17">
        <f>MW_Oil</f>
        <v>0.1402688</v>
      </c>
      <c r="EE105" s="17">
        <f>EC105/ED105</f>
        <v>34.918633049669118</v>
      </c>
      <c r="EF105" s="17">
        <f>LHV_Oil</f>
        <v>39500</v>
      </c>
      <c r="EG105" s="17">
        <f>b_ch_fueloil</f>
        <v>42229.532426775455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42229.532426775455</v>
      </c>
      <c r="EL105" s="17">
        <f>EH105*EK105</f>
        <v>42229.532426775455</v>
      </c>
      <c r="EM105" s="17">
        <f>EL105*EC105</f>
        <v>206840.02835429934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329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193470.79284293839</v>
      </c>
      <c r="EC106" s="17">
        <f>SUM(EC105)</f>
        <v>4.8979947555174279</v>
      </c>
      <c r="ED106" s="17">
        <f>SUM(ED105)</f>
        <v>0.1402688</v>
      </c>
      <c r="EE106" s="17">
        <f>SUM(EE105)</f>
        <v>34.918633049669118</v>
      </c>
      <c r="EF106" s="17">
        <f>SUM(EF105)</f>
        <v>39500</v>
      </c>
      <c r="EG106" s="17"/>
      <c r="EH106" s="17"/>
      <c r="EI106" s="17"/>
      <c r="EJ106" s="17"/>
      <c r="EK106" s="17"/>
      <c r="EL106" s="17">
        <f>SUM(EL105)</f>
        <v>42229.532426775455</v>
      </c>
      <c r="EM106" s="17">
        <f>SUM(EM105)</f>
        <v>206840.02835429934</v>
      </c>
      <c r="FA106" s="1"/>
      <c r="FB106" s="1" t="s">
        <v>1</v>
      </c>
      <c r="FC106" s="1" t="s">
        <v>561</v>
      </c>
      <c r="FD106" s="1" t="s">
        <v>5</v>
      </c>
      <c r="FE106" s="1" t="s">
        <v>85</v>
      </c>
      <c r="FF106" s="1" t="s">
        <v>667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562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559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193470.79284293839</v>
      </c>
      <c r="DX107" s="15">
        <v>1.06</v>
      </c>
      <c r="DY107" s="269">
        <f>DW107*DX107</f>
        <v>205079.04041351471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668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564</v>
      </c>
      <c r="FD107" s="2" t="s">
        <v>12</v>
      </c>
      <c r="FE107" s="2" t="s">
        <v>13</v>
      </c>
      <c r="FF107" s="1" t="s">
        <v>652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22" t="s">
        <v>569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-771.42466062394067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-771.42466062394067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56" t="s">
        <v>439</v>
      </c>
      <c r="AP110" s="341"/>
      <c r="AQ110" s="341"/>
      <c r="AR110" s="341"/>
      <c r="AS110" s="341"/>
      <c r="AT110" s="341"/>
      <c r="AU110" s="341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41" t="s">
        <v>443</v>
      </c>
      <c r="BH110" s="341"/>
      <c r="BI110" s="341"/>
      <c r="BJ110" s="341"/>
      <c r="BK110" s="341"/>
      <c r="BL110" s="341"/>
      <c r="BM110" s="341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349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668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59" t="s">
        <v>364</v>
      </c>
      <c r="Q111" s="359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322</v>
      </c>
      <c r="AU111" s="114" t="s">
        <v>316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322</v>
      </c>
      <c r="BM111" s="114" t="s">
        <v>316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60"/>
      <c r="Q112" s="360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329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8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2" t="s">
        <v>344</v>
      </c>
      <c r="Q113" s="138" t="s">
        <v>317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302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324</v>
      </c>
      <c r="CW113" s="108" t="s">
        <v>325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3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536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478</v>
      </c>
      <c r="EI114" s="4"/>
      <c r="EJ114" s="4"/>
      <c r="EK114" s="4"/>
      <c r="EL114" s="50">
        <f>EC119</f>
        <v>44.774669200794314</v>
      </c>
      <c r="EM114" s="48">
        <f>EM119</f>
        <v>2321518.855933811</v>
      </c>
      <c r="EP114" s="341" t="s">
        <v>445</v>
      </c>
      <c r="EQ114" s="341"/>
      <c r="ER114" s="341"/>
      <c r="ES114" s="341"/>
      <c r="ET114" s="341"/>
      <c r="EU114" s="341"/>
    </row>
    <row r="115" spans="5:176" ht="16" x14ac:dyDescent="0.2">
      <c r="P115" s="139" t="s">
        <v>341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322</v>
      </c>
      <c r="EU115" s="114" t="s">
        <v>316</v>
      </c>
    </row>
    <row r="116" spans="5:176" ht="19.25" customHeight="1" thickBot="1" x14ac:dyDescent="0.3">
      <c r="N116" s="6"/>
      <c r="O116" s="6"/>
      <c r="P116" s="139" t="s">
        <v>639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560</v>
      </c>
      <c r="CM116" s="1" t="s">
        <v>561</v>
      </c>
      <c r="CN116" s="1" t="s">
        <v>563</v>
      </c>
      <c r="CO116" s="1" t="s">
        <v>85</v>
      </c>
      <c r="CP116" s="1" t="s">
        <v>667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562</v>
      </c>
      <c r="CW116" s="1" t="s">
        <v>50</v>
      </c>
      <c r="CX116" s="6"/>
      <c r="CY116" s="4"/>
      <c r="DB116" s="4"/>
      <c r="DC116" s="4"/>
      <c r="DT116" s="342" t="s">
        <v>477</v>
      </c>
      <c r="DU116" s="342"/>
      <c r="DV116" s="342"/>
      <c r="DW116" s="342"/>
      <c r="DX116" s="342"/>
      <c r="DY116" s="342"/>
      <c r="EA116" s="4"/>
      <c r="EB116" s="3" t="s">
        <v>566</v>
      </c>
      <c r="EC116" s="1" t="s">
        <v>560</v>
      </c>
      <c r="ED116" s="3" t="s">
        <v>5</v>
      </c>
      <c r="EE116" s="1" t="s">
        <v>85</v>
      </c>
      <c r="EF116" s="1" t="s">
        <v>667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562</v>
      </c>
      <c r="EM116" s="1" t="s">
        <v>50</v>
      </c>
      <c r="EP116" s="15" t="s">
        <v>98</v>
      </c>
      <c r="EQ116" s="114" t="s">
        <v>230</v>
      </c>
      <c r="ER116" s="114" t="s">
        <v>329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343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283</v>
      </c>
      <c r="CN117" s="2" t="s">
        <v>90</v>
      </c>
      <c r="CO117" s="2" t="s">
        <v>86</v>
      </c>
      <c r="CP117" s="1" t="s">
        <v>652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43"/>
      <c r="DU117" s="343"/>
      <c r="DV117" s="343"/>
      <c r="DW117" s="343"/>
      <c r="DX117" s="343"/>
      <c r="DY117" s="343"/>
      <c r="EA117" s="4" t="s">
        <v>41</v>
      </c>
      <c r="EB117" s="3" t="s">
        <v>565</v>
      </c>
      <c r="EC117" s="1" t="s">
        <v>88</v>
      </c>
      <c r="ED117" s="1" t="s">
        <v>90</v>
      </c>
      <c r="EE117" s="1" t="s">
        <v>86</v>
      </c>
      <c r="EF117" s="1" t="s">
        <v>652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317844.87395625591</v>
      </c>
      <c r="ET117" s="268">
        <v>1</v>
      </c>
      <c r="EU117" s="270">
        <f t="shared" ref="EU117" si="45">ES117*ET117</f>
        <v>317844.87395625591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5" t="s">
        <v>536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-14926.410019749705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322</v>
      </c>
      <c r="DY118" s="114" t="s">
        <v>316</v>
      </c>
      <c r="DZ118" s="222" t="s">
        <v>478</v>
      </c>
      <c r="EA118" s="95" t="s">
        <v>65</v>
      </c>
      <c r="EB118" s="17">
        <f>DW120</f>
        <v>2238733.4600397157</v>
      </c>
      <c r="EC118" s="17">
        <f>EB118/LHV_CH4</f>
        <v>44.774669200794314</v>
      </c>
      <c r="ED118" s="17">
        <f>MW_CH4</f>
        <v>1.604276E-2</v>
      </c>
      <c r="EE118" s="17">
        <f>EC118/ED118</f>
        <v>2790.9579898218458</v>
      </c>
      <c r="EF118" s="33">
        <f>h_CH4</f>
        <v>1.604276E-2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2321518.855933811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-14926.410019749705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329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2238733.4600397157</v>
      </c>
      <c r="EC119" s="17">
        <f>SUM(EC118)</f>
        <v>44.774669200794314</v>
      </c>
      <c r="ED119" s="17">
        <f>SUM(ED118)</f>
        <v>1.604276E-2</v>
      </c>
      <c r="EE119" s="17">
        <f>SUM(EE118)</f>
        <v>2790.9579898218458</v>
      </c>
      <c r="EF119" s="6">
        <f>SUM(EF118)</f>
        <v>1.604276E-2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2321518.855933811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324</v>
      </c>
      <c r="CM120" s="6"/>
      <c r="CN120" s="113" t="s">
        <v>331</v>
      </c>
      <c r="CO120" s="113" t="s">
        <v>332</v>
      </c>
      <c r="CP120" s="1" t="s">
        <v>668</v>
      </c>
      <c r="CQ120" s="6"/>
      <c r="CR120" s="6"/>
      <c r="CS120" s="113"/>
      <c r="CT120" s="113"/>
      <c r="CU120" s="113"/>
      <c r="CV120" s="113" t="s">
        <v>333</v>
      </c>
      <c r="CW120" s="6" t="s">
        <v>325</v>
      </c>
      <c r="CX120" s="6"/>
      <c r="CY120" s="4"/>
      <c r="CZ120" s="4"/>
      <c r="DA120" s="4"/>
      <c r="DB120" s="4"/>
      <c r="DE120" s="4"/>
      <c r="DF120" s="4"/>
      <c r="DT120" s="15" t="s">
        <v>288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2238733.4600397157</v>
      </c>
      <c r="DX120" s="15">
        <v>1.04</v>
      </c>
      <c r="DY120" s="15">
        <f>DW120*DX120</f>
        <v>2328282.7984413044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668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321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340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324</v>
      </c>
      <c r="V125" s="108" t="s">
        <v>325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324</v>
      </c>
      <c r="AP125" s="108" t="s">
        <v>325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324</v>
      </c>
      <c r="BI125" s="108" t="s">
        <v>325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324</v>
      </c>
      <c r="CB125" s="108" t="s">
        <v>325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534</v>
      </c>
      <c r="CS125" s="113"/>
      <c r="CT125" s="113"/>
      <c r="CU125" s="6"/>
      <c r="CV125" s="107" t="s">
        <v>324</v>
      </c>
      <c r="CW125" s="108" t="s">
        <v>325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1" t="s">
        <v>522</v>
      </c>
      <c r="F126" s="371"/>
      <c r="G126" s="371"/>
      <c r="H126" s="371"/>
      <c r="J126" s="6"/>
      <c r="K126" s="121"/>
      <c r="L126" s="6"/>
      <c r="M126" s="6"/>
      <c r="N126" s="6"/>
      <c r="O126" s="6"/>
      <c r="P126" s="6"/>
      <c r="Q126" s="6" t="s">
        <v>426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49" t="s">
        <v>417</v>
      </c>
      <c r="X126" s="349"/>
      <c r="Y126" s="349"/>
      <c r="Z126" s="349"/>
      <c r="AA126" s="349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521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49" t="s">
        <v>546</v>
      </c>
      <c r="AR126" s="349"/>
      <c r="AS126" s="349"/>
      <c r="AT126" s="349"/>
      <c r="AU126" s="349"/>
      <c r="AV126" s="6"/>
      <c r="AW126" s="6"/>
      <c r="AX126" s="121"/>
      <c r="AY126" s="6"/>
      <c r="AZ126" s="6"/>
      <c r="BA126" s="6"/>
      <c r="BB126" s="6"/>
      <c r="BC126" s="6"/>
      <c r="BD126" s="6" t="s">
        <v>547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49" t="s">
        <v>441</v>
      </c>
      <c r="BK126" s="349"/>
      <c r="BL126" s="349"/>
      <c r="BM126" s="349"/>
      <c r="BN126" s="349"/>
      <c r="BO126" s="6"/>
      <c r="BP126" s="6"/>
      <c r="BQ126" s="121"/>
      <c r="BR126" s="6"/>
      <c r="BS126" s="6"/>
      <c r="BT126" s="6"/>
      <c r="BU126" s="6"/>
      <c r="BV126" s="6"/>
      <c r="BW126" s="6" t="s">
        <v>486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49" t="s">
        <v>442</v>
      </c>
      <c r="CD126" s="349"/>
      <c r="CE126" s="349"/>
      <c r="CF126" s="349"/>
      <c r="CG126" s="349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51" t="s">
        <v>81</v>
      </c>
      <c r="DT126" s="351"/>
      <c r="DU126" s="351"/>
      <c r="DV126" s="351"/>
      <c r="DW126" s="351"/>
      <c r="DX126" s="351"/>
      <c r="DY126" s="351"/>
      <c r="EG126" s="3" t="s">
        <v>556</v>
      </c>
      <c r="EL126" s="173">
        <f>EB134</f>
        <v>1309.8157778632656</v>
      </c>
      <c r="EM126" s="174">
        <f>EM134</f>
        <v>7072531.8830895294</v>
      </c>
      <c r="EN126" s="347" t="s">
        <v>428</v>
      </c>
      <c r="EO126" s="347"/>
      <c r="EP126" s="347"/>
      <c r="EQ126" s="347"/>
      <c r="ER126" s="347"/>
      <c r="ES126" s="347"/>
      <c r="ET126" s="347"/>
      <c r="EY126" s="1"/>
      <c r="EZ126" s="1"/>
      <c r="FA126" s="1"/>
      <c r="FB126" s="1"/>
      <c r="FC126" s="1"/>
      <c r="FD126" s="1"/>
      <c r="FE126" s="3" t="s">
        <v>557</v>
      </c>
      <c r="FL126" s="50">
        <f>FB131</f>
        <v>616.23583583508366</v>
      </c>
      <c r="FM126" s="48">
        <f>FM131</f>
        <v>4157895.2984628798</v>
      </c>
      <c r="FN126" s="347" t="s">
        <v>422</v>
      </c>
      <c r="FO126" s="347"/>
      <c r="FP126" s="347"/>
      <c r="FQ126" s="347"/>
      <c r="FR126" s="347"/>
      <c r="FS126" s="347"/>
      <c r="FT126" s="347"/>
    </row>
    <row r="127" spans="5:176" ht="16.25" customHeight="1" thickBot="1" x14ac:dyDescent="0.25">
      <c r="E127" s="371"/>
      <c r="F127" s="371"/>
      <c r="G127" s="371"/>
      <c r="H127" s="371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65"/>
      <c r="X127" s="365"/>
      <c r="Y127" s="365"/>
      <c r="Z127" s="365"/>
      <c r="AA127" s="365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49"/>
      <c r="AR127" s="349"/>
      <c r="AS127" s="349"/>
      <c r="AT127" s="349"/>
      <c r="AU127" s="349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49"/>
      <c r="BK127" s="349"/>
      <c r="BL127" s="349"/>
      <c r="BM127" s="349"/>
      <c r="BN127" s="349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49"/>
      <c r="CD127" s="349"/>
      <c r="CE127" s="349"/>
      <c r="CF127" s="349"/>
      <c r="CG127" s="349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51"/>
      <c r="DT127" s="351"/>
      <c r="DU127" s="351"/>
      <c r="DV127" s="351"/>
      <c r="DW127" s="351"/>
      <c r="DX127" s="351"/>
      <c r="DY127" s="351"/>
      <c r="EN127" s="347"/>
      <c r="EO127" s="347"/>
      <c r="EP127" s="347"/>
      <c r="EQ127" s="347"/>
      <c r="ER127" s="347"/>
      <c r="ES127" s="347"/>
      <c r="ET127" s="347"/>
      <c r="EY127" s="1"/>
      <c r="EZ127" s="1"/>
      <c r="FA127" s="1"/>
      <c r="FB127" s="1"/>
      <c r="FC127" s="1"/>
      <c r="FD127" s="1"/>
      <c r="FE127" s="1"/>
      <c r="FF127" s="1"/>
      <c r="FG127" s="1"/>
      <c r="FN127" s="347"/>
      <c r="FO127" s="347"/>
      <c r="FP127" s="347"/>
      <c r="FQ127" s="347"/>
      <c r="FR127" s="347"/>
      <c r="FS127" s="347"/>
      <c r="FT127" s="347"/>
    </row>
    <row r="128" spans="5:176" ht="19.75" customHeight="1" thickBot="1" x14ac:dyDescent="0.3">
      <c r="J128" s="4"/>
      <c r="K128" s="1" t="s">
        <v>560</v>
      </c>
      <c r="L128" s="1" t="s">
        <v>561</v>
      </c>
      <c r="M128" s="1" t="s">
        <v>563</v>
      </c>
      <c r="N128" s="1" t="s">
        <v>85</v>
      </c>
      <c r="O128" s="1" t="s">
        <v>667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562</v>
      </c>
      <c r="V128" s="1" t="s">
        <v>50</v>
      </c>
      <c r="W128" s="22" t="s">
        <v>432</v>
      </c>
      <c r="X128" s="100" t="s">
        <v>480</v>
      </c>
      <c r="Y128" s="135" t="s">
        <v>348</v>
      </c>
      <c r="Z128" s="352" t="s">
        <v>344</v>
      </c>
      <c r="AA128" s="138" t="s">
        <v>317</v>
      </c>
      <c r="AB128" s="1"/>
      <c r="AC128" s="6"/>
      <c r="AD128" s="4"/>
      <c r="AE128" s="1" t="s">
        <v>560</v>
      </c>
      <c r="AF128" s="1" t="s">
        <v>561</v>
      </c>
      <c r="AG128" s="1" t="s">
        <v>563</v>
      </c>
      <c r="AH128" s="1" t="s">
        <v>85</v>
      </c>
      <c r="AI128" s="1" t="s">
        <v>667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562</v>
      </c>
      <c r="AP128" s="1" t="s">
        <v>50</v>
      </c>
      <c r="AQ128" s="22" t="s">
        <v>432</v>
      </c>
      <c r="AR128" s="100" t="s">
        <v>480</v>
      </c>
      <c r="AS128" s="135" t="s">
        <v>348</v>
      </c>
      <c r="AT128" s="352" t="s">
        <v>344</v>
      </c>
      <c r="AU128" s="138" t="s">
        <v>317</v>
      </c>
      <c r="AV128" s="1"/>
      <c r="AW128" s="4"/>
      <c r="AX128" s="1" t="s">
        <v>560</v>
      </c>
      <c r="AY128" s="1" t="s">
        <v>561</v>
      </c>
      <c r="AZ128" s="1" t="s">
        <v>563</v>
      </c>
      <c r="BA128" s="1" t="s">
        <v>85</v>
      </c>
      <c r="BB128" s="1" t="s">
        <v>667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562</v>
      </c>
      <c r="BI128" s="1" t="s">
        <v>50</v>
      </c>
      <c r="BJ128" s="22" t="s">
        <v>432</v>
      </c>
      <c r="BK128" s="100" t="s">
        <v>480</v>
      </c>
      <c r="BL128" s="135" t="s">
        <v>348</v>
      </c>
      <c r="BM128" s="352" t="s">
        <v>344</v>
      </c>
      <c r="BN128" s="138" t="s">
        <v>317</v>
      </c>
      <c r="BO128" s="1"/>
      <c r="BP128" s="4"/>
      <c r="BQ128" s="1" t="s">
        <v>560</v>
      </c>
      <c r="BR128" s="1" t="s">
        <v>561</v>
      </c>
      <c r="BS128" s="1" t="s">
        <v>563</v>
      </c>
      <c r="BT128" s="1" t="s">
        <v>85</v>
      </c>
      <c r="BU128" s="1" t="s">
        <v>667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562</v>
      </c>
      <c r="CB128" s="1" t="s">
        <v>50</v>
      </c>
      <c r="CC128" s="22" t="s">
        <v>432</v>
      </c>
      <c r="CD128" s="100" t="s">
        <v>480</v>
      </c>
      <c r="CE128" s="135" t="s">
        <v>348</v>
      </c>
      <c r="CF128" s="352" t="s">
        <v>344</v>
      </c>
      <c r="CG128" s="138" t="s">
        <v>317</v>
      </c>
      <c r="CH128" s="113"/>
      <c r="CI128" s="113"/>
      <c r="CJ128" s="113"/>
      <c r="CK128" s="4"/>
      <c r="CL128" s="1" t="s">
        <v>560</v>
      </c>
      <c r="CM128" s="1" t="s">
        <v>561</v>
      </c>
      <c r="CN128" s="1" t="s">
        <v>563</v>
      </c>
      <c r="CO128" s="1" t="s">
        <v>85</v>
      </c>
      <c r="CP128" s="1" t="s">
        <v>667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562</v>
      </c>
      <c r="CW128" s="1" t="s">
        <v>50</v>
      </c>
      <c r="DS128" s="351"/>
      <c r="DT128" s="351"/>
      <c r="DU128" s="351"/>
      <c r="DV128" s="351"/>
      <c r="DW128" s="351"/>
      <c r="DX128" s="351"/>
      <c r="DY128" s="351"/>
      <c r="EA128" s="4"/>
      <c r="EB128" s="1" t="s">
        <v>560</v>
      </c>
      <c r="EC128" s="1" t="s">
        <v>561</v>
      </c>
      <c r="ED128" s="1" t="s">
        <v>563</v>
      </c>
      <c r="EE128" s="1" t="s">
        <v>85</v>
      </c>
      <c r="EF128" s="1" t="s">
        <v>667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562</v>
      </c>
      <c r="EM128" s="1" t="s">
        <v>50</v>
      </c>
      <c r="EN128" s="347"/>
      <c r="EO128" s="347"/>
      <c r="EP128" s="347"/>
      <c r="EQ128" s="347"/>
      <c r="ER128" s="347"/>
      <c r="ES128" s="347"/>
      <c r="ET128" s="347"/>
      <c r="EZ128" s="1"/>
      <c r="FA128" s="1"/>
      <c r="FB128" s="1" t="s">
        <v>560</v>
      </c>
      <c r="FC128" s="1" t="s">
        <v>561</v>
      </c>
      <c r="FD128" s="1" t="s">
        <v>563</v>
      </c>
      <c r="FE128" s="1" t="s">
        <v>85</v>
      </c>
      <c r="FF128" s="1" t="s">
        <v>667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562</v>
      </c>
      <c r="FM128" s="1" t="s">
        <v>50</v>
      </c>
      <c r="FN128" s="347"/>
      <c r="FO128" s="347"/>
      <c r="FP128" s="347"/>
      <c r="FQ128" s="347"/>
      <c r="FR128" s="347"/>
      <c r="FS128" s="347"/>
      <c r="FT128" s="347"/>
    </row>
    <row r="129" spans="2:171" ht="19.25" customHeight="1" x14ac:dyDescent="0.25">
      <c r="J129" s="4" t="s">
        <v>41</v>
      </c>
      <c r="K129" s="1" t="s">
        <v>88</v>
      </c>
      <c r="L129" s="4" t="s">
        <v>283</v>
      </c>
      <c r="M129" s="2" t="s">
        <v>90</v>
      </c>
      <c r="N129" s="2" t="s">
        <v>86</v>
      </c>
      <c r="O129" s="1" t="s">
        <v>652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3" t="s">
        <v>48</v>
      </c>
      <c r="X129" s="111" t="s">
        <v>48</v>
      </c>
      <c r="Y129" s="111" t="s">
        <v>324</v>
      </c>
      <c r="Z129" s="353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283</v>
      </c>
      <c r="AG129" s="2" t="s">
        <v>90</v>
      </c>
      <c r="AH129" s="2" t="s">
        <v>86</v>
      </c>
      <c r="AI129" s="1" t="s">
        <v>652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3" t="s">
        <v>48</v>
      </c>
      <c r="AR129" s="111" t="s">
        <v>48</v>
      </c>
      <c r="AS129" s="111" t="s">
        <v>324</v>
      </c>
      <c r="AT129" s="353"/>
      <c r="AU129" s="136" t="s">
        <v>82</v>
      </c>
      <c r="AV129" s="4"/>
      <c r="AW129" s="4" t="s">
        <v>41</v>
      </c>
      <c r="AX129" s="1" t="s">
        <v>88</v>
      </c>
      <c r="AY129" s="4" t="s">
        <v>283</v>
      </c>
      <c r="AZ129" s="2" t="s">
        <v>90</v>
      </c>
      <c r="BA129" s="2" t="s">
        <v>86</v>
      </c>
      <c r="BB129" s="1" t="s">
        <v>652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3" t="s">
        <v>48</v>
      </c>
      <c r="BK129" s="111" t="s">
        <v>48</v>
      </c>
      <c r="BL129" s="111" t="s">
        <v>324</v>
      </c>
      <c r="BM129" s="353"/>
      <c r="BN129" s="136" t="s">
        <v>82</v>
      </c>
      <c r="BO129" s="4"/>
      <c r="BP129" s="4" t="s">
        <v>41</v>
      </c>
      <c r="BQ129" s="1" t="s">
        <v>88</v>
      </c>
      <c r="BR129" s="4" t="s">
        <v>283</v>
      </c>
      <c r="BS129" s="2" t="s">
        <v>90</v>
      </c>
      <c r="BT129" s="2" t="s">
        <v>86</v>
      </c>
      <c r="BU129" s="1" t="s">
        <v>652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3" t="s">
        <v>48</v>
      </c>
      <c r="CD129" s="111" t="s">
        <v>48</v>
      </c>
      <c r="CE129" s="111" t="s">
        <v>324</v>
      </c>
      <c r="CF129" s="353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283</v>
      </c>
      <c r="CN129" s="2" t="s">
        <v>90</v>
      </c>
      <c r="CO129" s="2" t="s">
        <v>86</v>
      </c>
      <c r="CP129" s="1" t="s">
        <v>652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432</v>
      </c>
      <c r="DU129" s="22" t="s">
        <v>480</v>
      </c>
      <c r="DV129" s="161" t="s">
        <v>337</v>
      </c>
      <c r="DW129" s="345" t="s">
        <v>344</v>
      </c>
      <c r="DX129" s="102" t="s">
        <v>317</v>
      </c>
      <c r="DY129" s="1"/>
      <c r="EA129" s="4" t="s">
        <v>41</v>
      </c>
      <c r="EB129" s="1" t="s">
        <v>88</v>
      </c>
      <c r="EC129" s="1" t="s">
        <v>564</v>
      </c>
      <c r="ED129" s="1" t="s">
        <v>90</v>
      </c>
      <c r="EE129" s="1" t="s">
        <v>86</v>
      </c>
      <c r="EF129" s="1" t="s">
        <v>652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432</v>
      </c>
      <c r="EP129" s="22" t="s">
        <v>480</v>
      </c>
      <c r="EQ129" s="192" t="s">
        <v>337</v>
      </c>
      <c r="ER129" s="375" t="s">
        <v>344</v>
      </c>
      <c r="ES129" s="102" t="s">
        <v>317</v>
      </c>
      <c r="FA129" s="2" t="s">
        <v>41</v>
      </c>
      <c r="FB129" s="1" t="s">
        <v>88</v>
      </c>
      <c r="FC129" s="1" t="s">
        <v>564</v>
      </c>
      <c r="FD129" s="1" t="s">
        <v>90</v>
      </c>
      <c r="FE129" s="1" t="s">
        <v>86</v>
      </c>
      <c r="FF129" s="1" t="s">
        <v>652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50" t="s">
        <v>426</v>
      </c>
      <c r="J130" s="27" t="s">
        <v>327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-12065.478902397108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4">
        <f>SUM(U126,U140,U151,U163) - SUM(AO126,AO142)</f>
        <v>0</v>
      </c>
      <c r="Z130" s="139" t="s">
        <v>341</v>
      </c>
      <c r="AA130" s="136">
        <f>(($AH$130*($AO$130-U130))/(V140+V151))</f>
        <v>0</v>
      </c>
      <c r="AB130" s="4"/>
      <c r="AC130" s="350" t="s">
        <v>521</v>
      </c>
      <c r="AD130" s="27" t="s">
        <v>327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-12065.478902397108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4">
        <f>BH126-AO126</f>
        <v>0</v>
      </c>
      <c r="AT130" s="139" t="s">
        <v>341</v>
      </c>
      <c r="AU130" s="136">
        <f>((BA130*(BH130-AO130)/AU113))</f>
        <v>0</v>
      </c>
      <c r="AV130" s="350" t="s">
        <v>547</v>
      </c>
      <c r="AW130" s="27" t="s">
        <v>327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-12065.478902397108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4">
        <f>CA126-BH126</f>
        <v>0</v>
      </c>
      <c r="BM130" s="139" t="s">
        <v>341</v>
      </c>
      <c r="BN130" s="136">
        <f>((BT130*(CA130-BH130)/BM116))</f>
        <v>0</v>
      </c>
      <c r="BO130" s="350" t="s">
        <v>533</v>
      </c>
      <c r="BP130" s="27" t="s">
        <v>327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-12065.478902397108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1133980772.6357925</v>
      </c>
      <c r="CD130" s="124">
        <f>CB126+CB140+CB152-CW114-CW126-CW138</f>
        <v>-55817678.18371439</v>
      </c>
      <c r="CE130" s="194">
        <f>SUM(CV138,CV126,CV114) - SUM(CA126,CA140,CA152)</f>
        <v>0</v>
      </c>
      <c r="CF130" s="139" t="s">
        <v>341</v>
      </c>
      <c r="CG130" s="136" t="s">
        <v>98</v>
      </c>
      <c r="CH130" s="113"/>
      <c r="CI130" s="113"/>
      <c r="CJ130" s="222" t="s">
        <v>534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-11321.85158370395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3" t="s">
        <v>48</v>
      </c>
      <c r="DU130" s="9" t="s">
        <v>48</v>
      </c>
      <c r="DV130" s="1" t="s">
        <v>89</v>
      </c>
      <c r="DW130" s="346"/>
      <c r="DX130" s="136" t="s">
        <v>82</v>
      </c>
      <c r="DY130" s="4"/>
      <c r="DZ130" s="350" t="s">
        <v>556</v>
      </c>
      <c r="EA130" s="8" t="s">
        <v>15</v>
      </c>
      <c r="EB130" s="175">
        <f>Fe2O3_BF_in</f>
        <v>881.06000000000006</v>
      </c>
      <c r="EC130" s="175">
        <f>EB130/$EB$134</f>
        <v>0.67265947997457687</v>
      </c>
      <c r="ED130" s="176">
        <f>MW_Fe2O3</f>
        <v>0.1596882</v>
      </c>
      <c r="EE130" s="176">
        <f>EB130/ED130</f>
        <v>5517.3769884061567</v>
      </c>
      <c r="EF130" s="176">
        <f>h_Fe2O3</f>
        <v>-5161.3080991582347</v>
      </c>
      <c r="EG130" s="176">
        <f>b_ch_Fe2O3</f>
        <v>17.358400000000074</v>
      </c>
      <c r="EH130" s="176">
        <f>EE130/$EE$134</f>
        <v>0.21197353787675174</v>
      </c>
      <c r="EI130" s="177">
        <f>LN(EH130)</f>
        <v>-1.5512938334370325</v>
      </c>
      <c r="EJ130" s="177">
        <f>RT0*EI130</f>
        <v>-3.5229403607560474</v>
      </c>
      <c r="EK130" s="177">
        <f>EG130+EJ130</f>
        <v>13.835459639244027</v>
      </c>
      <c r="EL130" s="177">
        <f>EK130*EH130</f>
        <v>2.9327513278815638</v>
      </c>
      <c r="EM130" s="177">
        <f>$EE$134*EL130</f>
        <v>76335.446637587142</v>
      </c>
      <c r="EO130" s="213" t="s">
        <v>48</v>
      </c>
      <c r="EP130" s="9" t="s">
        <v>48</v>
      </c>
      <c r="EQ130" s="9" t="s">
        <v>89</v>
      </c>
      <c r="ER130" s="376"/>
      <c r="ES130" s="136" t="s">
        <v>82</v>
      </c>
      <c r="EZ130" s="222" t="s">
        <v>557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72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50"/>
      <c r="J131" s="6" t="s">
        <v>330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-12996.624530624733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639</v>
      </c>
      <c r="AA131" s="136">
        <f>($AP$126+AP142)/(SUM(V126,V140,V163,V151))</f>
        <v>0.98926908455007689</v>
      </c>
      <c r="AB131" s="4"/>
      <c r="AC131" s="350"/>
      <c r="AD131" s="6" t="s">
        <v>330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-12996.624530624733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639</v>
      </c>
      <c r="AU131" s="136">
        <f>BI126/(AU113+AP126)</f>
        <v>0.89989464623142024</v>
      </c>
      <c r="AV131" s="350"/>
      <c r="AW131" s="6" t="s">
        <v>330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-12996.624530624733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639</v>
      </c>
      <c r="BN131" s="136">
        <f>CB126/(BM113+BI126)</f>
        <v>0.99885105550639652</v>
      </c>
      <c r="BO131" s="350"/>
      <c r="BP131" s="6" t="s">
        <v>330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-12996.624530624733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639</v>
      </c>
      <c r="CG131" s="136">
        <f>(CW138+CW126+CW114)/(CB140+CB126+CB152)</f>
        <v>1.0517594711289686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-11321.85158370395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49789.327834718861</v>
      </c>
      <c r="DV131" s="141">
        <f>EL126-CV126-CV206-BZ42</f>
        <v>0</v>
      </c>
      <c r="DW131" s="139" t="s">
        <v>341</v>
      </c>
      <c r="DX131" s="103" t="s">
        <v>98</v>
      </c>
      <c r="DY131" s="4"/>
      <c r="DZ131" s="350"/>
      <c r="EA131" s="1" t="s">
        <v>17</v>
      </c>
      <c r="EB131" s="178">
        <f>SiO2_BF_in</f>
        <v>118.94000000000001</v>
      </c>
      <c r="EC131" s="178">
        <f t="shared" ref="EC131:EC133" si="46">EB131/$EB$134</f>
        <v>9.0806663051524489E-2</v>
      </c>
      <c r="ED131" s="167">
        <f>MW_SIO2</f>
        <v>6.00843E-2</v>
      </c>
      <c r="EE131" s="167">
        <f>EB131/ED131</f>
        <v>1979.5520626852608</v>
      </c>
      <c r="EF131" s="167">
        <f>h_SiO2</f>
        <v>-15157.037695371337</v>
      </c>
      <c r="EG131" s="167">
        <f>b_ch_SiO2</f>
        <v>1.5260000000000673</v>
      </c>
      <c r="EH131" s="167">
        <f>EE131/$EE$134</f>
        <v>7.6052924246496442E-2</v>
      </c>
      <c r="EI131" s="179">
        <f t="shared" ref="EI131:EI133" si="47">LN(EH131)</f>
        <v>-2.5763258093856205</v>
      </c>
      <c r="EJ131" s="179">
        <f>RT0*EI131</f>
        <v>-5.8507563046472342</v>
      </c>
      <c r="EK131" s="179">
        <f t="shared" ref="EK131:EK133" si="48">EG131+EJ131</f>
        <v>-4.3247563046471669</v>
      </c>
      <c r="EL131" s="179">
        <f t="shared" ref="EL131:EL133" si="49">EK131*EH131</f>
        <v>-0.32891036362188886</v>
      </c>
      <c r="EM131" s="179">
        <f>$EE$134*EL131</f>
        <v>-8561.0802634753836</v>
      </c>
      <c r="EO131" s="104">
        <f>FM141+FM104</f>
        <v>500587.32575948373</v>
      </c>
      <c r="EP131" s="281">
        <f>SUM(EM101,EM114,EM126,EM140,EM152)-(FM126+FM141+FM104)</f>
        <v>9127210.110772185</v>
      </c>
      <c r="EQ131" s="280">
        <f>(SUM(BF_SolidWaste,FL126,FL141))-SUM(EL101,EL114,EL126,EL140,EL152)</f>
        <v>0</v>
      </c>
      <c r="ER131" s="139" t="s">
        <v>341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>
        <f>SUM(O130:O131)</f>
        <v>-25062.103433021839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407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27">
        <f>SUM(AI130:AI131)</f>
        <v>-25062.103433021839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407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27">
        <f>SUM(BB130:BB131)</f>
        <v>-25062.103433021839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407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27">
        <f>SUM(BU130:BU131)</f>
        <v>-25062.103433021839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407</v>
      </c>
      <c r="CG132" s="137">
        <f>CW130/(CB126+CB152+CB140)</f>
        <v>2.2442037200773749E-4</v>
      </c>
      <c r="CH132" s="113"/>
      <c r="CI132" s="113"/>
      <c r="CK132" s="6"/>
      <c r="CL132" s="6" t="s">
        <v>324</v>
      </c>
      <c r="CM132" s="6"/>
      <c r="CN132" s="113" t="s">
        <v>331</v>
      </c>
      <c r="CO132" s="113" t="s">
        <v>332</v>
      </c>
      <c r="CP132" s="1" t="s">
        <v>668</v>
      </c>
      <c r="CQ132" s="6"/>
      <c r="CR132" s="6"/>
      <c r="CS132" s="113"/>
      <c r="CT132" s="113"/>
      <c r="CU132" s="113"/>
      <c r="CV132" s="113" t="s">
        <v>333</v>
      </c>
      <c r="CW132" s="6" t="s">
        <v>325</v>
      </c>
      <c r="DU132" s="4"/>
      <c r="DV132" s="4"/>
      <c r="DW132" s="139" t="s">
        <v>639</v>
      </c>
      <c r="DX132" s="103">
        <f>EM126/(CW126+CW206+CA42)</f>
        <v>0.99300939590335358</v>
      </c>
      <c r="DY132" s="4"/>
      <c r="DZ132" s="350"/>
      <c r="EA132" s="1" t="s">
        <v>123</v>
      </c>
      <c r="EB132" s="178">
        <f>CV126</f>
        <v>111.00813284002646</v>
      </c>
      <c r="EC132" s="178">
        <f t="shared" si="46"/>
        <v>8.4750951023904092E-2</v>
      </c>
      <c r="ED132" s="167">
        <f>MW_CaO</f>
        <v>5.6077400000000006E-2</v>
      </c>
      <c r="EE132" s="167">
        <f>EB132/ED132</f>
        <v>1979.5520626852608</v>
      </c>
      <c r="EF132" s="167">
        <f>h_CaO</f>
        <v>-11321.85158370395</v>
      </c>
      <c r="EG132" s="167">
        <f>b_ch_CaO</f>
        <v>122.25799999999992</v>
      </c>
      <c r="EH132" s="167">
        <f>EE132/$EE$134</f>
        <v>7.6052924246496442E-2</v>
      </c>
      <c r="EI132" s="179">
        <f t="shared" si="47"/>
        <v>-2.5763258093856205</v>
      </c>
      <c r="EJ132" s="179">
        <f>RT0*EI132</f>
        <v>-5.8507563046472342</v>
      </c>
      <c r="EK132" s="179">
        <f t="shared" si="48"/>
        <v>116.40724369535269</v>
      </c>
      <c r="EL132" s="179">
        <f t="shared" si="49"/>
        <v>8.8531112865061079</v>
      </c>
      <c r="EM132" s="179">
        <f>$EE$134*EL132</f>
        <v>230434.19936864119</v>
      </c>
      <c r="EP132" s="4"/>
      <c r="EQ132" s="4"/>
      <c r="ER132" s="139" t="s">
        <v>639</v>
      </c>
      <c r="ES132" s="103">
        <f>SUM(FM104,FM126,FM141)/SUM(EU117,EM101,EM114,EM126,EM140,EM152)</f>
        <v>0.33030596672893314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668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324</v>
      </c>
      <c r="L133" s="6"/>
      <c r="M133" s="113" t="s">
        <v>331</v>
      </c>
      <c r="N133" s="113" t="s">
        <v>332</v>
      </c>
      <c r="O133" s="1" t="s">
        <v>668</v>
      </c>
      <c r="P133" s="6"/>
      <c r="Q133" s="6"/>
      <c r="R133" s="113"/>
      <c r="S133" s="113"/>
      <c r="T133" s="113"/>
      <c r="U133" s="113" t="s">
        <v>333</v>
      </c>
      <c r="V133" s="6" t="s">
        <v>325</v>
      </c>
      <c r="W133" s="6"/>
      <c r="X133" s="6"/>
      <c r="Y133" s="6"/>
      <c r="Z133" s="6"/>
      <c r="AA133" s="6"/>
      <c r="AB133" s="6"/>
      <c r="AC133" s="6"/>
      <c r="AD133" s="6"/>
      <c r="AE133" s="6" t="s">
        <v>324</v>
      </c>
      <c r="AF133" s="6"/>
      <c r="AG133" s="113" t="s">
        <v>331</v>
      </c>
      <c r="AH133" s="113" t="s">
        <v>332</v>
      </c>
      <c r="AI133" s="1" t="s">
        <v>668</v>
      </c>
      <c r="AJ133" s="6"/>
      <c r="AK133" s="6"/>
      <c r="AL133" s="113"/>
      <c r="AM133" s="113"/>
      <c r="AN133" s="113"/>
      <c r="AO133" s="113" t="s">
        <v>333</v>
      </c>
      <c r="AP133" s="6" t="s">
        <v>325</v>
      </c>
      <c r="AQ133" s="6"/>
      <c r="AR133" s="6"/>
      <c r="AS133" s="4"/>
      <c r="AT133" s="6"/>
      <c r="AU133" s="6"/>
      <c r="AV133" s="6"/>
      <c r="AW133" s="6"/>
      <c r="AX133" s="6" t="s">
        <v>324</v>
      </c>
      <c r="AY133" s="6"/>
      <c r="AZ133" s="113" t="s">
        <v>331</v>
      </c>
      <c r="BA133" s="113" t="s">
        <v>332</v>
      </c>
      <c r="BB133" s="1" t="s">
        <v>668</v>
      </c>
      <c r="BC133" s="6"/>
      <c r="BD133" s="6"/>
      <c r="BE133" s="113"/>
      <c r="BF133" s="113"/>
      <c r="BG133" s="113"/>
      <c r="BH133" s="113" t="s">
        <v>333</v>
      </c>
      <c r="BI133" s="6" t="s">
        <v>325</v>
      </c>
      <c r="BJ133" s="6"/>
      <c r="BK133" s="6"/>
      <c r="BL133" s="4"/>
      <c r="BM133" s="6"/>
      <c r="BN133" s="6"/>
      <c r="BO133" s="6"/>
      <c r="BP133" s="6"/>
      <c r="BQ133" s="6" t="s">
        <v>324</v>
      </c>
      <c r="BR133" s="6"/>
      <c r="BS133" s="113" t="s">
        <v>331</v>
      </c>
      <c r="BT133" s="113" t="s">
        <v>332</v>
      </c>
      <c r="BU133" s="1" t="s">
        <v>668</v>
      </c>
      <c r="BV133" s="6"/>
      <c r="BW133" s="6"/>
      <c r="BX133" s="113"/>
      <c r="BY133" s="113"/>
      <c r="BZ133" s="113"/>
      <c r="CA133" s="113" t="s">
        <v>333</v>
      </c>
      <c r="CB133" s="6" t="s">
        <v>325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407</v>
      </c>
      <c r="DX133" s="99">
        <f>EM130/(CW126+CW206+CA42)</f>
        <v>1.0717776463170951E-2</v>
      </c>
      <c r="DY133" s="4"/>
      <c r="DZ133" s="350"/>
      <c r="EA133" s="1" t="s">
        <v>18</v>
      </c>
      <c r="EB133" s="178">
        <f>Coking_BF_in</f>
        <v>198.80764502323905</v>
      </c>
      <c r="EC133" s="178">
        <f t="shared" si="46"/>
        <v>0.15178290594999461</v>
      </c>
      <c r="ED133" s="167">
        <f>MW_C</f>
        <v>1.2010999999999999E-2</v>
      </c>
      <c r="EE133" s="167">
        <f>EB133/ED133</f>
        <v>16552.130965218472</v>
      </c>
      <c r="EF133" s="167">
        <f>h_C</f>
        <v>0</v>
      </c>
      <c r="EG133" s="167">
        <f>b_ch_C</f>
        <v>410.3</v>
      </c>
      <c r="EH133" s="167">
        <f>EE133/$EE$134</f>
        <v>0.63592061363025532</v>
      </c>
      <c r="EI133" s="179">
        <f t="shared" si="47"/>
        <v>-0.45268154476892275</v>
      </c>
      <c r="EJ133" s="179">
        <f>RT0*EI133</f>
        <v>-1.0280258003104901</v>
      </c>
      <c r="EK133" s="179">
        <f t="shared" si="48"/>
        <v>409.27197419968951</v>
      </c>
      <c r="EL133" s="179">
        <f t="shared" si="49"/>
        <v>260.26448497473257</v>
      </c>
      <c r="EM133" s="179">
        <f>$EE$134*EL133</f>
        <v>6774323.3173467768</v>
      </c>
      <c r="ER133" s="140" t="s">
        <v>407</v>
      </c>
      <c r="ES133" s="99">
        <f>FM130/SUM(EU117,EM152,EM140,EM126,EM114,EM101)</f>
        <v>0.2948122246878026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587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587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8" t="s">
        <v>19</v>
      </c>
      <c r="EB134" s="175">
        <f>SUM(EB130:EB133)</f>
        <v>1309.8157778632656</v>
      </c>
      <c r="EC134" s="175"/>
      <c r="ED134" s="176">
        <f>SUM(ED130:ED133)</f>
        <v>0.28786090000000003</v>
      </c>
      <c r="EE134" s="176">
        <f>SUM(EE130:EE133)</f>
        <v>26028.612078995153</v>
      </c>
      <c r="EF134" s="176">
        <f>SUM(EF130:EF133)</f>
        <v>-31640.197378233519</v>
      </c>
      <c r="EG134" s="176"/>
      <c r="EH134" s="176">
        <f>SUM(EH130:EH133)</f>
        <v>1</v>
      </c>
      <c r="EI134" s="176"/>
      <c r="EJ134" s="176"/>
      <c r="EK134" s="176"/>
      <c r="EL134" s="176"/>
      <c r="EM134" s="176">
        <f>SUM(EM130:EM133)</f>
        <v>7072531.8830895294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587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589</v>
      </c>
      <c r="AS135" s="1" t="s">
        <v>589</v>
      </c>
      <c r="AT135" s="1" t="s">
        <v>589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589</v>
      </c>
      <c r="BL135" s="1" t="s">
        <v>589</v>
      </c>
      <c r="BM135" s="1" t="s">
        <v>589</v>
      </c>
      <c r="BN135" s="4"/>
      <c r="BO135" s="4"/>
      <c r="BP135" s="4"/>
      <c r="BQ135" s="4"/>
      <c r="BR135" s="4"/>
      <c r="BS135" s="4"/>
      <c r="BW135" s="4"/>
      <c r="BX135" s="4"/>
      <c r="EB135" s="180" t="s">
        <v>89</v>
      </c>
      <c r="EC135" s="180"/>
      <c r="ED135" s="167" t="s">
        <v>91</v>
      </c>
      <c r="EE135" s="167" t="s">
        <v>87</v>
      </c>
      <c r="EF135" s="1" t="s">
        <v>668</v>
      </c>
      <c r="EG135" s="181"/>
      <c r="EH135" s="181"/>
      <c r="EI135" s="167"/>
      <c r="EJ135" s="167"/>
      <c r="EK135" s="167"/>
      <c r="EL135" s="167" t="s">
        <v>96</v>
      </c>
      <c r="EM135" s="179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589</v>
      </c>
      <c r="Z136" s="1" t="s">
        <v>589</v>
      </c>
      <c r="AA136" s="1" t="s">
        <v>589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588</v>
      </c>
      <c r="AS136" s="3" t="s">
        <v>588</v>
      </c>
      <c r="AT136" s="3" t="s">
        <v>588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588</v>
      </c>
      <c r="BL136" s="3" t="s">
        <v>588</v>
      </c>
      <c r="BM136" s="3" t="s">
        <v>588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587</v>
      </c>
      <c r="CH136" s="1"/>
      <c r="CI136" s="1"/>
      <c r="CL136" s="4"/>
      <c r="CM136" s="4"/>
      <c r="CV136" s="63" t="s">
        <v>1</v>
      </c>
      <c r="CW136" s="58" t="s">
        <v>0</v>
      </c>
      <c r="EG136" s="178"/>
      <c r="EH136" s="167"/>
      <c r="EI136" s="167"/>
      <c r="EJ136" s="167"/>
      <c r="EK136" s="167"/>
      <c r="EL136" s="167"/>
      <c r="EM136" s="167"/>
      <c r="EN136" s="167"/>
      <c r="EO136" s="167"/>
      <c r="EP136" s="167"/>
      <c r="FC136" s="4"/>
      <c r="FD136" s="1"/>
      <c r="FE136" s="1"/>
      <c r="FF136" s="1"/>
      <c r="FI136" s="4"/>
      <c r="FJ136" s="4"/>
    </row>
    <row r="137" spans="2:171" ht="19" thickBot="1" x14ac:dyDescent="0.3">
      <c r="B137" s="342" t="s">
        <v>490</v>
      </c>
      <c r="C137" s="342"/>
      <c r="D137" s="342"/>
      <c r="E137" s="342"/>
      <c r="F137" s="342"/>
      <c r="G137" s="342"/>
      <c r="H137" s="342"/>
      <c r="T137" s="4"/>
      <c r="U137" s="4"/>
      <c r="V137" s="4"/>
      <c r="W137" s="4"/>
      <c r="X137" s="4" t="s">
        <v>60</v>
      </c>
      <c r="Y137" s="3" t="s">
        <v>588</v>
      </c>
      <c r="Z137" s="3" t="s">
        <v>588</v>
      </c>
      <c r="AA137" s="3" t="s">
        <v>588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589</v>
      </c>
      <c r="CF137" s="1" t="s">
        <v>589</v>
      </c>
      <c r="CG137" s="1" t="s">
        <v>589</v>
      </c>
      <c r="CH137" s="1"/>
      <c r="CI137" s="1"/>
      <c r="CL137" s="4"/>
      <c r="CM137" s="4"/>
      <c r="CV137" s="65" t="s">
        <v>89</v>
      </c>
      <c r="CW137" s="64" t="s">
        <v>93</v>
      </c>
      <c r="EB137" s="178"/>
      <c r="EC137" s="178"/>
      <c r="ED137" s="167"/>
      <c r="EE137" s="167"/>
      <c r="EF137" s="167"/>
      <c r="EG137" s="167"/>
      <c r="EH137" s="167"/>
      <c r="EI137" s="167"/>
      <c r="EJ137" s="167"/>
      <c r="EK137" s="167"/>
      <c r="EL137" s="167"/>
      <c r="EM137" s="167"/>
      <c r="EP137" s="4"/>
      <c r="EQ137" s="3" t="s">
        <v>2</v>
      </c>
      <c r="ER137" s="3" t="s">
        <v>3</v>
      </c>
      <c r="ES137" s="132" t="s">
        <v>587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43"/>
      <c r="C138" s="343"/>
      <c r="D138" s="343"/>
      <c r="E138" s="343"/>
      <c r="F138" s="343"/>
      <c r="G138" s="343"/>
      <c r="H138" s="343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9" t="s">
        <v>340</v>
      </c>
      <c r="CA138" s="157" t="s">
        <v>1</v>
      </c>
      <c r="CB138" s="58" t="s">
        <v>0</v>
      </c>
      <c r="CD138" s="4" t="s">
        <v>60</v>
      </c>
      <c r="CE138" s="3" t="s">
        <v>588</v>
      </c>
      <c r="CF138" s="3" t="s">
        <v>588</v>
      </c>
      <c r="CG138" s="3" t="s">
        <v>588</v>
      </c>
      <c r="CH138" s="1"/>
      <c r="CI138" s="1"/>
      <c r="CJ138" s="1"/>
      <c r="CK138" s="1"/>
      <c r="CL138" s="1"/>
      <c r="CO138" s="4"/>
      <c r="CP138" s="4"/>
      <c r="CQ138" s="4"/>
      <c r="CR138" s="3" t="s">
        <v>535</v>
      </c>
      <c r="CV138" s="50">
        <f>CL147</f>
        <v>22064.067709118775</v>
      </c>
      <c r="CW138" s="48">
        <f>CW147</f>
        <v>1133973033.3846123</v>
      </c>
      <c r="EB138" s="178"/>
      <c r="EC138" s="178"/>
      <c r="ED138" s="167"/>
      <c r="EE138" s="167"/>
      <c r="EF138" s="167"/>
      <c r="EG138" s="167"/>
      <c r="EH138" s="167"/>
      <c r="EI138" s="167"/>
      <c r="EJ138" s="167"/>
      <c r="EK138" s="167"/>
      <c r="EL138" s="182" t="s">
        <v>1</v>
      </c>
      <c r="EM138" s="183" t="s">
        <v>0</v>
      </c>
      <c r="EP138" s="4"/>
      <c r="EQ138" s="1" t="s">
        <v>589</v>
      </c>
      <c r="ER138" s="1" t="s">
        <v>589</v>
      </c>
      <c r="ES138" s="1" t="s">
        <v>589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322</v>
      </c>
      <c r="H139" s="114" t="s">
        <v>316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312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312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60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8"/>
      <c r="EC139" s="178"/>
      <c r="ED139" s="167"/>
      <c r="EE139" s="167"/>
      <c r="EF139" s="167"/>
      <c r="EG139" s="167"/>
      <c r="EH139" s="167"/>
      <c r="EI139" s="167"/>
      <c r="EJ139" s="167"/>
      <c r="EK139" s="167"/>
      <c r="EL139" s="184" t="s">
        <v>89</v>
      </c>
      <c r="EM139" s="185" t="s">
        <v>93</v>
      </c>
      <c r="EP139" s="4" t="s">
        <v>60</v>
      </c>
      <c r="EQ139" s="3" t="s">
        <v>588</v>
      </c>
      <c r="ER139" s="3" t="s">
        <v>588</v>
      </c>
      <c r="ES139" s="3" t="s">
        <v>588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328</v>
      </c>
      <c r="E140" s="114" t="s">
        <v>329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4" t="s">
        <v>578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312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529</v>
      </c>
      <c r="BZ140" s="122">
        <v>298.14999999999998</v>
      </c>
      <c r="CA140" s="158">
        <f>BQ146</f>
        <v>1173.1885157382469</v>
      </c>
      <c r="CB140" s="48">
        <f>CB146</f>
        <v>9183.7711365934829</v>
      </c>
      <c r="CD140" s="3" t="s">
        <v>18</v>
      </c>
      <c r="CE140" s="83">
        <f>BT130+BT131+BT156</f>
        <v>1298533.3000383398</v>
      </c>
      <c r="CF140" s="83">
        <f>CO144+CO143</f>
        <v>1298533.3000383398</v>
      </c>
      <c r="CG140" s="3">
        <f>CE140-CF140</f>
        <v>0</v>
      </c>
      <c r="CK140" s="4"/>
      <c r="CL140" s="1" t="s">
        <v>560</v>
      </c>
      <c r="CM140" s="1" t="s">
        <v>561</v>
      </c>
      <c r="CN140" s="1" t="s">
        <v>563</v>
      </c>
      <c r="CO140" s="1" t="s">
        <v>85</v>
      </c>
      <c r="CP140" s="1" t="s">
        <v>667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562</v>
      </c>
      <c r="CW140" s="1" t="s">
        <v>50</v>
      </c>
      <c r="EB140" s="178"/>
      <c r="EC140" s="178"/>
      <c r="ED140" s="167"/>
      <c r="EE140" s="167"/>
      <c r="EF140" s="167"/>
      <c r="EG140" s="167"/>
      <c r="EH140" s="167" t="s">
        <v>529</v>
      </c>
      <c r="EI140" s="167"/>
      <c r="EJ140" s="167"/>
      <c r="EK140" s="167"/>
      <c r="EL140" s="173">
        <f>EB146</f>
        <v>2870.841834451006</v>
      </c>
      <c r="EM140" s="174">
        <f>EM146</f>
        <v>23611.293462025522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312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283</v>
      </c>
      <c r="CN141" s="2" t="s">
        <v>90</v>
      </c>
      <c r="CO141" s="2" t="s">
        <v>86</v>
      </c>
      <c r="CP141" s="1" t="s">
        <v>652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8"/>
      <c r="EC141" s="178"/>
      <c r="ED141" s="167"/>
      <c r="EE141" s="167"/>
      <c r="EF141" s="167"/>
      <c r="EG141" s="167"/>
      <c r="EH141" s="167"/>
      <c r="EI141" s="167"/>
      <c r="EJ141" s="167"/>
      <c r="EK141" s="167"/>
      <c r="EL141" s="167"/>
      <c r="EM141" s="167"/>
      <c r="EP141" s="3" t="s">
        <v>30</v>
      </c>
      <c r="EQ141" s="291">
        <f>EE131</f>
        <v>1979.5520626852608</v>
      </c>
      <c r="ER141" s="83">
        <f>FE108</f>
        <v>1979.552062685261</v>
      </c>
      <c r="ES141" s="3">
        <f t="shared" ref="ES141:ES146" si="59">EQ141-ER141</f>
        <v>0</v>
      </c>
      <c r="EZ141" s="1"/>
      <c r="FA141" s="1"/>
      <c r="FB141" s="1"/>
      <c r="FE141" s="4"/>
      <c r="FF141" s="4"/>
      <c r="FG141" s="4" t="s">
        <v>558</v>
      </c>
      <c r="FL141" s="50">
        <f>FB148</f>
        <v>3432.8541806261665</v>
      </c>
      <c r="FM141" s="48">
        <f>FM148</f>
        <v>432711.9695416363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566</v>
      </c>
      <c r="L142" s="1" t="s">
        <v>560</v>
      </c>
      <c r="M142" s="1" t="s">
        <v>563</v>
      </c>
      <c r="N142" s="1" t="s">
        <v>85</v>
      </c>
      <c r="O142" s="1" t="s">
        <v>667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562</v>
      </c>
      <c r="V142" s="1" t="s">
        <v>50</v>
      </c>
      <c r="W142" s="4"/>
      <c r="X142" s="4" t="s">
        <v>182</v>
      </c>
      <c r="Y142" s="286">
        <f>(23*N144)+(18*N155)</f>
        <v>0.86107827692526073</v>
      </c>
      <c r="Z142" s="286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548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42" t="s">
        <v>523</v>
      </c>
      <c r="BL142" s="342"/>
      <c r="BM142" s="342"/>
      <c r="BN142" s="342"/>
      <c r="BP142" s="4"/>
      <c r="BQ142" s="1" t="s">
        <v>560</v>
      </c>
      <c r="BR142" s="1" t="s">
        <v>561</v>
      </c>
      <c r="BS142" s="1" t="s">
        <v>563</v>
      </c>
      <c r="BT142" s="1" t="s">
        <v>85</v>
      </c>
      <c r="BU142" s="1" t="s">
        <v>667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562</v>
      </c>
      <c r="CB142" s="1" t="s">
        <v>50</v>
      </c>
      <c r="CC142" s="1"/>
      <c r="CD142" s="3" t="s">
        <v>29</v>
      </c>
      <c r="CE142" s="83">
        <f>(3*BT130)+(3*BT131)+(2*BT144)</f>
        <v>23395.43751446082</v>
      </c>
      <c r="CF142" s="83">
        <f>CO118+CO130+(CO142)+(2*CO143)</f>
        <v>23395.43751446082</v>
      </c>
      <c r="CG142" s="3">
        <f t="shared" si="58"/>
        <v>0</v>
      </c>
      <c r="CJ142" s="348" t="s">
        <v>535</v>
      </c>
      <c r="CK142" s="3" t="s">
        <v>68</v>
      </c>
      <c r="CL142" s="8">
        <f>H2O_Kiln_Out</f>
        <v>307.80454225965212</v>
      </c>
      <c r="CM142" s="8">
        <f>CL142/CL147</f>
        <v>1.3950489380180824E-2</v>
      </c>
      <c r="CN142" s="1">
        <f>MW_H2O</f>
        <v>1.8015280000000002E-2</v>
      </c>
      <c r="CO142" s="1">
        <f>Kiln_CO2Waste/CN142</f>
        <v>17085.748445744506</v>
      </c>
      <c r="CP142" s="8">
        <f>h_H2O</f>
        <v>-13421.939597941302</v>
      </c>
      <c r="CQ142" s="1">
        <f>b_ch_H2O</f>
        <v>9.5113440000000082</v>
      </c>
      <c r="CR142" s="1">
        <f>CO142/$CO$147</f>
        <v>4.3547048958424133E-3</v>
      </c>
      <c r="CS142" s="1">
        <f>LN(CR142)</f>
        <v>-5.4364984331223285</v>
      </c>
      <c r="CT142" s="1">
        <f>RT0*CS142</f>
        <v>-12.346119953819224</v>
      </c>
      <c r="CU142" s="1">
        <f>CQ142+CT142</f>
        <v>-2.8347759538192161</v>
      </c>
      <c r="CV142" s="1">
        <f>CU142*CR142</f>
        <v>-1.2344612724712887E-2</v>
      </c>
      <c r="CW142" s="8">
        <f>$CO$147*CV142</f>
        <v>-48434.268847000567</v>
      </c>
      <c r="DV142" s="342" t="s">
        <v>523</v>
      </c>
      <c r="DW142" s="342"/>
      <c r="DX142" s="342"/>
      <c r="DY142" s="342"/>
      <c r="EA142" s="4"/>
      <c r="EB142" s="1" t="s">
        <v>560</v>
      </c>
      <c r="EC142" s="1" t="s">
        <v>561</v>
      </c>
      <c r="ED142" s="1" t="s">
        <v>563</v>
      </c>
      <c r="EE142" s="1" t="s">
        <v>85</v>
      </c>
      <c r="EF142" s="1" t="s">
        <v>667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562</v>
      </c>
      <c r="EM142" s="1" t="s">
        <v>50</v>
      </c>
      <c r="EN142" s="1"/>
      <c r="EP142" s="3" t="s">
        <v>31</v>
      </c>
      <c r="EQ142" s="291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565</v>
      </c>
      <c r="L143" s="1" t="s">
        <v>88</v>
      </c>
      <c r="M143" s="1" t="s">
        <v>90</v>
      </c>
      <c r="N143" s="1" t="s">
        <v>86</v>
      </c>
      <c r="O143" s="1" t="s">
        <v>652</v>
      </c>
      <c r="P143" s="1" t="s">
        <v>652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363</v>
      </c>
      <c r="Y143" s="286">
        <f>2*N168</f>
        <v>4.9498831634702833</v>
      </c>
      <c r="Z143" s="286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42"/>
      <c r="BL143" s="342"/>
      <c r="BM143" s="342"/>
      <c r="BN143" s="342"/>
      <c r="BO143" s="4"/>
      <c r="BP143" s="4" t="s">
        <v>41</v>
      </c>
      <c r="BQ143" s="1" t="s">
        <v>88</v>
      </c>
      <c r="BR143" s="4" t="s">
        <v>283</v>
      </c>
      <c r="BS143" s="2" t="s">
        <v>90</v>
      </c>
      <c r="BT143" s="2" t="s">
        <v>86</v>
      </c>
      <c r="BU143" s="1" t="s">
        <v>652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363</v>
      </c>
      <c r="CE143" s="83">
        <f>(2*BT145)</f>
        <v>64242.414155999337</v>
      </c>
      <c r="CF143" s="83">
        <f>(2*CO146)</f>
        <v>64242.414155999337</v>
      </c>
      <c r="CG143" s="3">
        <f t="shared" si="58"/>
        <v>0</v>
      </c>
      <c r="CJ143" s="348"/>
      <c r="CK143" s="3" t="s">
        <v>592</v>
      </c>
      <c r="CL143" s="289">
        <f>CO2_Kiln_Out</f>
        <v>92.56271799213043</v>
      </c>
      <c r="CM143" s="289">
        <f>CL143/CL144</f>
        <v>5.9443974043438524E-3</v>
      </c>
      <c r="CN143" s="289">
        <f>MW_CO2</f>
        <v>4.4009800000000002E-2</v>
      </c>
      <c r="CO143" s="289">
        <f>CL143/CN143</f>
        <v>2103.2296895721051</v>
      </c>
      <c r="CP143" s="289">
        <f>h_CO2</f>
        <v>-8941.1903712354979</v>
      </c>
      <c r="CQ143" s="289">
        <f>b_ch_CO2</f>
        <v>19.900000000000034</v>
      </c>
      <c r="CR143" s="1">
        <f>CO143/$CO$147</f>
        <v>5.3605756021428235E-4</v>
      </c>
      <c r="CS143" s="1">
        <f t="shared" ref="CS143:CS146" si="60">LN(CR143)</f>
        <v>-7.5312690141997178</v>
      </c>
      <c r="CT143" s="1">
        <f>RT0*CS143</f>
        <v>-17.10327921503502</v>
      </c>
      <c r="CU143" s="1">
        <f t="shared" ref="CU143:CU146" si="61">CQ143+CT143</f>
        <v>2.7967207849650144</v>
      </c>
      <c r="CV143" s="1">
        <f t="shared" ref="CV143:CV146" si="62">CU143*CR143</f>
        <v>1.4992033205889182E-3</v>
      </c>
      <c r="CW143" s="1">
        <f t="shared" ref="CW143:CW146" si="63">$CO$147*CV143</f>
        <v>5882.146188381822</v>
      </c>
      <c r="DV143" s="342"/>
      <c r="DW143" s="342"/>
      <c r="DX143" s="342"/>
      <c r="DY143" s="342"/>
      <c r="EA143" s="94" t="s">
        <v>41</v>
      </c>
      <c r="EB143" s="186" t="s">
        <v>88</v>
      </c>
      <c r="EC143" s="1" t="s">
        <v>564</v>
      </c>
      <c r="ED143" s="187" t="s">
        <v>90</v>
      </c>
      <c r="EE143" s="187" t="s">
        <v>86</v>
      </c>
      <c r="EF143" s="1" t="s">
        <v>652</v>
      </c>
      <c r="EG143" s="187" t="s">
        <v>95</v>
      </c>
      <c r="EH143" s="187" t="s">
        <v>25</v>
      </c>
      <c r="EI143" s="187" t="s">
        <v>98</v>
      </c>
      <c r="EJ143" s="187" t="s">
        <v>95</v>
      </c>
      <c r="EK143" s="187" t="s">
        <v>95</v>
      </c>
      <c r="EL143" s="187" t="s">
        <v>94</v>
      </c>
      <c r="EM143" s="187" t="s">
        <v>92</v>
      </c>
      <c r="EN143" s="1"/>
      <c r="EP143" s="3" t="s">
        <v>18</v>
      </c>
      <c r="EQ143" s="83">
        <f>EE133+EE157+EE118+(10*EE105)</f>
        <v>20857.392816592874</v>
      </c>
      <c r="ER143" s="83">
        <f>FE145</f>
        <v>20857.392816592877</v>
      </c>
      <c r="ES143" s="3">
        <f t="shared" si="59"/>
        <v>0</v>
      </c>
      <c r="FA143" s="1"/>
      <c r="FB143" s="1" t="s">
        <v>560</v>
      </c>
      <c r="FC143" s="1" t="s">
        <v>561</v>
      </c>
      <c r="FD143" s="1" t="s">
        <v>563</v>
      </c>
      <c r="FE143" s="1" t="s">
        <v>85</v>
      </c>
      <c r="FF143" s="1" t="s">
        <v>667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562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82" t="s">
        <v>578</v>
      </c>
      <c r="J144" s="62" t="s">
        <v>493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</f>
        <v>42600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560</v>
      </c>
      <c r="AF144" s="1" t="s">
        <v>561</v>
      </c>
      <c r="AG144" s="1" t="s">
        <v>563</v>
      </c>
      <c r="AH144" s="1" t="s">
        <v>85</v>
      </c>
      <c r="AI144" s="1" t="s">
        <v>667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562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48" t="s">
        <v>529</v>
      </c>
      <c r="BP144" s="8" t="s">
        <v>303</v>
      </c>
      <c r="BQ144" s="17">
        <f>O2_Kiln_in</f>
        <v>273.36172368284468</v>
      </c>
      <c r="BR144" s="17">
        <f>O2_Kiln_in/BQ146</f>
        <v>0.23300750051310179</v>
      </c>
      <c r="BS144" s="3">
        <f>MW_O2</f>
        <v>3.1998800000000001E-2</v>
      </c>
      <c r="BT144" s="3">
        <f>BQ144/BS144</f>
        <v>8542.8742228722531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3901.7506970151949</v>
      </c>
      <c r="CD144" s="3" t="s">
        <v>182</v>
      </c>
      <c r="CE144" s="83">
        <f>(4*BT156)</f>
        <v>5185720.2813950712</v>
      </c>
      <c r="CF144" s="83">
        <f>(2*CO145)+(2*CO142)</f>
        <v>5185720.2813950712</v>
      </c>
      <c r="CG144" s="3">
        <f t="shared" si="58"/>
        <v>0</v>
      </c>
      <c r="CJ144" s="348"/>
      <c r="CK144" s="3" t="s">
        <v>18</v>
      </c>
      <c r="CL144" s="145">
        <f>C_Kiln_out</f>
        <v>15571.421574959049</v>
      </c>
      <c r="CM144" s="1">
        <f>CL144/$CL$147</f>
        <v>0.70573666561599591</v>
      </c>
      <c r="CN144" s="1">
        <f>MW_C</f>
        <v>1.2010999999999999E-2</v>
      </c>
      <c r="CO144" s="1">
        <f>CL144/CN144</f>
        <v>1296430.0703487678</v>
      </c>
      <c r="CP144" s="1">
        <f>h_C</f>
        <v>0</v>
      </c>
      <c r="CQ144" s="1">
        <f>b_ch_C</f>
        <v>410.3</v>
      </c>
      <c r="CR144" s="1">
        <f>CO144/$CO$147</f>
        <v>0.33042569907853397</v>
      </c>
      <c r="CS144" s="1">
        <f t="shared" si="60"/>
        <v>-1.1073734586454635</v>
      </c>
      <c r="CT144" s="1">
        <f>RT0*CS144</f>
        <v>-2.5148109067439752</v>
      </c>
      <c r="CU144" s="1">
        <f t="shared" si="61"/>
        <v>407.78518909325601</v>
      </c>
      <c r="CV144" s="1">
        <f t="shared" si="62"/>
        <v>134.74270618001128</v>
      </c>
      <c r="CW144" s="1">
        <f t="shared" si="63"/>
        <v>528664981.38335544</v>
      </c>
      <c r="DZ144" s="348" t="s">
        <v>529</v>
      </c>
      <c r="EA144" s="1" t="s">
        <v>303</v>
      </c>
      <c r="EB144" s="178">
        <f>O2_BF_in+O2_added_BF+((((EE118*O2_Naturalgas_molcoeff)+(EE105*O2_Oil_molcoeff)))*ED144)</f>
        <v>750.02828160126808</v>
      </c>
      <c r="EC144" s="175">
        <f>EB144/EB146</f>
        <v>0.26125726349696193</v>
      </c>
      <c r="ED144" s="261">
        <f>MW_O2</f>
        <v>3.1998800000000001E-2</v>
      </c>
      <c r="EE144" s="167">
        <f>EB144/ED144</f>
        <v>23439.262772393591</v>
      </c>
      <c r="EF144" s="27">
        <f>h_O2</f>
        <v>0</v>
      </c>
      <c r="EG144" s="167">
        <f>b_ch_O2</f>
        <v>4</v>
      </c>
      <c r="EH144" s="167">
        <f>EE144/$EE$146</f>
        <v>0.23641120950762273</v>
      </c>
      <c r="EI144" s="179">
        <f>LN(EH144)</f>
        <v>-1.4421825770294348</v>
      </c>
      <c r="EJ144" s="179">
        <f>RT0*EI144</f>
        <v>-3.2751520689922158</v>
      </c>
      <c r="EK144" s="179">
        <f>EG144+EJ144</f>
        <v>0.72484793100778422</v>
      </c>
      <c r="EL144" s="179">
        <f>EK144*EH144</f>
        <v>0.17136217607864815</v>
      </c>
      <c r="EM144" s="179">
        <f>$EE$146*EL144</f>
        <v>16989.901124917276</v>
      </c>
      <c r="EP144" s="3" t="s">
        <v>29</v>
      </c>
      <c r="EQ144" s="83">
        <f>(3*EE130)+(2*EE131)+EE132+(2*EE144)+(2*EE158)</f>
        <v>69478.553160568845</v>
      </c>
      <c r="ER144" s="83">
        <f>FE146+(2*FE145)+(3*FE108)</f>
        <v>69478.553160568845</v>
      </c>
      <c r="ES144" s="3">
        <f t="shared" si="59"/>
        <v>0</v>
      </c>
      <c r="FA144" s="2" t="s">
        <v>41</v>
      </c>
      <c r="FB144" s="1" t="s">
        <v>88</v>
      </c>
      <c r="FC144" s="1" t="s">
        <v>564</v>
      </c>
      <c r="FD144" s="1" t="s">
        <v>90</v>
      </c>
      <c r="FE144" s="1" t="s">
        <v>86</v>
      </c>
      <c r="FF144" s="1" t="s">
        <v>652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42600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283</v>
      </c>
      <c r="AG145" s="2" t="s">
        <v>90</v>
      </c>
      <c r="AH145" s="2" t="s">
        <v>86</v>
      </c>
      <c r="AI145" s="1" t="s">
        <v>652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48"/>
      <c r="BP145" s="60" t="s">
        <v>67</v>
      </c>
      <c r="BQ145" s="28">
        <f>N2_Kiln_in</f>
        <v>899.82679205540217</v>
      </c>
      <c r="BR145" s="3">
        <f>N2_Kiln_in/BQ146</f>
        <v>0.76699249948689818</v>
      </c>
      <c r="BS145" s="28">
        <f>MW_N2</f>
        <v>2.801348E-2</v>
      </c>
      <c r="BT145" s="28">
        <f>BQ145/BS145</f>
        <v>32121.207077999668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5282.0204395782885</v>
      </c>
      <c r="CJ145" s="348"/>
      <c r="CK145" s="3" t="s">
        <v>66</v>
      </c>
      <c r="CL145" s="1">
        <f>H2_Kiln_Out</f>
        <v>5192.4520818525407</v>
      </c>
      <c r="CM145" s="1">
        <f>CL145/$CL$147</f>
        <v>0.23533521335717131</v>
      </c>
      <c r="CN145" s="6">
        <f>MW_H*2</f>
        <v>2.0158800000000003E-3</v>
      </c>
      <c r="CO145" s="1">
        <f>CL145/CN145</f>
        <v>2575774.392251791</v>
      </c>
      <c r="CP145" s="1">
        <f>h_H2</f>
        <v>0</v>
      </c>
      <c r="CQ145" s="6">
        <f>b_ch_H2</f>
        <v>236.1</v>
      </c>
      <c r="CR145" s="1">
        <f>CO145/$CO$147</f>
        <v>0.65649669326122551</v>
      </c>
      <c r="CS145" s="1">
        <f t="shared" si="60"/>
        <v>-0.42083762217318171</v>
      </c>
      <c r="CT145" s="1">
        <f>RT0*CS145</f>
        <v>-0.95570923607277047</v>
      </c>
      <c r="CU145" s="1">
        <f t="shared" si="61"/>
        <v>235.14429076392722</v>
      </c>
      <c r="CV145" s="1">
        <f t="shared" si="62"/>
        <v>154.37144932577434</v>
      </c>
      <c r="CW145" s="1">
        <f t="shared" si="63"/>
        <v>605678642.63393295</v>
      </c>
      <c r="DZ145" s="348"/>
      <c r="EA145" s="60" t="s">
        <v>67</v>
      </c>
      <c r="EB145" s="188">
        <f>N2_BF_out+N2_added_BF+(((EE105+N2_molcoeff)+(EE118*N2_molcoeff))*ED145)</f>
        <v>2120.8135528497378</v>
      </c>
      <c r="EC145" s="188">
        <f>EB145/EB146</f>
        <v>0.73874273650303801</v>
      </c>
      <c r="ED145" s="267">
        <f>MW_N2</f>
        <v>2.801348E-2</v>
      </c>
      <c r="EE145" s="189">
        <f>EB145/ED145</f>
        <v>75706.893711518089</v>
      </c>
      <c r="EF145" s="6">
        <f>h_N2</f>
        <v>0</v>
      </c>
      <c r="EG145" s="189">
        <f>b_ch_N2</f>
        <v>0.7</v>
      </c>
      <c r="EH145" s="189">
        <f>EE145/$EE$146</f>
        <v>0.76358879049237727</v>
      </c>
      <c r="EI145" s="187">
        <f>LN(EH145)</f>
        <v>-0.26972586705445795</v>
      </c>
      <c r="EJ145" s="187">
        <f>RT0*EI145</f>
        <v>-0.61253910955138202</v>
      </c>
      <c r="EK145" s="187">
        <f>EG145+EJ145</f>
        <v>8.7460890448617934E-2</v>
      </c>
      <c r="EL145" s="187">
        <f>EK145*EH145</f>
        <v>6.6784155553046481E-2</v>
      </c>
      <c r="EM145" s="187">
        <f>$EE$146*EL145</f>
        <v>6621.3923371082456</v>
      </c>
      <c r="EP145" s="3" t="s">
        <v>182</v>
      </c>
      <c r="EQ145" s="83">
        <f>(20*EE105)+(4*EE118)+(2*EE156)+(4*EE157)</f>
        <v>43650.222678654616</v>
      </c>
      <c r="ER145" s="83">
        <f>2*FE146</f>
        <v>43650.222678654616</v>
      </c>
      <c r="ES145" s="3">
        <f t="shared" si="59"/>
        <v>0</v>
      </c>
      <c r="EZ145" s="348" t="s">
        <v>558</v>
      </c>
      <c r="FA145" s="3" t="s">
        <v>23</v>
      </c>
      <c r="FB145" s="8">
        <f>CO2_BF_Out+CO2_out_BF+(((EE105*Co2_Oil_molcoef)+(EE118*Co2_Naturalgas_molcoeff))*FD145)</f>
        <v>917.9296863796892</v>
      </c>
      <c r="FC145" s="8">
        <f>BF_CO2Waste/$FB$148</f>
        <v>0.26739547853799461</v>
      </c>
      <c r="FD145" s="8">
        <f>MW_CO2</f>
        <v>4.4009800000000002E-2</v>
      </c>
      <c r="FE145" s="8">
        <f>FB145/FD145</f>
        <v>20857.392816592877</v>
      </c>
      <c r="FF145" s="8">
        <f>h_CO2</f>
        <v>-8941.1903712354979</v>
      </c>
      <c r="FG145" s="8">
        <f>b_ch_CO2</f>
        <v>19.900000000000034</v>
      </c>
      <c r="FH145" s="8">
        <f>FE145/$FE$148</f>
        <v>0.17612704078891273</v>
      </c>
      <c r="FI145" s="8">
        <f>LN(FH145)</f>
        <v>-1.7365497216683923</v>
      </c>
      <c r="FJ145" s="8">
        <f>RT0*FI145</f>
        <v>-3.9436507585225189</v>
      </c>
      <c r="FK145" s="8">
        <f>FG145+FJ145</f>
        <v>15.956349241477515</v>
      </c>
      <c r="FL145" s="8">
        <f>FK145*FH145</f>
        <v>2.810344573695847</v>
      </c>
      <c r="FM145" s="8">
        <f>$FE$148*FL145</f>
        <v>332807.84404824034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668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48" t="s">
        <v>501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-8941.1903712354979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1173.1885157382469</v>
      </c>
      <c r="BR146" s="17"/>
      <c r="BS146" s="3">
        <f>SUM(BS144:BS145)</f>
        <v>6.0012280000000001E-2</v>
      </c>
      <c r="BT146" s="3">
        <f>SUM(BT144:BT145)</f>
        <v>40664.08130087192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9183.7711365934829</v>
      </c>
      <c r="CK146" s="7" t="s">
        <v>67</v>
      </c>
      <c r="CL146" s="290">
        <f>N2_Kiln_in</f>
        <v>899.82679205540217</v>
      </c>
      <c r="CM146" s="1">
        <f>CL146/$CL$147</f>
        <v>4.0782452443413962E-2</v>
      </c>
      <c r="CN146" s="6">
        <f>MW_N2</f>
        <v>2.801348E-2</v>
      </c>
      <c r="CO146" s="1">
        <f>CL146/CN146</f>
        <v>32121.207077999668</v>
      </c>
      <c r="CP146" s="1">
        <f>h_N2</f>
        <v>0</v>
      </c>
      <c r="CQ146" s="6">
        <f>b_ch_N2</f>
        <v>0.7</v>
      </c>
      <c r="CR146" s="1">
        <f>CO146/$CO$147</f>
        <v>8.1868452041837375E-3</v>
      </c>
      <c r="CS146" s="1">
        <f t="shared" si="60"/>
        <v>-4.8052266562804711</v>
      </c>
      <c r="CT146" s="1">
        <f>RT0*CS146</f>
        <v>-10.91252125490927</v>
      </c>
      <c r="CU146" s="1">
        <f t="shared" si="61"/>
        <v>-10.212521254909271</v>
      </c>
      <c r="CV146" s="1">
        <f t="shared" si="62"/>
        <v>-8.3608330658378457E-2</v>
      </c>
      <c r="CW146" s="1">
        <f t="shared" si="63"/>
        <v>-328038.51001741376</v>
      </c>
      <c r="EA146" s="3" t="s">
        <v>19</v>
      </c>
      <c r="EB146" s="3">
        <f>SUM(EB144:EB145)</f>
        <v>2870.841834451006</v>
      </c>
      <c r="ED146" s="3">
        <f>SUM(ED144:ED145)</f>
        <v>6.0012280000000001E-2</v>
      </c>
      <c r="EE146" s="3">
        <f>SUM(EE144:EE145)</f>
        <v>99146.156483911676</v>
      </c>
      <c r="EF146" s="27">
        <f>SUM(EF144:EF145)</f>
        <v>0</v>
      </c>
      <c r="EL146" s="3">
        <f>SUM(EL144:EL145)</f>
        <v>0.23814633163169463</v>
      </c>
      <c r="EM146" s="3">
        <f>SUM(EM144:EM145)</f>
        <v>23611.293462025522</v>
      </c>
      <c r="EP146" s="3" t="s">
        <v>363</v>
      </c>
      <c r="EQ146" s="83">
        <f>(2*EE145)+(2*EE159)</f>
        <v>151479.85915618631</v>
      </c>
      <c r="ER146" s="83">
        <f>2*FE147</f>
        <v>151479.85915618628</v>
      </c>
      <c r="ES146" s="3">
        <f t="shared" si="59"/>
        <v>0</v>
      </c>
      <c r="EZ146" s="348"/>
      <c r="FA146" s="3" t="s">
        <v>456</v>
      </c>
      <c r="FB146" s="1">
        <f>H2O_out_BF+(((EE105*H2O_Oil_molcoeff)+(EE118*H2O_Naturalgas_molcoeff))*FD146)</f>
        <v>393.18549180915653</v>
      </c>
      <c r="FC146" s="1">
        <f>FB146/FB148</f>
        <v>0.11453603069660183</v>
      </c>
      <c r="FD146" s="1">
        <f>MW_H2O</f>
        <v>1.8015280000000002E-2</v>
      </c>
      <c r="FE146" s="1">
        <f>FB146/FD146</f>
        <v>21825.111339327308</v>
      </c>
      <c r="FF146" s="1">
        <f>h_H2O</f>
        <v>-13421.939597941302</v>
      </c>
      <c r="FG146" s="1">
        <f>b_ch_H2O</f>
        <v>9.5113440000000082</v>
      </c>
      <c r="FH146" s="1">
        <f>FE146/$FE$148</f>
        <v>0.18429879078780234</v>
      </c>
      <c r="FI146" s="1">
        <f>LN(FH146)</f>
        <v>-1.6911969754358471</v>
      </c>
      <c r="FJ146" s="1">
        <f>RT0*FI146</f>
        <v>-3.8406560732282675</v>
      </c>
      <c r="FK146" s="1">
        <f>FG146+FJ146</f>
        <v>5.6706879267717412</v>
      </c>
      <c r="FL146" s="1">
        <f>FK146*FH146</f>
        <v>1.0451009278390218</v>
      </c>
      <c r="FM146" s="1">
        <f>$FE$148*FL146</f>
        <v>123763.3953723724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48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-13421.939597941302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4">LN(AK147)</f>
        <v>-2.0512116991307763</v>
      </c>
      <c r="AM147" s="1">
        <f>RT0*AL147</f>
        <v>-4.6582383862844896</v>
      </c>
      <c r="AN147" s="1">
        <f t="shared" ref="AN147:AN148" si="65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668</v>
      </c>
      <c r="BV147" s="4"/>
      <c r="BW147" s="4"/>
      <c r="CA147" s="3" t="s">
        <v>96</v>
      </c>
      <c r="CB147" s="1" t="s">
        <v>93</v>
      </c>
      <c r="CK147" s="17" t="s">
        <v>19</v>
      </c>
      <c r="CL147" s="1">
        <f>SUM(CL142:CL146)</f>
        <v>22064.067709118775</v>
      </c>
      <c r="CM147" s="8">
        <f>SUM(CM142:CM146)</f>
        <v>1.0017492182011059</v>
      </c>
      <c r="CN147" s="8">
        <f>SUM(CN142:CN146)</f>
        <v>0.10406544000000001</v>
      </c>
      <c r="CO147" s="8">
        <f>SUM(CO142:CO146)</f>
        <v>3923514.6478138752</v>
      </c>
      <c r="CP147" s="8">
        <f>SUM(CP142:CP146)</f>
        <v>-22363.1299691768</v>
      </c>
      <c r="CQ147" s="62"/>
      <c r="CR147" s="8">
        <f>SUM(CR142:CR146)</f>
        <v>1</v>
      </c>
      <c r="CS147" s="17"/>
      <c r="CT147" s="17"/>
      <c r="CU147" s="17"/>
      <c r="CV147" s="8">
        <f>SUM(CV142:CV146)</f>
        <v>289.01970176572314</v>
      </c>
      <c r="CW147" s="8">
        <f>SUM(CW142:CW146)</f>
        <v>1133973033.3846123</v>
      </c>
      <c r="EB147" s="1" t="s">
        <v>89</v>
      </c>
      <c r="EC147" s="1"/>
      <c r="ED147" s="3" t="s">
        <v>91</v>
      </c>
      <c r="EE147" s="3" t="s">
        <v>87</v>
      </c>
      <c r="EF147" s="1" t="s">
        <v>668</v>
      </c>
      <c r="EG147" s="4"/>
      <c r="EH147" s="4"/>
      <c r="EL147" s="3" t="s">
        <v>96</v>
      </c>
      <c r="EM147" s="1" t="s">
        <v>93</v>
      </c>
      <c r="EZ147" s="348"/>
      <c r="FA147" s="60" t="s">
        <v>67</v>
      </c>
      <c r="FB147" s="180">
        <f>EB145+EB159</f>
        <v>2121.7390024373208</v>
      </c>
      <c r="FC147" s="1">
        <f>FB147/FB148</f>
        <v>0.6180684907654036</v>
      </c>
      <c r="FD147" s="6">
        <f>MW_N2</f>
        <v>2.801348E-2</v>
      </c>
      <c r="FE147" s="6">
        <f>FB147/FD147</f>
        <v>75739.929578093142</v>
      </c>
      <c r="FF147" s="6">
        <f>h_N2</f>
        <v>0</v>
      </c>
      <c r="FG147" s="7">
        <f>b_ch_N2</f>
        <v>0.7</v>
      </c>
      <c r="FH147" s="1">
        <f>FE147/$FE$148</f>
        <v>0.63957416842328496</v>
      </c>
      <c r="FI147" s="1">
        <f>LN(FH147)</f>
        <v>-0.44695268591846055</v>
      </c>
      <c r="FJ147" s="1">
        <f>RT0*FI147</f>
        <v>-1.0150157388828289</v>
      </c>
      <c r="FK147" s="1">
        <f>FG147+FJ147</f>
        <v>-0.31501573888282897</v>
      </c>
      <c r="FL147" s="1">
        <f>FK147*FH147</f>
        <v>-0.201475929236232</v>
      </c>
      <c r="FM147" s="1">
        <f>$FE$148*FL147</f>
        <v>-23859.26987897644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48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4"/>
        <v>-0.30227786144786772</v>
      </c>
      <c r="AM148" s="1">
        <f>RT0*AL148</f>
        <v>-0.68646368296218885</v>
      </c>
      <c r="AN148" s="1">
        <f t="shared" si="65"/>
        <v>-0.65845020296218881</v>
      </c>
      <c r="AO148" s="1">
        <f t="shared" ref="AO148" si="66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CL148" s="1" t="s">
        <v>89</v>
      </c>
      <c r="CM148" s="1"/>
      <c r="CN148" s="3" t="s">
        <v>91</v>
      </c>
      <c r="CO148" s="3" t="s">
        <v>87</v>
      </c>
      <c r="CP148" s="1" t="s">
        <v>668</v>
      </c>
      <c r="CQ148" s="4"/>
      <c r="CR148" s="4"/>
      <c r="CV148" s="3" t="s">
        <v>96</v>
      </c>
      <c r="CW148" s="1" t="s">
        <v>93</v>
      </c>
      <c r="EB148" s="1"/>
      <c r="EC148" s="1"/>
      <c r="EG148" s="4"/>
      <c r="EH148" s="4"/>
      <c r="EM148" s="1"/>
      <c r="FA148" s="1" t="s">
        <v>19</v>
      </c>
      <c r="FB148" s="27">
        <f>SUM(FB145:FB147)</f>
        <v>3432.8541806261665</v>
      </c>
      <c r="FC148" s="27"/>
      <c r="FD148" s="27">
        <f>SUM(FD145:FD147)</f>
        <v>9.0038560000000004E-2</v>
      </c>
      <c r="FE148" s="27">
        <f>SUM(FE145:FE147)</f>
        <v>118422.43373401332</v>
      </c>
      <c r="FF148" s="27">
        <f>SUM(FF145:FF147)</f>
        <v>-22363.1299691768</v>
      </c>
      <c r="FG148" s="27"/>
      <c r="FH148" s="27">
        <f>SUM(FH145:FH147)</f>
        <v>1</v>
      </c>
      <c r="FI148" s="27"/>
      <c r="FJ148" s="27"/>
      <c r="FK148" s="27"/>
      <c r="FL148" s="27">
        <f>SUM(FL145:FL147)</f>
        <v>3.6539695722986369</v>
      </c>
      <c r="FM148" s="27">
        <f>SUM(FM145:FM147)</f>
        <v>432711.9695416363</v>
      </c>
    </row>
    <row r="149" spans="2:169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48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8">
        <f>SUM(AI146:AI148)</f>
        <v>-22363.1299691768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B149" s="1" t="s">
        <v>89</v>
      </c>
      <c r="FC149" s="1"/>
      <c r="FD149" s="3" t="s">
        <v>91</v>
      </c>
      <c r="FE149" s="3" t="s">
        <v>87</v>
      </c>
      <c r="FF149" s="1" t="s">
        <v>668</v>
      </c>
      <c r="FG149" s="4"/>
      <c r="FH149" s="4"/>
      <c r="FL149" s="3" t="s">
        <v>96</v>
      </c>
      <c r="FM149" s="1" t="s">
        <v>93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668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9" t="s">
        <v>340</v>
      </c>
      <c r="CA150" s="157" t="s">
        <v>1</v>
      </c>
      <c r="CB150" s="58" t="s">
        <v>0</v>
      </c>
      <c r="EL150" s="182" t="s">
        <v>1</v>
      </c>
      <c r="EM150" s="183" t="s">
        <v>0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4" t="s">
        <v>579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9"/>
      <c r="BJ151" s="199"/>
      <c r="BK151" s="199"/>
      <c r="BL151" s="199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4" t="s">
        <v>89</v>
      </c>
      <c r="EM151" s="185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478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528</v>
      </c>
      <c r="EL152" s="173">
        <f>EB160</f>
        <v>48.707873030693563</v>
      </c>
      <c r="EM152" s="174">
        <f>EM160</f>
        <v>4161190.674154886</v>
      </c>
    </row>
    <row r="153" spans="2:169" ht="19.25" customHeight="1" x14ac:dyDescent="0.25">
      <c r="B153" s="342" t="s">
        <v>491</v>
      </c>
      <c r="C153" s="342"/>
      <c r="D153" s="342"/>
      <c r="E153" s="342"/>
      <c r="F153" s="342"/>
      <c r="G153" s="342"/>
      <c r="H153" s="342"/>
      <c r="J153" s="4"/>
      <c r="K153" s="3" t="s">
        <v>566</v>
      </c>
      <c r="L153" s="1" t="s">
        <v>560</v>
      </c>
      <c r="M153" s="1" t="s">
        <v>563</v>
      </c>
      <c r="N153" s="1" t="s">
        <v>85</v>
      </c>
      <c r="O153" s="1" t="s">
        <v>667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562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43"/>
      <c r="C154" s="343"/>
      <c r="D154" s="343"/>
      <c r="E154" s="343"/>
      <c r="F154" s="343"/>
      <c r="G154" s="343"/>
      <c r="H154" s="343"/>
      <c r="J154" s="4" t="s">
        <v>41</v>
      </c>
      <c r="K154" s="3" t="s">
        <v>565</v>
      </c>
      <c r="L154" s="1" t="s">
        <v>88</v>
      </c>
      <c r="M154" s="1" t="s">
        <v>90</v>
      </c>
      <c r="N154" s="1" t="s">
        <v>86</v>
      </c>
      <c r="O154" s="1" t="s">
        <v>652</v>
      </c>
      <c r="P154" s="1" t="s">
        <v>652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42" t="s">
        <v>477</v>
      </c>
      <c r="BL154" s="342"/>
      <c r="BM154" s="342"/>
      <c r="BN154" s="342"/>
      <c r="BP154" s="4"/>
      <c r="BQ154" s="3" t="s">
        <v>566</v>
      </c>
      <c r="BR154" s="1" t="s">
        <v>560</v>
      </c>
      <c r="BS154" s="3" t="s">
        <v>5</v>
      </c>
      <c r="BT154" s="3" t="s">
        <v>363</v>
      </c>
      <c r="BU154" s="1" t="s">
        <v>667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560</v>
      </c>
      <c r="EC154" s="1" t="s">
        <v>561</v>
      </c>
      <c r="ED154" s="1" t="s">
        <v>563</v>
      </c>
      <c r="EE154" s="1" t="s">
        <v>85</v>
      </c>
      <c r="EF154" s="1" t="s">
        <v>667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562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322</v>
      </c>
      <c r="H155" s="114" t="s">
        <v>316</v>
      </c>
      <c r="I155" s="282" t="s">
        <v>579</v>
      </c>
      <c r="J155" s="62" t="s">
        <v>492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-2189.4247196818515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42"/>
      <c r="BL155" s="342"/>
      <c r="BM155" s="342"/>
      <c r="BN155" s="342"/>
      <c r="BP155" s="4"/>
      <c r="BQ155" s="3" t="s">
        <v>565</v>
      </c>
      <c r="BR155" s="1" t="s">
        <v>88</v>
      </c>
      <c r="BS155" s="1" t="s">
        <v>90</v>
      </c>
      <c r="BT155" s="2" t="s">
        <v>86</v>
      </c>
      <c r="BU155" s="1" t="s">
        <v>652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564</v>
      </c>
      <c r="ED155" s="1" t="s">
        <v>84</v>
      </c>
      <c r="EE155" s="3" t="s">
        <v>42</v>
      </c>
      <c r="EF155" s="1" t="s">
        <v>652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328</v>
      </c>
      <c r="E156" s="114" t="s">
        <v>329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-2189.4247196818515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321</v>
      </c>
      <c r="BN156" s="4"/>
      <c r="BO156" s="256" t="s">
        <v>478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1.604276E-2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77" t="s">
        <v>528</v>
      </c>
      <c r="EA156" s="17" t="s">
        <v>66</v>
      </c>
      <c r="EB156" s="17">
        <f>H2_to_BF</f>
        <v>27.342940664747548</v>
      </c>
      <c r="EC156" s="17">
        <f>EB156/$EB$160</f>
        <v>0.56136593456908346</v>
      </c>
      <c r="ED156" s="17">
        <f>MW_H*2</f>
        <v>2.0158800000000003E-3</v>
      </c>
      <c r="EE156" s="17">
        <f>EB156/ED156</f>
        <v>13563.773967075194</v>
      </c>
      <c r="EF156" s="17">
        <f>h_H2</f>
        <v>0</v>
      </c>
      <c r="EG156" s="17">
        <f>b_ch_H2</f>
        <v>236.1</v>
      </c>
      <c r="EH156" s="17">
        <f>EE156/$EE$160</f>
        <v>0.91544766952145862</v>
      </c>
      <c r="EI156" s="17">
        <f>LN(EH156)</f>
        <v>-8.8342077045854228E-2</v>
      </c>
      <c r="EJ156" s="17">
        <f>RT0*EI156</f>
        <v>-0.20062212720095421</v>
      </c>
      <c r="EK156" s="17">
        <f>EG156+EJ156</f>
        <v>235.89937787279905</v>
      </c>
      <c r="EL156" s="17">
        <f>EK156*EH156</f>
        <v>215.95353571521582</v>
      </c>
      <c r="EM156" s="17">
        <f>EL156*$EE$160</f>
        <v>3199685.8404403059</v>
      </c>
    </row>
    <row r="157" spans="2:169" ht="18" customHeight="1" x14ac:dyDescent="0.25">
      <c r="B157" s="15" t="s">
        <v>489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668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405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1.604276E-2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77"/>
      <c r="EA157" s="3" t="s">
        <v>65</v>
      </c>
      <c r="EB157" s="3">
        <f>CH4_to_BF</f>
        <v>18.691700922521807</v>
      </c>
      <c r="EC157" s="3">
        <f t="shared" ref="EC157:EC159" si="67">EB157/$EB$160</f>
        <v>0.38375112193347299</v>
      </c>
      <c r="ED157" s="3">
        <f>MW_CH4</f>
        <v>1.604276E-2</v>
      </c>
      <c r="EE157" s="3">
        <f>EB157/ED157</f>
        <v>1165.1175310558663</v>
      </c>
      <c r="EF157" s="3">
        <f>h_CH4</f>
        <v>1.604276E-2</v>
      </c>
      <c r="EG157" s="3">
        <f>b_ch_CH4</f>
        <v>831.8</v>
      </c>
      <c r="EH157" s="3">
        <f>EE157/$EE$160</f>
        <v>7.8636235837663701E-2</v>
      </c>
      <c r="EI157" s="3">
        <f t="shared" ref="EI157:EI159" si="68">LN(EH157)</f>
        <v>-2.5429226700357286</v>
      </c>
      <c r="EJ157" s="3">
        <f>RT0*EI157</f>
        <v>-5.7748988073406355</v>
      </c>
      <c r="EK157" s="3">
        <f t="shared" ref="EK157:EK159" si="69">EG157+EJ157</f>
        <v>826.02510119265935</v>
      </c>
      <c r="EL157" s="3">
        <f t="shared" ref="EL157:EL159" si="70">EK157*EH157</f>
        <v>64.955504665215983</v>
      </c>
      <c r="EM157" s="3">
        <f>EL157*$EE$160</f>
        <v>962416.32649176323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668</v>
      </c>
      <c r="BV158" s="4"/>
      <c r="BW158" s="4"/>
      <c r="CA158" s="3" t="s">
        <v>96</v>
      </c>
      <c r="CB158" s="1" t="s">
        <v>93</v>
      </c>
      <c r="DZ158" s="377"/>
      <c r="EA158" s="239" t="s">
        <v>24</v>
      </c>
      <c r="EB158" s="3">
        <f>O2_to_BF_from_coke</f>
        <v>1.7477818558410245</v>
      </c>
      <c r="EC158" s="3">
        <f t="shared" si="67"/>
        <v>3.5882943497443406E-2</v>
      </c>
      <c r="ED158" s="3">
        <f>MW_O2</f>
        <v>3.1998800000000001E-2</v>
      </c>
      <c r="EE158" s="3">
        <f>EB158/ED158</f>
        <v>54.620231253704027</v>
      </c>
      <c r="EF158" s="3">
        <f>h_O2</f>
        <v>0</v>
      </c>
      <c r="EG158" s="3">
        <f>b_ch_O2</f>
        <v>4</v>
      </c>
      <c r="EH158" s="3">
        <f>EE158/$EE$160</f>
        <v>3.6864344341996282E-3</v>
      </c>
      <c r="EI158" s="3">
        <f t="shared" si="68"/>
        <v>-5.6030955660719171</v>
      </c>
      <c r="EJ158" s="3">
        <f>RT0*EI158</f>
        <v>-12.724456894896331</v>
      </c>
      <c r="EK158" s="3">
        <f t="shared" si="69"/>
        <v>-8.7244568948963312</v>
      </c>
      <c r="EL158" s="3">
        <f t="shared" si="70"/>
        <v>-3.2162138317036203E-2</v>
      </c>
      <c r="EM158" s="3">
        <f>EL158*$EE$160</f>
        <v>-476.53185316221021</v>
      </c>
    </row>
    <row r="159" spans="2:169" ht="18" x14ac:dyDescent="0.25">
      <c r="D159" s="16" t="s">
        <v>279</v>
      </c>
      <c r="E159" s="97" t="s">
        <v>280</v>
      </c>
      <c r="F159" s="4" t="s">
        <v>281</v>
      </c>
      <c r="I159" s="222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77"/>
      <c r="EA159" s="7" t="s">
        <v>67</v>
      </c>
      <c r="EB159" s="3">
        <f>N2_to_BF_from_coke</f>
        <v>0.92544958758317764</v>
      </c>
      <c r="EC159" s="3">
        <f t="shared" si="67"/>
        <v>1.9E-2</v>
      </c>
      <c r="ED159" s="3">
        <f>MW_N2</f>
        <v>2.801348E-2</v>
      </c>
      <c r="EE159" s="3">
        <f>EB159/ED159</f>
        <v>33.03586657506235</v>
      </c>
      <c r="EF159" s="3">
        <f>h_N2</f>
        <v>0</v>
      </c>
      <c r="EG159" s="3">
        <f>b_ch_N2</f>
        <v>0.7</v>
      </c>
      <c r="EH159" s="3">
        <f>EE159/$EE$160</f>
        <v>2.229660206678009E-3</v>
      </c>
      <c r="EI159" s="3">
        <f t="shared" si="68"/>
        <v>-6.1059060788071511</v>
      </c>
      <c r="EJ159" s="3">
        <f>RT0*EI159</f>
        <v>-13.866324032473203</v>
      </c>
      <c r="EK159" s="3">
        <f t="shared" si="69"/>
        <v>-13.166324032473204</v>
      </c>
      <c r="EL159" s="3">
        <f t="shared" si="70"/>
        <v>-2.9356428763433841E-2</v>
      </c>
      <c r="EM159" s="3">
        <f>EL159*$EE$160</f>
        <v>-434.96092402082161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6"/>
      <c r="EA160" s="17" t="s">
        <v>19</v>
      </c>
      <c r="EB160" s="17">
        <f>0.7*DF241</f>
        <v>48.707873030693563</v>
      </c>
      <c r="EC160" s="17"/>
      <c r="ED160" s="17"/>
      <c r="EE160" s="17">
        <f>SUM(EE156:EE159)</f>
        <v>14816.547595959828</v>
      </c>
      <c r="EF160" s="17">
        <f>SUM(EF156:EF159)</f>
        <v>1.604276E-2</v>
      </c>
      <c r="EG160" s="17">
        <f>SUM(EG156:EG159)</f>
        <v>1072.5999999999999</v>
      </c>
      <c r="EH160" s="17">
        <f>SUM(EH156:EH159)</f>
        <v>0.99999999999999989</v>
      </c>
      <c r="EI160" s="17"/>
      <c r="EJ160" s="17"/>
      <c r="EK160" s="17"/>
      <c r="EL160" s="17">
        <f>SUM(EL156:EL159)</f>
        <v>280.84752181335131</v>
      </c>
      <c r="EM160" s="17">
        <f>SUM(EM156:EM159)</f>
        <v>4161190.674154886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6"/>
      <c r="EB161" s="1" t="s">
        <v>89</v>
      </c>
      <c r="EC161" s="1"/>
      <c r="ED161" s="3" t="s">
        <v>91</v>
      </c>
      <c r="EE161" s="3" t="s">
        <v>87</v>
      </c>
      <c r="EF161" s="1" t="s">
        <v>668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6"/>
    </row>
    <row r="163" spans="1:143" ht="17" thickBot="1" x14ac:dyDescent="0.25">
      <c r="Q163" s="3" t="s">
        <v>529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6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6"/>
      <c r="EK164" s="167"/>
    </row>
    <row r="165" spans="1:143" ht="18" x14ac:dyDescent="0.25">
      <c r="E165" s="342" t="s">
        <v>523</v>
      </c>
      <c r="F165" s="342"/>
      <c r="G165" s="342"/>
      <c r="H165" s="342"/>
      <c r="J165" s="4"/>
      <c r="K165" s="1" t="s">
        <v>560</v>
      </c>
      <c r="L165" s="1" t="s">
        <v>561</v>
      </c>
      <c r="M165" s="1" t="s">
        <v>563</v>
      </c>
      <c r="N165" s="1" t="s">
        <v>85</v>
      </c>
      <c r="O165" s="1" t="s">
        <v>667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562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6"/>
      <c r="EB165" s="178"/>
    </row>
    <row r="166" spans="1:143" ht="18" x14ac:dyDescent="0.25">
      <c r="E166" s="342"/>
      <c r="F166" s="342"/>
      <c r="G166" s="342"/>
      <c r="H166" s="342"/>
      <c r="J166" s="4" t="s">
        <v>41</v>
      </c>
      <c r="K166" s="1" t="s">
        <v>88</v>
      </c>
      <c r="L166" s="4" t="s">
        <v>283</v>
      </c>
      <c r="M166" s="2" t="s">
        <v>90</v>
      </c>
      <c r="N166" s="2" t="s">
        <v>86</v>
      </c>
      <c r="O166" s="1" t="s">
        <v>652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6"/>
    </row>
    <row r="167" spans="1:143" ht="18" x14ac:dyDescent="0.25">
      <c r="I167" s="348" t="s">
        <v>529</v>
      </c>
      <c r="J167" s="8" t="s">
        <v>303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6"/>
    </row>
    <row r="168" spans="1:143" ht="18" x14ac:dyDescent="0.25">
      <c r="I168" s="348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6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3">
        <f>SUM(O167:O168)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6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668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6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6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6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6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6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6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6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6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54" t="s">
        <v>438</v>
      </c>
      <c r="X182" s="354"/>
      <c r="Y182" s="354"/>
      <c r="Z182" s="354"/>
      <c r="AA182" s="354"/>
      <c r="AB182" s="354"/>
      <c r="AC182" s="35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322</v>
      </c>
      <c r="AC183" s="13" t="s">
        <v>316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8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1">Y185*Btu_to_kJ</f>
        <v>139267.92000000001</v>
      </c>
      <c r="AA185" s="13">
        <f t="shared" ref="AA185:AA194" si="72">Z185*($K$217/1000)</f>
        <v>39953.745649167096</v>
      </c>
      <c r="AB185" s="3">
        <v>1</v>
      </c>
      <c r="AC185" s="13">
        <f>AA185*AB185</f>
        <v>39953.745649167096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1"/>
        <v>61826.516000000003</v>
      </c>
      <c r="AA186" s="13">
        <f t="shared" si="72"/>
        <v>17737.041629099938</v>
      </c>
      <c r="AB186" s="13">
        <v>1</v>
      </c>
      <c r="AC186" s="13">
        <f t="shared" ref="AC186:AC194" si="73">AA186*AB186</f>
        <v>17737.041629099938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1"/>
        <v>4346.8472000000002</v>
      </c>
      <c r="AA187" s="13">
        <f t="shared" si="72"/>
        <v>1247.041152080064</v>
      </c>
      <c r="AB187" s="13">
        <v>1</v>
      </c>
      <c r="AC187" s="13">
        <f t="shared" si="73"/>
        <v>1247.041152080064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54" t="s">
        <v>439</v>
      </c>
      <c r="AP187" s="354"/>
      <c r="AQ187" s="354"/>
      <c r="AR187" s="354"/>
      <c r="AS187" s="354"/>
      <c r="AT187" s="354"/>
      <c r="AU187" s="35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54" t="s">
        <v>440</v>
      </c>
      <c r="BH187" s="354"/>
      <c r="BI187" s="354"/>
      <c r="BJ187" s="354"/>
      <c r="BK187" s="354"/>
      <c r="BL187" s="354"/>
      <c r="BM187" s="354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1"/>
        <v>36610.582000000002</v>
      </c>
      <c r="AA188" s="13">
        <f t="shared" si="72"/>
        <v>10502.99222747044</v>
      </c>
      <c r="AB188" s="13">
        <v>1</v>
      </c>
      <c r="AC188" s="13">
        <f t="shared" si="73"/>
        <v>10502.99222747044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322</v>
      </c>
      <c r="AU188" s="13" t="s">
        <v>316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322</v>
      </c>
      <c r="BM188" s="13" t="s">
        <v>316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3" t="s">
        <v>364</v>
      </c>
      <c r="Q189" s="373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1"/>
        <v>18463.550000000003</v>
      </c>
      <c r="AA189" s="13">
        <f t="shared" si="72"/>
        <v>5296.8980974274564</v>
      </c>
      <c r="AB189" s="13">
        <v>1</v>
      </c>
      <c r="AC189" s="13">
        <f t="shared" si="73"/>
        <v>5296.8980974274564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4"/>
      <c r="Q190" s="374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1"/>
        <v>4948.2314000000006</v>
      </c>
      <c r="AA190" s="13">
        <f t="shared" si="72"/>
        <v>1419.5686901105582</v>
      </c>
      <c r="AB190" s="13">
        <v>1</v>
      </c>
      <c r="AC190" s="13">
        <f t="shared" si="73"/>
        <v>1419.5686901105582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302</v>
      </c>
      <c r="AQ190" s="13">
        <v>700</v>
      </c>
      <c r="AR190" s="13">
        <v>798</v>
      </c>
      <c r="AS190" s="61">
        <f>AR190*AQ190*(AE217/1000)</f>
        <v>160253.43323591491</v>
      </c>
      <c r="AT190" s="13">
        <v>1</v>
      </c>
      <c r="AU190" s="13">
        <f>AS190*AT190</f>
        <v>160253.43323591491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28209.76586744222</v>
      </c>
      <c r="BL190" s="13">
        <v>1</v>
      </c>
      <c r="BM190" s="13">
        <f>BK190*BL190</f>
        <v>28209.76586744222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2" t="s">
        <v>344</v>
      </c>
      <c r="Q191" s="102" t="s">
        <v>317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1"/>
        <v>1856.9056000000003</v>
      </c>
      <c r="AA191" s="13">
        <f t="shared" si="72"/>
        <v>532.71660865556134</v>
      </c>
      <c r="AB191" s="13">
        <v>1</v>
      </c>
      <c r="AC191" s="13">
        <f t="shared" si="73"/>
        <v>532.71660865556134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177.0677363997178</v>
      </c>
      <c r="BL191" s="13">
        <v>1</v>
      </c>
      <c r="BM191" s="13">
        <f t="shared" ref="BM191:BM194" si="74">BK191*BL191</f>
        <v>177.0677363997178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3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1"/>
        <v>2489.9416000000001</v>
      </c>
      <c r="AA192" s="13">
        <f t="shared" si="72"/>
        <v>714.32454342450262</v>
      </c>
      <c r="AB192" s="13">
        <v>1</v>
      </c>
      <c r="AC192" s="13">
        <f t="shared" si="73"/>
        <v>714.32454342450262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108.66208097008324</v>
      </c>
      <c r="BL192" s="13">
        <v>1</v>
      </c>
      <c r="BM192" s="13">
        <f t="shared" si="74"/>
        <v>108.66208097008324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341</v>
      </c>
      <c r="Q193" s="103">
        <f>((N210*(U210-0)/AC195))</f>
        <v>111.42326190935763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1"/>
        <v>150.87358</v>
      </c>
      <c r="AA193" s="13">
        <f t="shared" si="72"/>
        <v>43.283224453264353</v>
      </c>
      <c r="AB193" s="13">
        <v>1</v>
      </c>
      <c r="AC193" s="13">
        <f t="shared" si="73"/>
        <v>43.283224453264353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72.037814125013398</v>
      </c>
      <c r="BL193" s="13">
        <v>1</v>
      </c>
      <c r="BM193" s="13">
        <f t="shared" si="74"/>
        <v>72.037814125013398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639</v>
      </c>
      <c r="Q194" s="103">
        <f>V206/AC195</f>
        <v>113.02497570495387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1"/>
        <v>6.3303600000000007</v>
      </c>
      <c r="AA194" s="13">
        <f t="shared" si="72"/>
        <v>1.8160793476894135</v>
      </c>
      <c r="AB194" s="13">
        <v>1</v>
      </c>
      <c r="AC194" s="13">
        <f t="shared" si="73"/>
        <v>1.8160793476894135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36.62426684506984</v>
      </c>
      <c r="BL194" s="13">
        <v>1</v>
      </c>
      <c r="BM194" s="13">
        <f t="shared" si="74"/>
        <v>36.62426684506984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343</v>
      </c>
      <c r="Q195" s="99">
        <f>V210/AC195</f>
        <v>112.98778938876482</v>
      </c>
      <c r="T195" s="4"/>
      <c r="U195" s="4"/>
      <c r="V195" s="4"/>
      <c r="W195" s="368" t="s">
        <v>507</v>
      </c>
      <c r="X195" s="369"/>
      <c r="Y195" s="264"/>
      <c r="Z195" s="264"/>
      <c r="AA195" s="264">
        <f>SUM(AA185:AA186,AA187:AA188,AA189:AA190,AA191:AA192,AA193:AA194)</f>
        <v>77449.427901236573</v>
      </c>
      <c r="AB195" s="263">
        <v>1</v>
      </c>
      <c r="AC195" s="265">
        <f>AA195*AB195</f>
        <v>77449.427901236573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28604.157765782104</v>
      </c>
      <c r="BL195" s="13"/>
      <c r="BM195" s="13">
        <f>SUM(BM190:BM194)</f>
        <v>28604.157765782104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71"/>
      <c r="X196" s="171"/>
      <c r="Y196" s="171"/>
      <c r="Z196" s="171"/>
      <c r="AA196" s="171"/>
      <c r="AB196" s="171"/>
      <c r="AC196" s="171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71"/>
      <c r="X197" s="171"/>
      <c r="Y197" s="171"/>
      <c r="Z197" s="171"/>
      <c r="AA197" s="171"/>
      <c r="AB197" s="171"/>
      <c r="AC197" s="171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71"/>
      <c r="X198" s="171"/>
      <c r="Y198" s="171"/>
      <c r="Z198" s="171"/>
      <c r="AA198" s="171"/>
      <c r="AB198" s="171"/>
      <c r="AC198" s="171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71"/>
      <c r="X199" s="171"/>
      <c r="Y199" s="171"/>
      <c r="Z199" s="171"/>
      <c r="AA199" s="171"/>
      <c r="AB199" s="171"/>
      <c r="AC199" s="171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526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544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72" t="s">
        <v>427</v>
      </c>
      <c r="Q206" s="372"/>
      <c r="R206" s="372"/>
      <c r="S206" s="4"/>
      <c r="T206" s="4"/>
      <c r="U206" s="50">
        <f>K217</f>
        <v>286.88405520213911</v>
      </c>
      <c r="V206" s="48">
        <f>V217</f>
        <v>8753719.7068998404</v>
      </c>
      <c r="W206" s="344" t="s">
        <v>418</v>
      </c>
      <c r="X206" s="344"/>
      <c r="Y206" s="344"/>
      <c r="Z206" s="344"/>
      <c r="AA206" s="344"/>
      <c r="AB206" s="34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AE217</f>
        <v>286.88405520213911</v>
      </c>
      <c r="AP206" s="48">
        <f>AP217</f>
        <v>8753719.7068998404</v>
      </c>
      <c r="AQ206" s="344" t="s">
        <v>545</v>
      </c>
      <c r="AR206" s="344"/>
      <c r="AS206" s="344"/>
      <c r="AT206" s="344"/>
      <c r="AU206" s="344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AX217</f>
        <v>286.88405520213911</v>
      </c>
      <c r="BI206" s="48">
        <f>BI217</f>
        <v>8753719.7068998404</v>
      </c>
      <c r="BJ206" s="344" t="s">
        <v>459</v>
      </c>
      <c r="BK206" s="344"/>
      <c r="BL206" s="344"/>
      <c r="BM206" s="344"/>
      <c r="BN206" s="344"/>
      <c r="BO206" s="4"/>
      <c r="BP206" s="4"/>
      <c r="BQ206" s="4"/>
      <c r="BR206" s="4"/>
      <c r="BS206" s="4"/>
      <c r="BT206" s="4"/>
      <c r="BU206" s="4"/>
      <c r="BV206" s="4"/>
      <c r="BW206" s="4" t="s">
        <v>527</v>
      </c>
      <c r="BX206" s="4"/>
      <c r="BY206" s="4"/>
      <c r="BZ206" s="4"/>
      <c r="CA206" s="50">
        <f>BQ217</f>
        <v>286.88405520213911</v>
      </c>
      <c r="CB206" s="48">
        <f>CB217</f>
        <v>8753719.7068998404</v>
      </c>
      <c r="CD206" s="344" t="s">
        <v>437</v>
      </c>
      <c r="CE206" s="344"/>
      <c r="CF206" s="344"/>
      <c r="CG206" s="344"/>
      <c r="CH206" s="344"/>
      <c r="CI206" s="305"/>
      <c r="CR206" s="3" t="s">
        <v>634</v>
      </c>
      <c r="CU206" s="4"/>
      <c r="CV206" s="50">
        <f>CL211</f>
        <v>198.80764502323905</v>
      </c>
      <c r="CW206" s="48">
        <f>CW211</f>
        <v>6791339.3350291392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44"/>
      <c r="X207" s="344"/>
      <c r="Y207" s="344"/>
      <c r="Z207" s="344"/>
      <c r="AA207" s="344"/>
      <c r="AB207" s="34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44"/>
      <c r="AR207" s="344"/>
      <c r="AS207" s="344"/>
      <c r="AT207" s="344"/>
      <c r="AU207" s="34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44"/>
      <c r="BK207" s="344"/>
      <c r="BL207" s="344"/>
      <c r="BM207" s="344"/>
      <c r="BN207" s="34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66"/>
      <c r="CE207" s="366"/>
      <c r="CF207" s="366"/>
      <c r="CG207" s="366"/>
      <c r="CH207" s="366"/>
      <c r="CI207" s="305"/>
      <c r="CU207" s="4"/>
      <c r="CV207" s="4"/>
    </row>
    <row r="208" spans="5:101" ht="19.25" customHeight="1" x14ac:dyDescent="0.25">
      <c r="E208" s="342" t="s">
        <v>449</v>
      </c>
      <c r="F208" s="342"/>
      <c r="G208" s="342"/>
      <c r="H208" s="342"/>
      <c r="J208" s="4"/>
      <c r="K208" s="1" t="s">
        <v>560</v>
      </c>
      <c r="L208" s="1" t="s">
        <v>561</v>
      </c>
      <c r="M208" s="1" t="s">
        <v>563</v>
      </c>
      <c r="N208" s="1" t="s">
        <v>85</v>
      </c>
      <c r="O208" s="1" t="s">
        <v>667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562</v>
      </c>
      <c r="V208" s="1" t="s">
        <v>50</v>
      </c>
      <c r="W208" s="4"/>
      <c r="X208" s="22" t="s">
        <v>432</v>
      </c>
      <c r="Y208" s="22" t="s">
        <v>480</v>
      </c>
      <c r="Z208" s="257" t="s">
        <v>337</v>
      </c>
      <c r="AA208" s="352" t="s">
        <v>344</v>
      </c>
      <c r="AB208" s="102" t="s">
        <v>317</v>
      </c>
      <c r="AC208" s="1"/>
      <c r="AD208" s="4"/>
      <c r="AE208" s="1" t="s">
        <v>560</v>
      </c>
      <c r="AF208" s="1" t="s">
        <v>561</v>
      </c>
      <c r="AG208" s="1" t="s">
        <v>563</v>
      </c>
      <c r="AH208" s="1" t="s">
        <v>85</v>
      </c>
      <c r="AI208" s="1" t="s">
        <v>667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562</v>
      </c>
      <c r="AP208" s="1" t="s">
        <v>50</v>
      </c>
      <c r="AQ208" s="22" t="s">
        <v>432</v>
      </c>
      <c r="AR208" s="22" t="s">
        <v>480</v>
      </c>
      <c r="AS208" s="161" t="s">
        <v>337</v>
      </c>
      <c r="AT208" s="352" t="s">
        <v>344</v>
      </c>
      <c r="AU208" s="138" t="s">
        <v>317</v>
      </c>
      <c r="AV208" s="1"/>
      <c r="AW208" s="4"/>
      <c r="AX208" s="1" t="s">
        <v>560</v>
      </c>
      <c r="AY208" s="1" t="s">
        <v>561</v>
      </c>
      <c r="AZ208" s="1" t="s">
        <v>563</v>
      </c>
      <c r="BA208" s="1" t="s">
        <v>85</v>
      </c>
      <c r="BB208" s="1" t="s">
        <v>667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562</v>
      </c>
      <c r="BI208" s="1" t="s">
        <v>50</v>
      </c>
      <c r="BJ208" s="22" t="s">
        <v>432</v>
      </c>
      <c r="BK208" s="22" t="s">
        <v>480</v>
      </c>
      <c r="BL208" s="161" t="s">
        <v>337</v>
      </c>
      <c r="BM208" s="352" t="s">
        <v>344</v>
      </c>
      <c r="BN208" s="138" t="s">
        <v>317</v>
      </c>
      <c r="BO208" s="1"/>
      <c r="BP208" s="4"/>
      <c r="BQ208" s="1" t="s">
        <v>560</v>
      </c>
      <c r="BR208" s="1" t="s">
        <v>561</v>
      </c>
      <c r="BS208" s="1" t="s">
        <v>563</v>
      </c>
      <c r="BT208" s="1" t="s">
        <v>85</v>
      </c>
      <c r="BU208" s="1" t="s">
        <v>667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562</v>
      </c>
      <c r="CB208" s="1" t="s">
        <v>50</v>
      </c>
      <c r="CD208" s="22" t="s">
        <v>432</v>
      </c>
      <c r="CE208" s="22" t="s">
        <v>480</v>
      </c>
      <c r="CF208" s="192" t="s">
        <v>337</v>
      </c>
      <c r="CG208" s="352" t="s">
        <v>344</v>
      </c>
      <c r="CH208" s="138" t="s">
        <v>317</v>
      </c>
      <c r="CI208" s="1"/>
      <c r="CJ208" s="1"/>
      <c r="CK208" s="4"/>
      <c r="CL208" s="1" t="s">
        <v>560</v>
      </c>
      <c r="CM208" s="1" t="s">
        <v>561</v>
      </c>
      <c r="CN208" s="1" t="s">
        <v>563</v>
      </c>
      <c r="CO208" s="1" t="s">
        <v>85</v>
      </c>
      <c r="CP208" s="1" t="s">
        <v>667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562</v>
      </c>
      <c r="CW208" s="1" t="s">
        <v>50</v>
      </c>
    </row>
    <row r="209" spans="2:101" ht="18" x14ac:dyDescent="0.25">
      <c r="E209" s="342"/>
      <c r="F209" s="342"/>
      <c r="G209" s="342"/>
      <c r="H209" s="342"/>
      <c r="J209" s="4" t="s">
        <v>41</v>
      </c>
      <c r="K209" s="1" t="s">
        <v>88</v>
      </c>
      <c r="L209" s="4" t="s">
        <v>283</v>
      </c>
      <c r="M209" s="2" t="s">
        <v>90</v>
      </c>
      <c r="N209" s="2" t="s">
        <v>86</v>
      </c>
      <c r="O209" s="1" t="s">
        <v>652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3" t="s">
        <v>48</v>
      </c>
      <c r="Y209" s="9" t="s">
        <v>48</v>
      </c>
      <c r="Z209" s="64" t="s">
        <v>89</v>
      </c>
      <c r="AA209" s="353"/>
      <c r="AB209" s="136" t="s">
        <v>82</v>
      </c>
      <c r="AC209" s="4"/>
      <c r="AD209" s="4" t="s">
        <v>41</v>
      </c>
      <c r="AE209" s="1" t="s">
        <v>88</v>
      </c>
      <c r="AF209" s="4" t="s">
        <v>283</v>
      </c>
      <c r="AG209" s="2" t="s">
        <v>90</v>
      </c>
      <c r="AH209" s="2" t="s">
        <v>86</v>
      </c>
      <c r="AI209" s="1" t="s">
        <v>652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3" t="s">
        <v>48</v>
      </c>
      <c r="AR209" s="9" t="s">
        <v>48</v>
      </c>
      <c r="AS209" s="1" t="s">
        <v>89</v>
      </c>
      <c r="AT209" s="353"/>
      <c r="AU209" s="136" t="s">
        <v>82</v>
      </c>
      <c r="AV209" s="4"/>
      <c r="AW209" s="4" t="s">
        <v>41</v>
      </c>
      <c r="AX209" s="1" t="s">
        <v>88</v>
      </c>
      <c r="AY209" s="4" t="s">
        <v>283</v>
      </c>
      <c r="AZ209" s="2" t="s">
        <v>90</v>
      </c>
      <c r="BA209" s="2" t="s">
        <v>86</v>
      </c>
      <c r="BB209" s="1" t="s">
        <v>652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3" t="s">
        <v>48</v>
      </c>
      <c r="BK209" s="9" t="s">
        <v>48</v>
      </c>
      <c r="BL209" s="1" t="s">
        <v>89</v>
      </c>
      <c r="BM209" s="353"/>
      <c r="BN209" s="136" t="s">
        <v>82</v>
      </c>
      <c r="BO209" s="4"/>
      <c r="BP209" s="4" t="s">
        <v>41</v>
      </c>
      <c r="BQ209" s="1" t="s">
        <v>88</v>
      </c>
      <c r="BR209" s="4" t="s">
        <v>283</v>
      </c>
      <c r="BS209" s="2" t="s">
        <v>90</v>
      </c>
      <c r="BT209" s="2" t="s">
        <v>86</v>
      </c>
      <c r="BU209" s="1" t="s">
        <v>652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3" t="s">
        <v>48</v>
      </c>
      <c r="CE209" s="9" t="s">
        <v>48</v>
      </c>
      <c r="CF209" s="9" t="s">
        <v>89</v>
      </c>
      <c r="CG209" s="367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283</v>
      </c>
      <c r="CN209" s="2" t="s">
        <v>90</v>
      </c>
      <c r="CO209" s="2" t="s">
        <v>86</v>
      </c>
      <c r="CP209" s="1" t="s">
        <v>652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11" t="s">
        <v>427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5">K210/$AX$217</f>
        <v>0.93553585817888796</v>
      </c>
      <c r="M210" s="62" t="s">
        <v>388</v>
      </c>
      <c r="N210" s="62">
        <f>mol_C_Coal</f>
        <v>18216.584581012561</v>
      </c>
      <c r="O210" s="62">
        <f>NCV_dry_anthrocite</f>
        <v>30080</v>
      </c>
      <c r="P210" s="62">
        <f>AJ210</f>
        <v>480.40929118575997</v>
      </c>
      <c r="Q210" s="62">
        <f t="shared" ref="Q210:Q216" si="76">N210/$BA$217</f>
        <v>0.98615312780371323</v>
      </c>
      <c r="R210" s="62">
        <f>LN(Q210)</f>
        <v>-1.3943634405450302E-2</v>
      </c>
      <c r="S210" s="62">
        <f t="shared" ref="S210:S216" si="77">RT0*R210</f>
        <v>-3.1665562876474505E-2</v>
      </c>
      <c r="T210" s="62">
        <f>S210+P210</f>
        <v>480.3776256228835</v>
      </c>
      <c r="U210" s="62">
        <f>T210*Q210</f>
        <v>473.72589803492775</v>
      </c>
      <c r="V210" s="62">
        <f t="shared" ref="V210:V216" si="78">U210*$BA$217</f>
        <v>8750839.6479852442</v>
      </c>
      <c r="W210" s="4"/>
      <c r="X210" s="104">
        <f>AP227</f>
        <v>575.29559740969785</v>
      </c>
      <c r="Y210" s="99">
        <f>SUM(AC195,V206,V222,V236) - SUM(AP206,AP227)</f>
        <v>99323.641298372298</v>
      </c>
      <c r="Z210" s="258">
        <f>AO206-U206</f>
        <v>0</v>
      </c>
      <c r="AA210" s="139" t="s">
        <v>341</v>
      </c>
      <c r="AB210" s="103">
        <f>(($AH$210*($AO$210-U210))/AC195)</f>
        <v>0</v>
      </c>
      <c r="AC210" s="211" t="s">
        <v>540</v>
      </c>
      <c r="AD210" s="62" t="str">
        <f>_xlfn.CONCAT("C"," ",mol_C_Coal_in," ","H"," ",mol_H_Coal," ","O",mol_O_Coal," ","N"," ",mol_N_Coal)</f>
        <v>C 1 H 2.49286325694876 O0.00856679817712224 N 0.00518144275589652</v>
      </c>
      <c r="AE210" s="62">
        <f>COG_needed+C_for_BF</f>
        <v>268.39032078137268</v>
      </c>
      <c r="AF210" s="62">
        <f t="shared" ref="AF210:AF216" si="79">AE210/$AX$217</f>
        <v>0.93553585817888796</v>
      </c>
      <c r="AG210" s="62" t="s">
        <v>388</v>
      </c>
      <c r="AH210" s="62">
        <f>mol_C_Coal</f>
        <v>18216.584581012561</v>
      </c>
      <c r="AI210" s="62">
        <f>NCV_dry_anthrocite</f>
        <v>30080</v>
      </c>
      <c r="AJ210" s="62">
        <f>BC210</f>
        <v>480.40929118575997</v>
      </c>
      <c r="AK210" s="62">
        <f t="shared" ref="AK210:AK216" si="80">AH210/$BA$217</f>
        <v>0.98615312780371323</v>
      </c>
      <c r="AL210" s="62">
        <f>LN(AK210)</f>
        <v>-1.3943634405450302E-2</v>
      </c>
      <c r="AM210" s="62">
        <f t="shared" ref="AM210:AM216" si="81">RT0*AL210</f>
        <v>-3.1665562876474505E-2</v>
      </c>
      <c r="AN210" s="62">
        <f>AM210+AJ210</f>
        <v>480.3776256228835</v>
      </c>
      <c r="AO210" s="62">
        <f>AN210*AK210</f>
        <v>473.72589803492775</v>
      </c>
      <c r="AP210" s="62">
        <f t="shared" ref="AP210:AP216" si="82">AO210*$BA$217</f>
        <v>8750839.6479852442</v>
      </c>
      <c r="AQ210" s="104">
        <f>0</f>
        <v>0</v>
      </c>
      <c r="AR210" s="99">
        <f>AP206+AU190-BI206</f>
        <v>160253.43323591538</v>
      </c>
      <c r="AS210" s="141">
        <f>BH206-AO206</f>
        <v>0</v>
      </c>
      <c r="AT210" s="139" t="s">
        <v>341</v>
      </c>
      <c r="AU210" s="136">
        <f>((BA210*(BH210-AO210))/AU190)</f>
        <v>0</v>
      </c>
      <c r="AV210" s="211" t="s">
        <v>544</v>
      </c>
      <c r="AW210" s="200" t="str">
        <f>_xlfn.CONCAT("C"," ",mol_C_Coal_in," ","H"," ",mol_H_Coal," ","O",mol_O_Coal," ","N"," ",mol_N_Coal)</f>
        <v>C 1 H 2.49286325694876 O0.00856679817712224 N 0.00518144275589652</v>
      </c>
      <c r="AX210" s="62">
        <f>COG_needed+C_for_BF</f>
        <v>268.39032078137268</v>
      </c>
      <c r="AY210" s="62">
        <f t="shared" ref="AY210:AY216" si="83">AX210/$AX$217</f>
        <v>0.93553585817888796</v>
      </c>
      <c r="AZ210" s="62" t="s">
        <v>388</v>
      </c>
      <c r="BA210" s="62">
        <f>mol_C_Coal</f>
        <v>18216.584581012561</v>
      </c>
      <c r="BB210" s="62">
        <f>NCV_dry_anthrocite</f>
        <v>30080</v>
      </c>
      <c r="BC210" s="62">
        <f>BV210</f>
        <v>480.40929118575997</v>
      </c>
      <c r="BD210" s="62">
        <f t="shared" ref="BD210:BD216" si="84">BA210/$BA$217</f>
        <v>0.98615312780371323</v>
      </c>
      <c r="BE210" s="62">
        <f>LN(BD210)</f>
        <v>-1.3943634405450302E-2</v>
      </c>
      <c r="BF210" s="62">
        <f t="shared" ref="BF210:BF216" si="85">RT0*BE210</f>
        <v>-3.1665562876474505E-2</v>
      </c>
      <c r="BG210" s="62">
        <f>BF210+BC210</f>
        <v>480.3776256228835</v>
      </c>
      <c r="BH210" s="62">
        <f>BG210*BD210</f>
        <v>473.72589803492775</v>
      </c>
      <c r="BI210" s="62">
        <f t="shared" ref="BI210:BI216" si="86">BH210*$BA$217</f>
        <v>8750839.6479852442</v>
      </c>
      <c r="BJ210" s="104" t="str">
        <f>CF217</f>
        <v>[mol j]</v>
      </c>
      <c r="BK210" s="99">
        <f>(BM195+BI206)-CB206</f>
        <v>28604.157765781507</v>
      </c>
      <c r="BL210" s="141">
        <f>CA206-BH206</f>
        <v>0</v>
      </c>
      <c r="BM210" s="139" t="s">
        <v>341</v>
      </c>
      <c r="BN210" s="136">
        <f>((BT210*(CA210-BH210))/BM195)</f>
        <v>0</v>
      </c>
      <c r="BO210" s="211" t="s">
        <v>487</v>
      </c>
      <c r="BP210" s="200" t="str">
        <f>_xlfn.CONCAT("C"," ",mol_C_Coal_in," ","H"," ",mol_H_Coal," ","O",mol_O_Coal," ","N"," ",mol_N_Coal)</f>
        <v>C 1 H 2.49286325694876 O0.00856679817712224 N 0.00518144275589652</v>
      </c>
      <c r="BQ210" s="62">
        <f>COG_needed+C_for_BF</f>
        <v>268.39032078137268</v>
      </c>
      <c r="BR210" s="62">
        <f>BQ210/$BQ$217</f>
        <v>0.93553585817888796</v>
      </c>
      <c r="BS210" s="62" t="s">
        <v>388</v>
      </c>
      <c r="BT210" s="62">
        <f>mol_C_Coal</f>
        <v>18216.584581012561</v>
      </c>
      <c r="BU210" s="62">
        <f>NCV_dry_anthrocite</f>
        <v>30080</v>
      </c>
      <c r="BV210" s="62">
        <f>(b_ch_coal*BQ210)/BT210</f>
        <v>480.40929118575997</v>
      </c>
      <c r="BW210" s="62">
        <f t="shared" ref="BW210:BW216" si="87">BT210/$BT$217</f>
        <v>0.98615312780371323</v>
      </c>
      <c r="BX210" s="62">
        <f>LN(BW210)</f>
        <v>-1.3943634405450302E-2</v>
      </c>
      <c r="BY210" s="62">
        <f t="shared" ref="BY210:BY216" si="88">RT0*BX210</f>
        <v>-3.1665562876474505E-2</v>
      </c>
      <c r="BZ210" s="62">
        <f>BY210+BV210</f>
        <v>480.3776256228835</v>
      </c>
      <c r="CA210" s="62">
        <f>BZ210*BW210</f>
        <v>473.72589803492775</v>
      </c>
      <c r="CB210" s="62">
        <f>CA210*$BT$217</f>
        <v>8750839.6479852442</v>
      </c>
      <c r="CD210" s="104">
        <f>SUM(CB206,CB225,CB242,CB254) - SUM(CW250,CW233,CW217,CW206)</f>
        <v>-2253420.798186779</v>
      </c>
      <c r="CE210" s="99">
        <f>SUM(CB254,CB206,CB225,CB242) - SUM(CW206,CW217,CW233,CW250)</f>
        <v>-2253420.7981867772</v>
      </c>
      <c r="CF210" s="194">
        <f>ROUND(CV206+CV217+CV233+CV250-CA206-CA225-CA242-CA254, 10)</f>
        <v>0</v>
      </c>
      <c r="CG210" s="139" t="s">
        <v>341</v>
      </c>
      <c r="CH210" s="136" t="s">
        <v>98</v>
      </c>
      <c r="CI210" s="4"/>
      <c r="CJ210" s="256" t="s">
        <v>635</v>
      </c>
      <c r="CK210" s="95" t="s">
        <v>18</v>
      </c>
      <c r="CL210" s="170">
        <f>C_for_BF</f>
        <v>198.80764502323905</v>
      </c>
      <c r="CM210" s="95">
        <f>CL210/CL211</f>
        <v>1</v>
      </c>
      <c r="CN210" s="95">
        <f>MW_C</f>
        <v>1.2010999999999999E-2</v>
      </c>
      <c r="CO210" s="95">
        <f>CL210/CN210</f>
        <v>16552.130965218472</v>
      </c>
      <c r="CP210" s="95">
        <f>h_C</f>
        <v>0</v>
      </c>
      <c r="CQ210" s="95">
        <f>b_ch_C</f>
        <v>410.3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410.3</v>
      </c>
      <c r="CV210" s="96">
        <f>CU210*CR210</f>
        <v>410.3</v>
      </c>
      <c r="CW210" s="95">
        <f>CV210*CO211</f>
        <v>6791339.3350291392</v>
      </c>
    </row>
    <row r="211" spans="2:101" ht="17" x14ac:dyDescent="0.25">
      <c r="I211" s="370" t="s">
        <v>542</v>
      </c>
      <c r="J211" s="62" t="s">
        <v>307</v>
      </c>
      <c r="K211" s="62">
        <f t="shared" ref="K211:K216" si="89">AE211</f>
        <v>6.8833679514092623</v>
      </c>
      <c r="L211" s="62">
        <f t="shared" si="75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h_Al2O3</f>
        <v>-16434.670424590011</v>
      </c>
      <c r="P211" s="62">
        <f>b_ch_Al2O3</f>
        <v>31.875999999999976</v>
      </c>
      <c r="Q211" s="62">
        <f t="shared" si="76"/>
        <v>3.6546274931056905E-3</v>
      </c>
      <c r="R211" s="62">
        <f t="shared" ref="R211:R216" si="91">LN(Q211)</f>
        <v>-5.611761108045239</v>
      </c>
      <c r="S211" s="62">
        <f t="shared" si="77"/>
        <v>-12.744136072952498</v>
      </c>
      <c r="T211" s="62">
        <f t="shared" ref="T211:T216" si="92">S211+P211</f>
        <v>19.131863927047476</v>
      </c>
      <c r="U211" s="62">
        <f t="shared" ref="U211:U216" si="93">T211*Q211</f>
        <v>6.9919835902144706E-2</v>
      </c>
      <c r="V211" s="62">
        <f t="shared" si="78"/>
        <v>1291.5850172666683</v>
      </c>
      <c r="W211" s="4"/>
      <c r="X211" s="4"/>
      <c r="Y211" s="4"/>
      <c r="Z211" s="4"/>
      <c r="AA211" s="139" t="s">
        <v>639</v>
      </c>
      <c r="AB211" s="103">
        <f>(AP206+AP227)/($AC$195+V206+V222+V236)</f>
        <v>0.98878157674342848</v>
      </c>
      <c r="AC211" s="370" t="s">
        <v>541</v>
      </c>
      <c r="AD211" s="62" t="s">
        <v>307</v>
      </c>
      <c r="AE211" s="62">
        <f t="shared" ref="AE211:AE216" si="94">AX211</f>
        <v>6.8833679514092623</v>
      </c>
      <c r="AF211" s="62">
        <f t="shared" si="79"/>
        <v>2.3993553585817892E-2</v>
      </c>
      <c r="AG211" s="62">
        <f>MW_Al2O3</f>
        <v>0.10196127799999999</v>
      </c>
      <c r="AH211" s="62">
        <f t="shared" ref="AH211:AH216" si="95">AE211/AG211</f>
        <v>67.509628031626505</v>
      </c>
      <c r="AI211" s="62">
        <f>h_Al2O3</f>
        <v>-16434.670424590011</v>
      </c>
      <c r="AJ211" s="62">
        <f>b_ch_Al2O3</f>
        <v>31.875999999999976</v>
      </c>
      <c r="AK211" s="62">
        <f t="shared" si="80"/>
        <v>3.6546274931056905E-3</v>
      </c>
      <c r="AL211" s="62">
        <f t="shared" ref="AL211:AL216" si="96">LN(AK211)</f>
        <v>-5.611761108045239</v>
      </c>
      <c r="AM211" s="62">
        <f t="shared" si="81"/>
        <v>-12.744136072952498</v>
      </c>
      <c r="AN211" s="62">
        <f t="shared" ref="AN211:AN216" si="97">AM211+AJ211</f>
        <v>19.131863927047476</v>
      </c>
      <c r="AO211" s="62">
        <f t="shared" ref="AO211:AO216" si="98">AN211*AK211</f>
        <v>6.9919835902144706E-2</v>
      </c>
      <c r="AP211" s="62">
        <f t="shared" si="82"/>
        <v>1291.5850172666683</v>
      </c>
      <c r="AQ211" s="4"/>
      <c r="AR211" s="4"/>
      <c r="AT211" s="139" t="s">
        <v>639</v>
      </c>
      <c r="AU211" s="136">
        <f>BI206/(AP206+AU190)</f>
        <v>0.98202222166069097</v>
      </c>
      <c r="AV211" s="370" t="s">
        <v>539</v>
      </c>
      <c r="AW211" s="62" t="s">
        <v>307</v>
      </c>
      <c r="AX211" s="62">
        <f>CL221</f>
        <v>6.8833679514092623</v>
      </c>
      <c r="AY211" s="62">
        <f t="shared" si="83"/>
        <v>2.3993553585817892E-2</v>
      </c>
      <c r="AZ211" s="62">
        <f>MW_Al2O3</f>
        <v>0.10196127799999999</v>
      </c>
      <c r="BA211" s="62">
        <f t="shared" ref="BA211:BA216" si="99">AX211/AZ211</f>
        <v>67.509628031626505</v>
      </c>
      <c r="BB211" s="62">
        <f>h_Al2O3</f>
        <v>-16434.670424590011</v>
      </c>
      <c r="BC211" s="62">
        <f>b_ch_Al2O3</f>
        <v>31.875999999999976</v>
      </c>
      <c r="BD211" s="62">
        <f t="shared" si="84"/>
        <v>3.6546274931056905E-3</v>
      </c>
      <c r="BE211" s="62">
        <f t="shared" ref="BE211:BE216" si="100">LN(BD211)</f>
        <v>-5.611761108045239</v>
      </c>
      <c r="BF211" s="62">
        <f t="shared" si="85"/>
        <v>-12.744136072952498</v>
      </c>
      <c r="BG211" s="62">
        <f t="shared" ref="BG211:BG216" si="101">BF211+BC211</f>
        <v>19.131863927047476</v>
      </c>
      <c r="BH211" s="62">
        <f t="shared" ref="BH211:BH216" si="102">BG211*BD211</f>
        <v>6.9919835902144706E-2</v>
      </c>
      <c r="BI211" s="62">
        <f t="shared" si="86"/>
        <v>1291.5850172666683</v>
      </c>
      <c r="BJ211" s="4"/>
      <c r="BK211" s="4"/>
      <c r="BM211" s="139" t="s">
        <v>639</v>
      </c>
      <c r="BN211" s="136">
        <f>CB206/(BM195+BI206)</f>
        <v>0.9967429853184</v>
      </c>
      <c r="BO211" s="370" t="s">
        <v>538</v>
      </c>
      <c r="BP211" s="62" t="s">
        <v>307</v>
      </c>
      <c r="BQ211" s="62">
        <f t="shared" ref="BQ211:BQ216" si="103">AX211</f>
        <v>6.8833679514092623</v>
      </c>
      <c r="BR211" s="62">
        <f t="shared" ref="BR211:BR216" si="104">BQ211/$BQ$217</f>
        <v>2.3993553585817892E-2</v>
      </c>
      <c r="BS211" s="62">
        <f>MW_Al2O3</f>
        <v>0.10196127799999999</v>
      </c>
      <c r="BT211" s="62">
        <f t="shared" ref="BT211:BT216" si="105">BQ211/BS211</f>
        <v>67.509628031626505</v>
      </c>
      <c r="BU211" s="62">
        <f>h_Al2O3</f>
        <v>-16434.670424590011</v>
      </c>
      <c r="BV211" s="62">
        <f>b_ch_Al2O3</f>
        <v>31.875999999999976</v>
      </c>
      <c r="BW211" s="62">
        <f t="shared" si="87"/>
        <v>3.6546274931056905E-3</v>
      </c>
      <c r="BX211" s="62">
        <f t="shared" ref="BX211:BX216" si="106">LN(BW211)</f>
        <v>-5.611761108045239</v>
      </c>
      <c r="BY211" s="62">
        <f t="shared" si="88"/>
        <v>-12.744136072952498</v>
      </c>
      <c r="BZ211" s="62">
        <f t="shared" ref="BZ211:BZ216" si="107">BY211+BV211</f>
        <v>19.131863927047476</v>
      </c>
      <c r="CA211" s="62">
        <f t="shared" ref="CA211:CA216" si="108">BZ211*BW211</f>
        <v>6.9919835902144706E-2</v>
      </c>
      <c r="CB211" s="62">
        <f>CA211*$BT$217</f>
        <v>1291.5850172666683</v>
      </c>
      <c r="CD211" s="4"/>
      <c r="CE211" s="4"/>
      <c r="CG211" s="139" t="s">
        <v>639</v>
      </c>
      <c r="CH211" s="136">
        <f>(CW217+CW206+CW233+CW250)/(CB254+CB206+CB225+CB242)</f>
        <v>1.2140142164545837</v>
      </c>
      <c r="CI211" s="4"/>
      <c r="CJ211" s="4"/>
      <c r="CK211" s="17"/>
      <c r="CL211" s="17">
        <f>SUM(CL210)</f>
        <v>198.80764502323905</v>
      </c>
      <c r="CM211" s="17"/>
      <c r="CN211" s="17"/>
      <c r="CO211" s="17">
        <f>SUM(CO210)</f>
        <v>16552.130965218472</v>
      </c>
      <c r="CP211" s="17">
        <f>SUM(CP210)</f>
        <v>0</v>
      </c>
      <c r="CQ211" s="17"/>
      <c r="CR211" s="17"/>
      <c r="CS211" s="17"/>
      <c r="CT211" s="17"/>
      <c r="CU211" s="62"/>
      <c r="CV211" s="62"/>
      <c r="CW211" s="17">
        <f>SUM(CW210)</f>
        <v>6791339.3350291392</v>
      </c>
    </row>
    <row r="212" spans="2:101" ht="19" thickBot="1" x14ac:dyDescent="0.3">
      <c r="I212" s="370"/>
      <c r="J212" s="4" t="s">
        <v>123</v>
      </c>
      <c r="K212" s="4">
        <f t="shared" si="89"/>
        <v>1.2908626625694963</v>
      </c>
      <c r="L212" s="4">
        <f t="shared" si="75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h_CaO</f>
        <v>-11321.85158370395</v>
      </c>
      <c r="P212" s="4">
        <f>b_ch_CaO</f>
        <v>122.25799999999992</v>
      </c>
      <c r="Q212" s="4">
        <f t="shared" si="76"/>
        <v>1.2461478473889942E-3</v>
      </c>
      <c r="R212" s="4">
        <f t="shared" si="91"/>
        <v>-6.6876982080405689</v>
      </c>
      <c r="S212" s="4">
        <f t="shared" si="77"/>
        <v>-15.187555980585502</v>
      </c>
      <c r="T212" s="4">
        <f t="shared" si="92"/>
        <v>107.07044401941442</v>
      </c>
      <c r="U212" s="4">
        <f t="shared" si="93"/>
        <v>0.13342560333377709</v>
      </c>
      <c r="V212" s="4">
        <f t="shared" si="78"/>
        <v>2464.6869942151293</v>
      </c>
      <c r="W212" s="4"/>
      <c r="X212" s="4"/>
      <c r="Y212" s="4"/>
      <c r="Z212" s="4"/>
      <c r="AA212" s="140" t="s">
        <v>407</v>
      </c>
      <c r="AB212" s="99">
        <f>$AP$210/($AC$195+V206+V222+V236)</f>
        <v>0.98839130078384352</v>
      </c>
      <c r="AC212" s="370"/>
      <c r="AD212" s="4" t="s">
        <v>123</v>
      </c>
      <c r="AE212" s="4">
        <f t="shared" si="94"/>
        <v>1.2908626625694963</v>
      </c>
      <c r="AF212" s="4">
        <f t="shared" si="79"/>
        <v>4.4995970991136185E-3</v>
      </c>
      <c r="AG212" s="4">
        <f>MW_CaO</f>
        <v>5.6077400000000006E-2</v>
      </c>
      <c r="AH212" s="4">
        <f t="shared" si="95"/>
        <v>23.019303009224682</v>
      </c>
      <c r="AI212" s="4">
        <f>h_CaO</f>
        <v>-11321.85158370395</v>
      </c>
      <c r="AJ212" s="4">
        <f>b_ch_CaO</f>
        <v>122.25799999999992</v>
      </c>
      <c r="AK212" s="4">
        <f t="shared" si="80"/>
        <v>1.2461478473889942E-3</v>
      </c>
      <c r="AL212" s="4">
        <f t="shared" si="96"/>
        <v>-6.6876982080405689</v>
      </c>
      <c r="AM212" s="4">
        <f t="shared" si="81"/>
        <v>-15.187555980585502</v>
      </c>
      <c r="AN212" s="4">
        <f t="shared" si="97"/>
        <v>107.07044401941442</v>
      </c>
      <c r="AO212" s="4">
        <f t="shared" si="98"/>
        <v>0.13342560333377709</v>
      </c>
      <c r="AP212" s="4">
        <f t="shared" si="82"/>
        <v>2464.6869942151293</v>
      </c>
      <c r="AQ212" s="4"/>
      <c r="AR212" s="4"/>
      <c r="AT212" s="140" t="s">
        <v>407</v>
      </c>
      <c r="AU212" s="137">
        <f>BI210/(AP206+AU190)</f>
        <v>0.9816991267994748</v>
      </c>
      <c r="AV212" s="370"/>
      <c r="AW212" s="4" t="s">
        <v>123</v>
      </c>
      <c r="AX212" s="4">
        <f t="shared" ref="AX212:AX216" si="109">CL222</f>
        <v>1.2908626625694963</v>
      </c>
      <c r="AY212" s="4">
        <f t="shared" si="83"/>
        <v>4.4995970991136185E-3</v>
      </c>
      <c r="AZ212" s="4">
        <f>MW_CaO</f>
        <v>5.6077400000000006E-2</v>
      </c>
      <c r="BA212" s="4">
        <f t="shared" si="99"/>
        <v>23.019303009224682</v>
      </c>
      <c r="BB212" s="4">
        <f>h_CaO</f>
        <v>-11321.85158370395</v>
      </c>
      <c r="BC212" s="4">
        <f>b_ch_CaO</f>
        <v>122.25799999999992</v>
      </c>
      <c r="BD212" s="4">
        <f t="shared" si="84"/>
        <v>1.2461478473889942E-3</v>
      </c>
      <c r="BE212" s="4">
        <f t="shared" si="100"/>
        <v>-6.6876982080405689</v>
      </c>
      <c r="BF212" s="4">
        <f t="shared" si="85"/>
        <v>-15.187555980585502</v>
      </c>
      <c r="BG212" s="4">
        <f t="shared" si="101"/>
        <v>107.07044401941442</v>
      </c>
      <c r="BH212" s="4">
        <f t="shared" si="102"/>
        <v>0.13342560333377709</v>
      </c>
      <c r="BI212" s="4">
        <f t="shared" si="86"/>
        <v>2464.6869942151293</v>
      </c>
      <c r="BJ212" s="4"/>
      <c r="BK212" s="4"/>
      <c r="BM212" s="140" t="s">
        <v>407</v>
      </c>
      <c r="BN212" s="137">
        <f>CB210/(BM195+BI206)</f>
        <v>0.99641504718277929</v>
      </c>
      <c r="BO212" s="370"/>
      <c r="BP212" s="4" t="s">
        <v>123</v>
      </c>
      <c r="BQ212" s="4">
        <f t="shared" si="103"/>
        <v>1.2908626625694963</v>
      </c>
      <c r="BR212" s="4">
        <f t="shared" si="104"/>
        <v>4.4995970991136185E-3</v>
      </c>
      <c r="BS212" s="4">
        <f>MW_CaO</f>
        <v>5.6077400000000006E-2</v>
      </c>
      <c r="BT212" s="4">
        <f t="shared" si="105"/>
        <v>23.019303009224682</v>
      </c>
      <c r="BU212" s="4">
        <f>h_CaO</f>
        <v>-11321.85158370395</v>
      </c>
      <c r="BV212" s="4">
        <f>b_ch_CaO</f>
        <v>122.25799999999992</v>
      </c>
      <c r="BW212" s="4">
        <f t="shared" si="87"/>
        <v>1.2461478473889942E-3</v>
      </c>
      <c r="BX212" s="4">
        <f t="shared" si="106"/>
        <v>-6.6876982080405689</v>
      </c>
      <c r="BY212" s="4">
        <f t="shared" si="88"/>
        <v>-15.187555980585502</v>
      </c>
      <c r="BZ212" s="4">
        <f t="shared" si="107"/>
        <v>107.07044401941442</v>
      </c>
      <c r="CA212" s="4">
        <f t="shared" si="108"/>
        <v>0.13342560333377709</v>
      </c>
      <c r="CB212" s="4">
        <f t="shared" ref="CB212:CB216" si="110">CA212*$BT$217</f>
        <v>2464.6869942151293</v>
      </c>
      <c r="CD212" s="4"/>
      <c r="CE212" s="4"/>
      <c r="CG212" s="140" t="s">
        <v>407</v>
      </c>
      <c r="CH212" s="137">
        <f>CW206/(CB254+CB206+CB225+CB242)</f>
        <v>0.64499412077538865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668</v>
      </c>
      <c r="CQ212" s="4"/>
      <c r="CR212" s="4"/>
      <c r="CV212" s="3" t="s">
        <v>96</v>
      </c>
      <c r="CW212" s="1" t="s">
        <v>93</v>
      </c>
    </row>
    <row r="213" spans="2:101" x14ac:dyDescent="0.2">
      <c r="I213" s="370"/>
      <c r="J213" s="4" t="s">
        <v>179</v>
      </c>
      <c r="K213" s="4">
        <f t="shared" si="89"/>
        <v>0.22932230681750362</v>
      </c>
      <c r="L213" s="4">
        <f t="shared" si="75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h_MgO</f>
        <v>-14926.410019749705</v>
      </c>
      <c r="P213" s="4">
        <f>b_ch_MgO</f>
        <v>62.576000000000022</v>
      </c>
      <c r="Q213" s="4">
        <f t="shared" si="76"/>
        <v>3.0801455795498246E-4</v>
      </c>
      <c r="R213" s="4">
        <f t="shared" si="91"/>
        <v>-8.0853635100201</v>
      </c>
      <c r="S213" s="4">
        <f t="shared" si="77"/>
        <v>-18.361610693523186</v>
      </c>
      <c r="T213" s="4">
        <f t="shared" si="92"/>
        <v>44.214389306476832</v>
      </c>
      <c r="U213" s="4">
        <f t="shared" si="93"/>
        <v>1.3618675577483965E-2</v>
      </c>
      <c r="V213" s="4">
        <f t="shared" si="78"/>
        <v>251.56920212900897</v>
      </c>
      <c r="W213" s="4"/>
      <c r="X213" s="4"/>
      <c r="Y213" s="4"/>
      <c r="Z213" s="4"/>
      <c r="AA213" s="4"/>
      <c r="AB213" s="4"/>
      <c r="AC213" s="370"/>
      <c r="AD213" s="4" t="s">
        <v>179</v>
      </c>
      <c r="AE213" s="4">
        <f t="shared" si="94"/>
        <v>0.22932230681750362</v>
      </c>
      <c r="AF213" s="4">
        <f t="shared" si="79"/>
        <v>7.993553585817889E-4</v>
      </c>
      <c r="AG213" s="4">
        <f>MW_MgO</f>
        <v>4.0304400000000004E-2</v>
      </c>
      <c r="AH213" s="4">
        <f t="shared" si="95"/>
        <v>5.6897586074350093</v>
      </c>
      <c r="AI213" s="4">
        <f>h_MgO</f>
        <v>-14926.410019749705</v>
      </c>
      <c r="AJ213" s="4">
        <f>b_ch_MgO</f>
        <v>62.576000000000022</v>
      </c>
      <c r="AK213" s="4">
        <f t="shared" si="80"/>
        <v>3.0801455795498246E-4</v>
      </c>
      <c r="AL213" s="4">
        <f t="shared" si="96"/>
        <v>-8.0853635100201</v>
      </c>
      <c r="AM213" s="4">
        <f t="shared" si="81"/>
        <v>-18.361610693523186</v>
      </c>
      <c r="AN213" s="4">
        <f t="shared" si="97"/>
        <v>44.214389306476832</v>
      </c>
      <c r="AO213" s="4">
        <f t="shared" si="98"/>
        <v>1.3618675577483965E-2</v>
      </c>
      <c r="AP213" s="4">
        <f t="shared" si="82"/>
        <v>251.56920212900897</v>
      </c>
      <c r="AQ213" s="4"/>
      <c r="AR213" s="4"/>
      <c r="AT213" s="4"/>
      <c r="AU213" s="4"/>
      <c r="AV213" s="370"/>
      <c r="AW213" s="4" t="s">
        <v>179</v>
      </c>
      <c r="AX213" s="4">
        <f t="shared" si="109"/>
        <v>0.22932230681750362</v>
      </c>
      <c r="AY213" s="4">
        <f t="shared" si="83"/>
        <v>7.993553585817889E-4</v>
      </c>
      <c r="AZ213" s="4">
        <f>MW_MgO</f>
        <v>4.0304400000000004E-2</v>
      </c>
      <c r="BA213" s="4">
        <f t="shared" si="99"/>
        <v>5.6897586074350093</v>
      </c>
      <c r="BB213" s="4">
        <f>h_MgO</f>
        <v>-14926.410019749705</v>
      </c>
      <c r="BC213" s="4">
        <f>b_ch_MgO</f>
        <v>62.576000000000022</v>
      </c>
      <c r="BD213" s="4">
        <f t="shared" si="84"/>
        <v>3.0801455795498246E-4</v>
      </c>
      <c r="BE213" s="4">
        <f t="shared" si="100"/>
        <v>-8.0853635100201</v>
      </c>
      <c r="BF213" s="4">
        <f t="shared" si="85"/>
        <v>-18.361610693523186</v>
      </c>
      <c r="BG213" s="4">
        <f t="shared" si="101"/>
        <v>44.214389306476832</v>
      </c>
      <c r="BH213" s="4">
        <f t="shared" si="102"/>
        <v>1.3618675577483965E-2</v>
      </c>
      <c r="BI213" s="4">
        <f t="shared" si="86"/>
        <v>251.56920212900897</v>
      </c>
      <c r="BJ213" s="4"/>
      <c r="BK213" s="4"/>
      <c r="BL213" s="4"/>
      <c r="BM213" s="4"/>
      <c r="BN213" s="4"/>
      <c r="BO213" s="370"/>
      <c r="BP213" s="4" t="s">
        <v>179</v>
      </c>
      <c r="BQ213" s="4">
        <f t="shared" si="103"/>
        <v>0.22932230681750362</v>
      </c>
      <c r="BR213" s="4">
        <f t="shared" si="104"/>
        <v>7.993553585817889E-4</v>
      </c>
      <c r="BS213" s="4">
        <f>MW_MgO</f>
        <v>4.0304400000000004E-2</v>
      </c>
      <c r="BT213" s="4">
        <f t="shared" si="105"/>
        <v>5.6897586074350093</v>
      </c>
      <c r="BU213" s="4">
        <f>h_MgO</f>
        <v>-14926.410019749705</v>
      </c>
      <c r="BV213" s="4">
        <f>b_ch_MgO</f>
        <v>62.576000000000022</v>
      </c>
      <c r="BW213" s="4">
        <f t="shared" si="87"/>
        <v>3.0801455795498246E-4</v>
      </c>
      <c r="BX213" s="4">
        <f t="shared" si="106"/>
        <v>-8.0853635100201</v>
      </c>
      <c r="BY213" s="4">
        <f t="shared" si="88"/>
        <v>-18.361610693523186</v>
      </c>
      <c r="BZ213" s="4">
        <f t="shared" si="107"/>
        <v>44.214389306476832</v>
      </c>
      <c r="CA213" s="4">
        <f t="shared" si="108"/>
        <v>1.3618675577483965E-2</v>
      </c>
      <c r="CB213" s="4">
        <f t="shared" si="110"/>
        <v>251.56920212900897</v>
      </c>
      <c r="CC213" s="4"/>
      <c r="CD213" s="4"/>
      <c r="CU213" s="4"/>
      <c r="CV213" s="4"/>
    </row>
    <row r="214" spans="2:101" ht="19" thickBot="1" x14ac:dyDescent="0.3">
      <c r="I214" s="370"/>
      <c r="J214" s="4" t="s">
        <v>308</v>
      </c>
      <c r="K214" s="4">
        <f t="shared" si="89"/>
        <v>7.0276190798912411E-2</v>
      </c>
      <c r="L214" s="4">
        <f t="shared" si="75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h_Na2O</f>
        <v>-6682.9156279804474</v>
      </c>
      <c r="P214" s="4">
        <f>b_ch_Na2O</f>
        <v>298.64000000000004</v>
      </c>
      <c r="Q214" s="4">
        <f t="shared" si="76"/>
        <v>6.1382065571432198E-5</v>
      </c>
      <c r="R214" s="4">
        <f t="shared" si="91"/>
        <v>-9.6983928571487432</v>
      </c>
      <c r="S214" s="4">
        <f t="shared" si="77"/>
        <v>-22.02475049824551</v>
      </c>
      <c r="T214" s="4">
        <f t="shared" si="92"/>
        <v>276.61524950175453</v>
      </c>
      <c r="U214" s="4">
        <f t="shared" si="93"/>
        <v>1.6979215382974776E-2</v>
      </c>
      <c r="V214" s="4">
        <f t="shared" si="78"/>
        <v>313.64633384274396</v>
      </c>
      <c r="W214" s="4"/>
      <c r="X214" s="4" t="s">
        <v>379</v>
      </c>
      <c r="Y214" s="1" t="s">
        <v>131</v>
      </c>
      <c r="Z214" s="1" t="s">
        <v>282</v>
      </c>
      <c r="AA214" s="1" t="s">
        <v>282</v>
      </c>
      <c r="AB214" s="4"/>
      <c r="AC214" s="370"/>
      <c r="AD214" s="4" t="s">
        <v>308</v>
      </c>
      <c r="AE214" s="4">
        <f t="shared" si="94"/>
        <v>7.0276190798912411E-2</v>
      </c>
      <c r="AF214" s="4">
        <f t="shared" si="79"/>
        <v>2.4496373892022569E-4</v>
      </c>
      <c r="AG214" s="4">
        <f>MW_Na2O</f>
        <v>6.1978936000000005E-2</v>
      </c>
      <c r="AH214" s="4">
        <f t="shared" si="95"/>
        <v>1.1338721722959622</v>
      </c>
      <c r="AI214" s="4">
        <f>h_Na2O</f>
        <v>-6682.9156279804474</v>
      </c>
      <c r="AJ214" s="4">
        <f>b_ch_Na2O</f>
        <v>298.64000000000004</v>
      </c>
      <c r="AK214" s="4">
        <f t="shared" si="80"/>
        <v>6.1382065571432198E-5</v>
      </c>
      <c r="AL214" s="4">
        <f t="shared" si="96"/>
        <v>-9.6983928571487432</v>
      </c>
      <c r="AM214" s="4">
        <f t="shared" si="81"/>
        <v>-22.02475049824551</v>
      </c>
      <c r="AN214" s="4">
        <f t="shared" si="97"/>
        <v>276.61524950175453</v>
      </c>
      <c r="AO214" s="4">
        <f t="shared" si="98"/>
        <v>1.6979215382974776E-2</v>
      </c>
      <c r="AP214" s="4">
        <f t="shared" si="82"/>
        <v>313.64633384274396</v>
      </c>
      <c r="AQ214" s="4"/>
      <c r="AR214" s="4"/>
      <c r="AS214" s="4"/>
      <c r="AT214" s="4"/>
      <c r="AU214" s="4"/>
      <c r="AV214" s="370"/>
      <c r="AW214" s="4" t="s">
        <v>308</v>
      </c>
      <c r="AX214" s="4">
        <f t="shared" si="109"/>
        <v>7.0276190798912411E-2</v>
      </c>
      <c r="AY214" s="4">
        <f t="shared" si="83"/>
        <v>2.4496373892022569E-4</v>
      </c>
      <c r="AZ214" s="4">
        <f>MW_Na2O</f>
        <v>6.1978936000000005E-2</v>
      </c>
      <c r="BA214" s="4">
        <f t="shared" si="99"/>
        <v>1.1338721722959622</v>
      </c>
      <c r="BB214" s="4">
        <f>h_Na2O</f>
        <v>-6682.9156279804474</v>
      </c>
      <c r="BC214" s="4">
        <f>b_ch_Na2O</f>
        <v>298.64000000000004</v>
      </c>
      <c r="BD214" s="4">
        <f t="shared" si="84"/>
        <v>6.1382065571432198E-5</v>
      </c>
      <c r="BE214" s="4">
        <f t="shared" si="100"/>
        <v>-9.6983928571487432</v>
      </c>
      <c r="BF214" s="4">
        <f t="shared" si="85"/>
        <v>-22.02475049824551</v>
      </c>
      <c r="BG214" s="4">
        <f t="shared" si="101"/>
        <v>276.61524950175453</v>
      </c>
      <c r="BH214" s="4">
        <f t="shared" si="102"/>
        <v>1.6979215382974776E-2</v>
      </c>
      <c r="BI214" s="4">
        <f t="shared" si="86"/>
        <v>313.64633384274396</v>
      </c>
      <c r="BJ214" s="4"/>
      <c r="BK214" s="4"/>
      <c r="BL214" s="4"/>
      <c r="BM214" s="4"/>
      <c r="BN214" s="4"/>
      <c r="BO214" s="370"/>
      <c r="BP214" s="4" t="s">
        <v>308</v>
      </c>
      <c r="BQ214" s="4">
        <f t="shared" si="103"/>
        <v>7.0276190798912411E-2</v>
      </c>
      <c r="BR214" s="4">
        <f t="shared" si="104"/>
        <v>2.4496373892022569E-4</v>
      </c>
      <c r="BS214" s="4">
        <f>MW_Na2O</f>
        <v>6.1978936000000005E-2</v>
      </c>
      <c r="BT214" s="4">
        <f t="shared" si="105"/>
        <v>1.1338721722959622</v>
      </c>
      <c r="BU214" s="4">
        <f>h_Na2O</f>
        <v>-6682.9156279804474</v>
      </c>
      <c r="BV214" s="4">
        <f>b_ch_Na2O</f>
        <v>298.64000000000004</v>
      </c>
      <c r="BW214" s="4">
        <f t="shared" si="87"/>
        <v>6.1382065571432198E-5</v>
      </c>
      <c r="BX214" s="4">
        <f t="shared" si="106"/>
        <v>-9.6983928571487432</v>
      </c>
      <c r="BY214" s="4">
        <f t="shared" si="88"/>
        <v>-22.02475049824551</v>
      </c>
      <c r="BZ214" s="4">
        <f t="shared" si="107"/>
        <v>276.61524950175453</v>
      </c>
      <c r="CA214" s="4">
        <f t="shared" si="108"/>
        <v>1.6979215382974776E-2</v>
      </c>
      <c r="CB214" s="4">
        <f t="shared" si="110"/>
        <v>313.64633384274396</v>
      </c>
      <c r="CC214" s="4"/>
      <c r="CD214" s="4"/>
      <c r="CU214" s="4"/>
      <c r="CV214" s="4"/>
    </row>
    <row r="215" spans="2:101" ht="18" x14ac:dyDescent="0.25">
      <c r="I215" s="370"/>
      <c r="J215" s="1" t="s">
        <v>15</v>
      </c>
      <c r="K215" s="4">
        <f t="shared" si="89"/>
        <v>0.80262807386126278</v>
      </c>
      <c r="L215" s="4">
        <f t="shared" si="75"/>
        <v>2.7977437550362615E-3</v>
      </c>
      <c r="M215" s="4">
        <f>MW_Fe2O3</f>
        <v>0.1596882</v>
      </c>
      <c r="N215" s="4">
        <f t="shared" si="90"/>
        <v>5.0262203084590018</v>
      </c>
      <c r="O215" s="4">
        <f>h_Fe2O3</f>
        <v>-5161.3080991582347</v>
      </c>
      <c r="P215" s="4">
        <f>b_ch_Fe2O3</f>
        <v>17.358400000000074</v>
      </c>
      <c r="Q215" s="4">
        <f t="shared" si="76"/>
        <v>2.7209397327881957E-4</v>
      </c>
      <c r="R215" s="4">
        <f t="shared" si="91"/>
        <v>-8.2093630613405431</v>
      </c>
      <c r="S215" s="4">
        <f t="shared" si="77"/>
        <v>-18.643209842985776</v>
      </c>
      <c r="T215" s="4">
        <f t="shared" si="92"/>
        <v>-1.2848098429857018</v>
      </c>
      <c r="U215" s="4">
        <f t="shared" si="93"/>
        <v>-3.4958901508571591E-4</v>
      </c>
      <c r="V215" s="4">
        <f t="shared" si="78"/>
        <v>-6.4577373253227552</v>
      </c>
      <c r="W215" s="4"/>
      <c r="X215" s="4" t="s">
        <v>41</v>
      </c>
      <c r="Y215" s="1" t="s">
        <v>88</v>
      </c>
      <c r="Z215" s="4" t="s">
        <v>283</v>
      </c>
      <c r="AA215" s="4" t="s">
        <v>283</v>
      </c>
      <c r="AB215" s="16"/>
      <c r="AC215" s="370"/>
      <c r="AD215" s="1" t="s">
        <v>15</v>
      </c>
      <c r="AE215" s="4">
        <f t="shared" si="94"/>
        <v>0.80262807386126278</v>
      </c>
      <c r="AF215" s="4">
        <f t="shared" si="79"/>
        <v>2.7977437550362615E-3</v>
      </c>
      <c r="AG215" s="4">
        <f>MW_Fe2O3</f>
        <v>0.1596882</v>
      </c>
      <c r="AH215" s="4">
        <f t="shared" si="95"/>
        <v>5.0262203084590018</v>
      </c>
      <c r="AI215" s="4">
        <f>h_Fe2O3</f>
        <v>-5161.3080991582347</v>
      </c>
      <c r="AJ215" s="4">
        <f>b_ch_Fe2O3</f>
        <v>17.358400000000074</v>
      </c>
      <c r="AK215" s="4">
        <f t="shared" si="80"/>
        <v>2.7209397327881957E-4</v>
      </c>
      <c r="AL215" s="4">
        <f t="shared" si="96"/>
        <v>-8.2093630613405431</v>
      </c>
      <c r="AM215" s="4">
        <f t="shared" si="81"/>
        <v>-18.643209842985776</v>
      </c>
      <c r="AN215" s="4">
        <f t="shared" si="97"/>
        <v>-1.2848098429857018</v>
      </c>
      <c r="AO215" s="4">
        <f t="shared" si="98"/>
        <v>-3.4958901508571591E-4</v>
      </c>
      <c r="AP215" s="4">
        <f t="shared" si="82"/>
        <v>-6.4577373253227552</v>
      </c>
      <c r="AQ215" s="4"/>
      <c r="AR215" s="3" t="s">
        <v>2</v>
      </c>
      <c r="AS215" s="3" t="s">
        <v>3</v>
      </c>
      <c r="AT215" s="132" t="s">
        <v>587</v>
      </c>
      <c r="AU215" s="4"/>
      <c r="AV215" s="370"/>
      <c r="AW215" s="1" t="s">
        <v>15</v>
      </c>
      <c r="AX215" s="4">
        <f t="shared" si="109"/>
        <v>0.80262807386126278</v>
      </c>
      <c r="AY215" s="4">
        <f t="shared" si="83"/>
        <v>2.7977437550362615E-3</v>
      </c>
      <c r="AZ215" s="4">
        <f>MW_Fe2O3</f>
        <v>0.1596882</v>
      </c>
      <c r="BA215" s="4">
        <f t="shared" si="99"/>
        <v>5.0262203084590018</v>
      </c>
      <c r="BB215" s="4">
        <f>h_Fe2O3</f>
        <v>-5161.3080991582347</v>
      </c>
      <c r="BC215" s="4">
        <f>b_ch_Fe2O3</f>
        <v>17.358400000000074</v>
      </c>
      <c r="BD215" s="4">
        <f t="shared" si="84"/>
        <v>2.7209397327881957E-4</v>
      </c>
      <c r="BE215" s="4">
        <f t="shared" si="100"/>
        <v>-8.2093630613405431</v>
      </c>
      <c r="BF215" s="4">
        <f t="shared" si="85"/>
        <v>-18.643209842985776</v>
      </c>
      <c r="BG215" s="4">
        <f t="shared" si="101"/>
        <v>-1.2848098429857018</v>
      </c>
      <c r="BH215" s="4">
        <f t="shared" si="102"/>
        <v>-3.4958901508571591E-4</v>
      </c>
      <c r="BI215" s="4">
        <f t="shared" si="86"/>
        <v>-6.4577373253227552</v>
      </c>
      <c r="BJ215" s="4"/>
      <c r="BK215" s="3" t="s">
        <v>2</v>
      </c>
      <c r="BL215" s="3" t="s">
        <v>3</v>
      </c>
      <c r="BM215" s="132" t="s">
        <v>587</v>
      </c>
      <c r="BN215" s="4"/>
      <c r="BO215" s="370"/>
      <c r="BP215" s="1" t="s">
        <v>15</v>
      </c>
      <c r="BQ215" s="4">
        <f t="shared" si="103"/>
        <v>0.80262807386126278</v>
      </c>
      <c r="BR215" s="4">
        <f t="shared" si="104"/>
        <v>2.7977437550362615E-3</v>
      </c>
      <c r="BS215" s="4">
        <f>MW_Fe2O3</f>
        <v>0.1596882</v>
      </c>
      <c r="BT215" s="4">
        <f t="shared" si="105"/>
        <v>5.0262203084590018</v>
      </c>
      <c r="BU215" s="4">
        <f>h_Fe2O3</f>
        <v>-5161.3080991582347</v>
      </c>
      <c r="BV215" s="4">
        <f>b_ch_Fe2O3</f>
        <v>17.358400000000074</v>
      </c>
      <c r="BW215" s="4">
        <f t="shared" si="87"/>
        <v>2.7209397327881957E-4</v>
      </c>
      <c r="BX215" s="4">
        <f t="shared" si="106"/>
        <v>-8.2093630613405431</v>
      </c>
      <c r="BY215" s="4">
        <f t="shared" si="88"/>
        <v>-18.643209842985776</v>
      </c>
      <c r="BZ215" s="4">
        <f t="shared" si="107"/>
        <v>-1.2848098429857018</v>
      </c>
      <c r="CA215" s="4">
        <f t="shared" si="108"/>
        <v>-3.4958901508571591E-4</v>
      </c>
      <c r="CB215" s="4">
        <f t="shared" si="110"/>
        <v>-6.4577373253227552</v>
      </c>
      <c r="CC215" s="4"/>
      <c r="CD215" s="4"/>
      <c r="CE215" s="3" t="s">
        <v>2</v>
      </c>
      <c r="CF215" s="3" t="s">
        <v>3</v>
      </c>
      <c r="CG215" s="132" t="s">
        <v>587</v>
      </c>
      <c r="CH215" s="132"/>
      <c r="CI215" s="132"/>
      <c r="CU215" s="4"/>
      <c r="CV215" s="63" t="s">
        <v>1</v>
      </c>
      <c r="CW215" s="58" t="s">
        <v>0</v>
      </c>
    </row>
    <row r="216" spans="2:101" ht="18.5" customHeight="1" x14ac:dyDescent="0.25">
      <c r="I216" s="370"/>
      <c r="J216" s="1" t="s">
        <v>17</v>
      </c>
      <c r="K216" s="4">
        <f t="shared" si="89"/>
        <v>9.2172772353099859</v>
      </c>
      <c r="L216" s="4">
        <f t="shared" si="75"/>
        <v>3.2128928283642229E-2</v>
      </c>
      <c r="M216" s="3">
        <f>MW_SIO2</f>
        <v>6.00843E-2</v>
      </c>
      <c r="N216" s="4">
        <f t="shared" si="90"/>
        <v>153.40575217336286</v>
      </c>
      <c r="O216" s="4">
        <f>h_SiO2</f>
        <v>-15157.037695371337</v>
      </c>
      <c r="P216" s="3">
        <f>b_ch_SiO2</f>
        <v>1.5260000000000673</v>
      </c>
      <c r="Q216" s="4">
        <f t="shared" si="76"/>
        <v>8.3046062589870028E-3</v>
      </c>
      <c r="R216" s="4">
        <f t="shared" si="91"/>
        <v>-4.7909449471567278</v>
      </c>
      <c r="S216" s="4">
        <f t="shared" si="77"/>
        <v>-10.88008793479406</v>
      </c>
      <c r="T216" s="4">
        <f t="shared" si="92"/>
        <v>-9.3540879347939931</v>
      </c>
      <c r="U216" s="4">
        <f t="shared" si="93"/>
        <v>-7.7682017210405005E-2</v>
      </c>
      <c r="V216" s="4">
        <f t="shared" si="78"/>
        <v>-1434.9708955328508</v>
      </c>
      <c r="W216" s="370" t="s">
        <v>379</v>
      </c>
      <c r="X216" s="62" t="s">
        <v>307</v>
      </c>
      <c r="Y216" s="62">
        <f t="shared" ref="Y216:Y221" si="111">$Y$222*Z216</f>
        <v>16.732655961692366</v>
      </c>
      <c r="Z216" s="172">
        <v>0.3715</v>
      </c>
      <c r="AA216" s="172">
        <v>0.37219999999999998</v>
      </c>
      <c r="AC216" s="370"/>
      <c r="AD216" s="1" t="s">
        <v>17</v>
      </c>
      <c r="AE216" s="4">
        <f t="shared" si="94"/>
        <v>9.2172772353099859</v>
      </c>
      <c r="AF216" s="4">
        <f t="shared" si="79"/>
        <v>3.2128928283642229E-2</v>
      </c>
      <c r="AG216" s="3">
        <f>MW_SIO2</f>
        <v>6.00843E-2</v>
      </c>
      <c r="AH216" s="4">
        <f t="shared" si="95"/>
        <v>153.40575217336286</v>
      </c>
      <c r="AI216" s="4">
        <f>h_SiO2</f>
        <v>-15157.037695371337</v>
      </c>
      <c r="AJ216" s="3">
        <f>b_ch_SiO2</f>
        <v>1.5260000000000673</v>
      </c>
      <c r="AK216" s="4">
        <f t="shared" si="80"/>
        <v>8.3046062589870028E-3</v>
      </c>
      <c r="AL216" s="4">
        <f t="shared" si="96"/>
        <v>-4.7909449471567278</v>
      </c>
      <c r="AM216" s="4">
        <f t="shared" si="81"/>
        <v>-10.88008793479406</v>
      </c>
      <c r="AN216" s="4">
        <f t="shared" si="97"/>
        <v>-9.3540879347939931</v>
      </c>
      <c r="AO216" s="4">
        <f t="shared" si="98"/>
        <v>-7.7682017210405005E-2</v>
      </c>
      <c r="AP216" s="4">
        <f t="shared" si="82"/>
        <v>-1434.9708955328508</v>
      </c>
      <c r="AQ216" s="4"/>
      <c r="AR216" s="1" t="s">
        <v>589</v>
      </c>
      <c r="AS216" s="1" t="s">
        <v>589</v>
      </c>
      <c r="AT216" s="1" t="s">
        <v>589</v>
      </c>
      <c r="AU216" s="4"/>
      <c r="AV216" s="370"/>
      <c r="AW216" s="1" t="s">
        <v>17</v>
      </c>
      <c r="AX216" s="4">
        <f t="shared" si="109"/>
        <v>9.2172772353099859</v>
      </c>
      <c r="AY216" s="4">
        <f t="shared" si="83"/>
        <v>3.2128928283642229E-2</v>
      </c>
      <c r="AZ216" s="3">
        <f>MW_SIO2</f>
        <v>6.00843E-2</v>
      </c>
      <c r="BA216" s="4">
        <f t="shared" si="99"/>
        <v>153.40575217336286</v>
      </c>
      <c r="BB216" s="4">
        <f>h_SiO2</f>
        <v>-15157.037695371337</v>
      </c>
      <c r="BC216" s="3">
        <f>b_ch_SiO2</f>
        <v>1.5260000000000673</v>
      </c>
      <c r="BD216" s="4">
        <f t="shared" si="84"/>
        <v>8.3046062589870028E-3</v>
      </c>
      <c r="BE216" s="4">
        <f t="shared" si="100"/>
        <v>-4.7909449471567278</v>
      </c>
      <c r="BF216" s="4">
        <f t="shared" si="85"/>
        <v>-10.88008793479406</v>
      </c>
      <c r="BG216" s="4">
        <f t="shared" si="101"/>
        <v>-9.3540879347939931</v>
      </c>
      <c r="BH216" s="4">
        <f t="shared" si="102"/>
        <v>-7.7682017210405005E-2</v>
      </c>
      <c r="BI216" s="4">
        <f t="shared" si="86"/>
        <v>-1434.9708955328508</v>
      </c>
      <c r="BJ216" s="4"/>
      <c r="BK216" s="1" t="s">
        <v>589</v>
      </c>
      <c r="BL216" s="1" t="s">
        <v>589</v>
      </c>
      <c r="BM216" s="1" t="s">
        <v>589</v>
      </c>
      <c r="BN216" s="4"/>
      <c r="BO216" s="370"/>
      <c r="BP216" s="1" t="s">
        <v>17</v>
      </c>
      <c r="BQ216" s="4">
        <f t="shared" si="103"/>
        <v>9.2172772353099859</v>
      </c>
      <c r="BR216" s="4">
        <f t="shared" si="104"/>
        <v>3.2128928283642229E-2</v>
      </c>
      <c r="BS216" s="3">
        <f>MW_SIO2</f>
        <v>6.00843E-2</v>
      </c>
      <c r="BT216" s="4">
        <f t="shared" si="105"/>
        <v>153.40575217336286</v>
      </c>
      <c r="BU216" s="4">
        <f>h_SiO2</f>
        <v>-15157.037695371337</v>
      </c>
      <c r="BV216" s="3">
        <f>b_ch_SiO2</f>
        <v>1.5260000000000673</v>
      </c>
      <c r="BW216" s="4">
        <f t="shared" si="87"/>
        <v>8.3046062589870028E-3</v>
      </c>
      <c r="BX216" s="4">
        <f t="shared" si="106"/>
        <v>-4.7909449471567278</v>
      </c>
      <c r="BY216" s="4">
        <f t="shared" si="88"/>
        <v>-10.88008793479406</v>
      </c>
      <c r="BZ216" s="4">
        <f t="shared" si="107"/>
        <v>-9.3540879347939931</v>
      </c>
      <c r="CA216" s="4">
        <f t="shared" si="108"/>
        <v>-7.7682017210405005E-2</v>
      </c>
      <c r="CB216" s="4">
        <f t="shared" si="110"/>
        <v>-1434.9708955328508</v>
      </c>
      <c r="CC216" s="4"/>
      <c r="CD216" s="4"/>
      <c r="CE216" s="1" t="s">
        <v>589</v>
      </c>
      <c r="CF216" s="1" t="s">
        <v>589</v>
      </c>
      <c r="CG216" s="1" t="s">
        <v>589</v>
      </c>
      <c r="CH216" s="1"/>
      <c r="CI216" s="1"/>
      <c r="CU216" s="4"/>
      <c r="CV216" s="65" t="s">
        <v>89</v>
      </c>
      <c r="CW216" s="64" t="s">
        <v>93</v>
      </c>
    </row>
    <row r="217" spans="2:101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62">
        <f>SUM(O210:O216)</f>
        <v>-39604.193450553685</v>
      </c>
      <c r="P217" s="17"/>
      <c r="Q217" s="62">
        <f>SUM(Q210:Q216)</f>
        <v>1</v>
      </c>
      <c r="R217" s="17"/>
      <c r="S217" s="17"/>
      <c r="T217" s="17"/>
      <c r="U217" s="62">
        <f>SUM(U210:U216)</f>
        <v>473.88180975889873</v>
      </c>
      <c r="V217" s="62">
        <f>SUM(V210:V216)</f>
        <v>8753719.7068998404</v>
      </c>
      <c r="W217" s="370"/>
      <c r="X217" s="4" t="s">
        <v>123</v>
      </c>
      <c r="Y217" s="4">
        <f t="shared" si="111"/>
        <v>3.143847607338162</v>
      </c>
      <c r="Z217" s="4">
        <v>6.9800000000000001E-2</v>
      </c>
      <c r="AA217" s="4">
        <f>Z217</f>
        <v>6.9800000000000001E-2</v>
      </c>
      <c r="AD217" s="62" t="s">
        <v>19</v>
      </c>
      <c r="AE217" s="62">
        <f>SUM(AE210:AE216)</f>
        <v>286.88405520213911</v>
      </c>
      <c r="AF217" s="17"/>
      <c r="AG217" s="62">
        <f>SUM(AG210:AG216)</f>
        <v>0.48009451399999997</v>
      </c>
      <c r="AH217" s="62">
        <f>SUM(AH210:AH216)</f>
        <v>18472.369115314963</v>
      </c>
      <c r="AI217" s="62">
        <f>SUM(AI210:AI216)</f>
        <v>-39604.193450553685</v>
      </c>
      <c r="AJ217" s="17"/>
      <c r="AK217" s="62">
        <f>SUM(AK210:AK216)</f>
        <v>1</v>
      </c>
      <c r="AL217" s="17"/>
      <c r="AM217" s="17"/>
      <c r="AN217" s="17"/>
      <c r="AO217" s="62">
        <f>SUM(AO210:AO216)</f>
        <v>473.88180975889873</v>
      </c>
      <c r="AP217" s="62">
        <f>SUM(AP210:AP216)</f>
        <v>8753719.7068998404</v>
      </c>
      <c r="AQ217" s="4" t="s">
        <v>60</v>
      </c>
      <c r="AR217" s="3" t="s">
        <v>588</v>
      </c>
      <c r="AS217" s="3" t="s">
        <v>588</v>
      </c>
      <c r="AT217" s="3" t="s">
        <v>588</v>
      </c>
      <c r="AU217" s="4"/>
      <c r="AV217" s="4"/>
      <c r="AW217" s="62" t="s">
        <v>19</v>
      </c>
      <c r="AX217" s="62">
        <f>SUM(AX210:AX216)</f>
        <v>286.88405520213911</v>
      </c>
      <c r="AY217" s="17"/>
      <c r="AZ217" s="62">
        <f>SUM(AZ210:AZ216)</f>
        <v>0.48009451399999997</v>
      </c>
      <c r="BA217" s="62">
        <f>SUM(BA210:BA216)</f>
        <v>18472.369115314963</v>
      </c>
      <c r="BB217" s="62">
        <f>SUM(BB210:BB216)</f>
        <v>-39604.193450553685</v>
      </c>
      <c r="BC217" s="17"/>
      <c r="BD217" s="62">
        <f>SUM(BD210:BD216)</f>
        <v>1</v>
      </c>
      <c r="BE217" s="17"/>
      <c r="BF217" s="17"/>
      <c r="BG217" s="17"/>
      <c r="BH217" s="62">
        <f>SUM(BH210:BH216)</f>
        <v>473.88180975889873</v>
      </c>
      <c r="BI217" s="62">
        <f>SUM(BI210:BI216)</f>
        <v>8753719.7068998404</v>
      </c>
      <c r="BJ217" s="4" t="s">
        <v>60</v>
      </c>
      <c r="BK217" s="3" t="s">
        <v>588</v>
      </c>
      <c r="BL217" s="3" t="s">
        <v>588</v>
      </c>
      <c r="BM217" s="3" t="s">
        <v>588</v>
      </c>
      <c r="BN217" s="4"/>
      <c r="BO217" s="4"/>
      <c r="BP217" s="62" t="s">
        <v>19</v>
      </c>
      <c r="BQ217" s="62">
        <f>SUM(BQ210:BQ216)</f>
        <v>286.88405520213911</v>
      </c>
      <c r="BR217" s="62">
        <f>SUM(BR210:BR216)</f>
        <v>1</v>
      </c>
      <c r="BS217" s="62">
        <f>SUM(BS210:BS216)</f>
        <v>0.48009451399999997</v>
      </c>
      <c r="BT217" s="62">
        <f>SUM(BT210:BT216)</f>
        <v>18472.369115314963</v>
      </c>
      <c r="BU217" s="62">
        <f>SUM(BU210:BU216)</f>
        <v>-39604.193450553685</v>
      </c>
      <c r="BV217" s="17"/>
      <c r="BW217" s="62">
        <f>SUM(BW210:BW216)</f>
        <v>1</v>
      </c>
      <c r="BX217" s="17"/>
      <c r="BY217" s="17"/>
      <c r="BZ217" s="17"/>
      <c r="CA217" s="62">
        <f>SUM(CA210:CA216)</f>
        <v>473.88180975889873</v>
      </c>
      <c r="CB217" s="62">
        <f>SUM(CB210:CB216)</f>
        <v>8753719.7068998404</v>
      </c>
      <c r="CC217" s="4"/>
      <c r="CD217" s="4" t="s">
        <v>60</v>
      </c>
      <c r="CE217" s="3" t="s">
        <v>588</v>
      </c>
      <c r="CF217" s="3" t="s">
        <v>588</v>
      </c>
      <c r="CG217" s="3" t="s">
        <v>588</v>
      </c>
      <c r="CR217" s="3" t="s">
        <v>530</v>
      </c>
      <c r="CU217" s="4"/>
      <c r="CV217" s="50">
        <f>CL227</f>
        <v>18.493734420766422</v>
      </c>
      <c r="CW217" s="48">
        <f>CW227</f>
        <v>5366.0434241372932</v>
      </c>
    </row>
    <row r="218" spans="2:101" ht="18" customHeight="1" x14ac:dyDescent="0.25">
      <c r="K218" s="1" t="s">
        <v>89</v>
      </c>
      <c r="L218" s="1"/>
      <c r="M218" s="3" t="s">
        <v>91</v>
      </c>
      <c r="N218" s="3" t="s">
        <v>87</v>
      </c>
      <c r="O218" s="1" t="s">
        <v>668</v>
      </c>
      <c r="P218" s="4"/>
      <c r="Q218" s="4"/>
      <c r="U218" s="3" t="s">
        <v>96</v>
      </c>
      <c r="V218" s="1" t="s">
        <v>93</v>
      </c>
      <c r="W218" s="370"/>
      <c r="X218" s="4" t="s">
        <v>179</v>
      </c>
      <c r="Y218" s="4">
        <f t="shared" si="111"/>
        <v>0.55850587866752444</v>
      </c>
      <c r="Z218" s="4">
        <v>1.24E-2</v>
      </c>
      <c r="AA218" s="4">
        <f t="shared" ref="AA218:AA221" si="112">Z218</f>
        <v>1.24E-2</v>
      </c>
      <c r="AE218" s="1" t="s">
        <v>89</v>
      </c>
      <c r="AF218" s="1"/>
      <c r="AG218" s="3" t="s">
        <v>91</v>
      </c>
      <c r="AH218" s="3" t="s">
        <v>87</v>
      </c>
      <c r="AI218" s="1" t="s">
        <v>668</v>
      </c>
      <c r="AJ218" s="4"/>
      <c r="AK218" s="4"/>
      <c r="AO218" s="3" t="s">
        <v>96</v>
      </c>
      <c r="AP218" s="1" t="s">
        <v>93</v>
      </c>
      <c r="AQ218" s="4" t="s">
        <v>18</v>
      </c>
      <c r="AR218" s="83">
        <f>AH210</f>
        <v>18216.584581012561</v>
      </c>
      <c r="AS218" s="83">
        <f>BA210</f>
        <v>18216.584581012561</v>
      </c>
      <c r="AT218" s="3">
        <f>AR218-AS218</f>
        <v>0</v>
      </c>
      <c r="AU218" s="4"/>
      <c r="AV218" s="4"/>
      <c r="AX218" s="1" t="s">
        <v>89</v>
      </c>
      <c r="AY218" s="1"/>
      <c r="AZ218" s="3" t="s">
        <v>91</v>
      </c>
      <c r="BA218" s="3" t="s">
        <v>87</v>
      </c>
      <c r="BB218" s="1" t="s">
        <v>668</v>
      </c>
      <c r="BC218" s="4"/>
      <c r="BD218" s="4"/>
      <c r="BH218" s="3" t="s">
        <v>96</v>
      </c>
      <c r="BI218" s="1" t="s">
        <v>93</v>
      </c>
      <c r="BJ218" s="4" t="s">
        <v>18</v>
      </c>
      <c r="BK218" s="83">
        <f>BA210</f>
        <v>18216.584581012561</v>
      </c>
      <c r="BL218" s="83">
        <f>BT210</f>
        <v>18216.584581012561</v>
      </c>
      <c r="BM218" s="3">
        <f>BK218-BL218</f>
        <v>0</v>
      </c>
      <c r="BN218" s="1"/>
      <c r="BO218" s="4"/>
      <c r="BQ218" s="1" t="s">
        <v>89</v>
      </c>
      <c r="BR218" s="1"/>
      <c r="BS218" s="3" t="s">
        <v>91</v>
      </c>
      <c r="BT218" s="3" t="s">
        <v>87</v>
      </c>
      <c r="BU218" s="1" t="s">
        <v>668</v>
      </c>
      <c r="BV218" s="4"/>
      <c r="BW218" s="4"/>
      <c r="CA218" s="3" t="s">
        <v>96</v>
      </c>
      <c r="CB218" s="1" t="s">
        <v>93</v>
      </c>
      <c r="CC218" s="4"/>
      <c r="CD218" s="4" t="s">
        <v>18</v>
      </c>
      <c r="CE218" s="83">
        <f>BT210+BT230+BT258</f>
        <v>19523.647284522081</v>
      </c>
      <c r="CF218" s="83">
        <f>mol_C_to_BF+(2*CO238)+CO239+CO240+CO242+CO255</f>
        <v>19523.647284522081</v>
      </c>
      <c r="CG218" s="3">
        <f>CE218-CF218</f>
        <v>0</v>
      </c>
      <c r="CU218" s="4"/>
      <c r="CV218" s="4"/>
    </row>
    <row r="219" spans="2:101" ht="19" thickBot="1" x14ac:dyDescent="0.3">
      <c r="W219" s="370"/>
      <c r="X219" s="4" t="s">
        <v>308</v>
      </c>
      <c r="Y219" s="4">
        <f t="shared" si="111"/>
        <v>0.17115502733359619</v>
      </c>
      <c r="Z219" s="4">
        <v>3.8E-3</v>
      </c>
      <c r="AA219" s="4">
        <f t="shared" si="112"/>
        <v>3.8E-3</v>
      </c>
      <c r="AQ219" s="3" t="s">
        <v>182</v>
      </c>
      <c r="AR219" s="286">
        <f>(mol_H_Coal*AH210)</f>
        <v>45411.454369105508</v>
      </c>
      <c r="AS219" s="286">
        <f>mol_H_Coal*BA210</f>
        <v>45411.454369105508</v>
      </c>
      <c r="AT219" s="3">
        <f t="shared" ref="AT219:AT227" si="113">AR219-AS219</f>
        <v>0</v>
      </c>
      <c r="BH219" s="4"/>
      <c r="BI219" s="4"/>
      <c r="BJ219" s="3" t="s">
        <v>182</v>
      </c>
      <c r="BK219" s="286">
        <f>(mol_H_Coal*BA210)</f>
        <v>45411.454369105508</v>
      </c>
      <c r="BL219" s="286">
        <f>mol_H_Coal*BT210</f>
        <v>45411.454369105508</v>
      </c>
      <c r="BM219" s="3">
        <f t="shared" ref="BM219:BM227" si="114">BK219-BL219</f>
        <v>0</v>
      </c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D219" s="3" t="s">
        <v>182</v>
      </c>
      <c r="CE219" s="83">
        <f>(mol_H_Coal*'Ore-&gt;PI'!BT210)+(2*'Ore-&gt;PI'!BT229)+(4*'Ore-&gt;PI'!BT230)+(4*'Ore-&gt;PI'!BT258)</f>
        <v>56452.751169032948</v>
      </c>
      <c r="CF219" s="83">
        <f>(2*CO237)+(4*CO238)+(4*CO242)+(2*CO254)</f>
        <v>56452.751169032956</v>
      </c>
      <c r="CG219" s="3">
        <f>CE219-CF219</f>
        <v>0</v>
      </c>
      <c r="CK219" s="4"/>
      <c r="CL219" s="1" t="s">
        <v>560</v>
      </c>
      <c r="CM219" s="1" t="s">
        <v>561</v>
      </c>
      <c r="CN219" s="1" t="s">
        <v>563</v>
      </c>
      <c r="CO219" s="1" t="s">
        <v>85</v>
      </c>
      <c r="CP219" s="1" t="s">
        <v>667</v>
      </c>
      <c r="CQ219" s="1" t="s">
        <v>6</v>
      </c>
      <c r="CR219" s="1" t="s">
        <v>7</v>
      </c>
      <c r="CS219" s="1" t="s">
        <v>8</v>
      </c>
      <c r="CT219" s="1" t="s">
        <v>9</v>
      </c>
      <c r="CU219" s="1" t="s">
        <v>49</v>
      </c>
      <c r="CV219" s="1" t="s">
        <v>562</v>
      </c>
      <c r="CW219" s="1" t="s">
        <v>50</v>
      </c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70"/>
      <c r="X220" s="1" t="s">
        <v>15</v>
      </c>
      <c r="Y220" s="4">
        <f t="shared" si="111"/>
        <v>1.9547705753363356</v>
      </c>
      <c r="Z220" s="4">
        <v>4.3400000000000001E-2</v>
      </c>
      <c r="AA220" s="4">
        <f t="shared" si="112"/>
        <v>4.3400000000000001E-2</v>
      </c>
      <c r="AQ220" s="3" t="s">
        <v>29</v>
      </c>
      <c r="AR220" s="286">
        <f>(mol_O_Coal*AH210)+(3*AH211)+AH212+AH213+AH214+(3*AH215)+(2*AH216)</f>
        <v>710.31978673794947</v>
      </c>
      <c r="AS220" s="286">
        <f>(mol_O_Coal*BA210)+(3*BA211)+BA212+BA213+BA214+(3*BA215)+(2*BA216)</f>
        <v>710.31978673794947</v>
      </c>
      <c r="AT220" s="3">
        <f t="shared" si="113"/>
        <v>0</v>
      </c>
      <c r="BH220" s="4"/>
      <c r="BI220" s="4"/>
      <c r="BJ220" s="3" t="s">
        <v>29</v>
      </c>
      <c r="BK220" s="286">
        <f>(mol_O_Coal*BA210)+(3*BA211)+BA212+BA213+BA214+(3*BA215)+(2*BA216)</f>
        <v>710.31978673794947</v>
      </c>
      <c r="BL220" s="286">
        <f>(mol_O_Coal*BT210)+(3*BT211)+BT212+BT213+BT214+(3*BT215)+(2*BT216)</f>
        <v>710.31978673794947</v>
      </c>
      <c r="BM220" s="3">
        <f t="shared" si="114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(3*BT211)+(BT212)+BT213+BT214+(3*BT215)+(2*BT216)+(mol_O_Coal*'Ore-&gt;PI'!BT210)+(2*BT231)+(2*BT246)</f>
        <v>8845.0935937207087</v>
      </c>
      <c r="CF220" s="83">
        <f>(3*CO221)+CO222+CO223+CO224+(3*CO225)+(2*CO226)+CO239+(2*CO240) +(2*CO255)  +CO254</f>
        <v>8845.0935937207087</v>
      </c>
      <c r="CG220" s="3">
        <f t="shared" ref="CG220:CG227" si="115">CE220-CF220</f>
        <v>0</v>
      </c>
      <c r="CK220" s="4" t="s">
        <v>41</v>
      </c>
      <c r="CL220" s="1" t="s">
        <v>88</v>
      </c>
      <c r="CM220" s="4" t="s">
        <v>283</v>
      </c>
      <c r="CN220" s="2" t="s">
        <v>90</v>
      </c>
      <c r="CO220" s="2" t="s">
        <v>86</v>
      </c>
      <c r="CP220" s="1" t="s">
        <v>652</v>
      </c>
      <c r="CQ220" s="2" t="s">
        <v>95</v>
      </c>
      <c r="CR220" s="2" t="s">
        <v>25</v>
      </c>
      <c r="CS220" s="2" t="s">
        <v>98</v>
      </c>
      <c r="CT220" s="2" t="s">
        <v>95</v>
      </c>
      <c r="CU220" s="2" t="s">
        <v>95</v>
      </c>
      <c r="CV220" s="2" t="s">
        <v>94</v>
      </c>
      <c r="CW220" s="2" t="s">
        <v>92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70"/>
      <c r="X221" s="1" t="s">
        <v>17</v>
      </c>
      <c r="Y221" s="4">
        <f t="shared" si="111"/>
        <v>22.448333058701145</v>
      </c>
      <c r="Z221" s="4">
        <v>0.49840000000000001</v>
      </c>
      <c r="AA221" s="4">
        <f t="shared" si="112"/>
        <v>0.49840000000000001</v>
      </c>
      <c r="AQ221" s="3" t="s">
        <v>363</v>
      </c>
      <c r="AR221" s="83">
        <f>mol_N_Coal*AH210</f>
        <v>94.388190214463862</v>
      </c>
      <c r="AS221" s="83">
        <f>mol_N_Coal*BA210</f>
        <v>94.388190214463862</v>
      </c>
      <c r="AT221" s="3">
        <f t="shared" si="113"/>
        <v>0</v>
      </c>
      <c r="BJ221" s="3" t="s">
        <v>363</v>
      </c>
      <c r="BK221" s="83">
        <f>mol_N_Coal*BA210</f>
        <v>94.388190214463862</v>
      </c>
      <c r="BL221" s="83">
        <f>mol_N_Coal*BT210</f>
        <v>94.388190214463862</v>
      </c>
      <c r="BM221" s="3">
        <f t="shared" si="114"/>
        <v>0</v>
      </c>
      <c r="CD221" s="3" t="s">
        <v>363</v>
      </c>
      <c r="CE221" s="83">
        <f>(mol_N_Coal*'Ore-&gt;PI'!BT210)+(2*'Ore-&gt;PI'!BT232)+(2*BT247)</f>
        <v>30607.279331781556</v>
      </c>
      <c r="CF221" s="83">
        <f>(2*CO241)+(2*CO256)</f>
        <v>30607.279331781556</v>
      </c>
      <c r="CG221" s="3">
        <f t="shared" si="115"/>
        <v>0</v>
      </c>
      <c r="CJ221" s="364" t="s">
        <v>530</v>
      </c>
      <c r="CK221" s="62" t="s">
        <v>307</v>
      </c>
      <c r="CL221" s="62">
        <f>AA216*$CL$227</f>
        <v>6.8833679514092623</v>
      </c>
      <c r="CM221" s="62">
        <f>CL221/$CL$227</f>
        <v>0.37219999999999998</v>
      </c>
      <c r="CN221" s="62">
        <f>MW_Al2O3</f>
        <v>0.10196127799999999</v>
      </c>
      <c r="CO221" s="62">
        <f t="shared" ref="CO221:CO226" si="116">CL221/CN221</f>
        <v>67.509628031626505</v>
      </c>
      <c r="CP221" s="62">
        <f>h_Al2O3</f>
        <v>-16434.670424590011</v>
      </c>
      <c r="CQ221" s="62">
        <f>b_ch_Al2O3</f>
        <v>31.875999999999976</v>
      </c>
      <c r="CR221" s="62">
        <f t="shared" ref="CR221:CR226" si="117">CO221/$CO$227</f>
        <v>0.26393162595128805</v>
      </c>
      <c r="CS221" s="62">
        <f t="shared" ref="CS221:CS226" si="118">LN(CR221)</f>
        <v>-1.3320652019889558</v>
      </c>
      <c r="CT221" s="62">
        <f t="shared" ref="CT221:CT226" si="119">RT0*CS221</f>
        <v>-3.0250789129021771</v>
      </c>
      <c r="CU221" s="62">
        <f t="shared" ref="CU221:CU226" si="120">CT221+CQ221</f>
        <v>28.850921087097799</v>
      </c>
      <c r="CV221" s="62">
        <f t="shared" ref="CV221:CV226" si="121">CU221*CR221</f>
        <v>7.6146705127100249</v>
      </c>
      <c r="CW221" s="62">
        <f>CV221*$CO$227</f>
        <v>1947.7149509597818</v>
      </c>
    </row>
    <row r="222" spans="2:101" ht="16" thickBot="1" x14ac:dyDescent="0.25">
      <c r="B222" s="342" t="s">
        <v>490</v>
      </c>
      <c r="C222" s="342"/>
      <c r="D222" s="342"/>
      <c r="E222" s="342"/>
      <c r="F222" s="342"/>
      <c r="G222" s="342"/>
      <c r="H222" s="342"/>
      <c r="J222" s="4"/>
      <c r="K222" s="4"/>
      <c r="L222" s="4"/>
      <c r="M222" s="4"/>
      <c r="N222" s="4"/>
      <c r="O222" s="4"/>
      <c r="P222" s="4"/>
      <c r="Q222" s="204" t="s">
        <v>578</v>
      </c>
      <c r="R222" s="4"/>
      <c r="S222" s="4"/>
      <c r="T222" s="4"/>
      <c r="U222" s="50">
        <f>L227</f>
        <v>0.49224560722974403</v>
      </c>
      <c r="V222" s="48">
        <f>V227</f>
        <v>22393.370164784887</v>
      </c>
      <c r="X222" s="17" t="s">
        <v>19</v>
      </c>
      <c r="Y222" s="62">
        <f>($AE$210*0.157)/$AF$210</f>
        <v>45.040796666735844</v>
      </c>
      <c r="Z222" s="17">
        <f>SUM(Z216:Z221)</f>
        <v>0.99930000000000008</v>
      </c>
      <c r="AA222" s="17">
        <f>SUM(AA216:AA221)</f>
        <v>1</v>
      </c>
      <c r="AQ222" s="3" t="s">
        <v>311</v>
      </c>
      <c r="AR222" s="83">
        <f>2*AH211</f>
        <v>135.01925606325301</v>
      </c>
      <c r="AS222" s="83">
        <f>2*BA211</f>
        <v>135.01925606325301</v>
      </c>
      <c r="AT222" s="3">
        <f t="shared" si="113"/>
        <v>0</v>
      </c>
      <c r="BJ222" s="3" t="s">
        <v>311</v>
      </c>
      <c r="BK222" s="83">
        <f>2*BA211</f>
        <v>135.01925606325301</v>
      </c>
      <c r="BL222" s="83">
        <f>2*BT211</f>
        <v>135.01925606325301</v>
      </c>
      <c r="BM222" s="3">
        <f t="shared" si="114"/>
        <v>0</v>
      </c>
      <c r="CD222" s="3" t="s">
        <v>311</v>
      </c>
      <c r="CE222" s="83">
        <f>2*BT211</f>
        <v>135.01925606325301</v>
      </c>
      <c r="CF222" s="83">
        <f>2*CO221</f>
        <v>135.01925606325301</v>
      </c>
      <c r="CG222" s="3">
        <f t="shared" si="115"/>
        <v>0</v>
      </c>
      <c r="CJ222" s="364"/>
      <c r="CK222" s="4" t="s">
        <v>123</v>
      </c>
      <c r="CL222" s="4">
        <f>Z217*$CL$227</f>
        <v>1.2908626625694963</v>
      </c>
      <c r="CM222" s="4">
        <f t="shared" ref="CM222:CM226" si="122">CL222/$CL$227</f>
        <v>6.9800000000000001E-2</v>
      </c>
      <c r="CN222" s="4">
        <f>MW_CaO</f>
        <v>5.6077400000000006E-2</v>
      </c>
      <c r="CO222" s="4">
        <f t="shared" si="116"/>
        <v>23.019303009224682</v>
      </c>
      <c r="CP222" s="4">
        <f>h_CaO</f>
        <v>-11321.85158370395</v>
      </c>
      <c r="CQ222" s="4">
        <f>b_ch_CaO</f>
        <v>122.25799999999992</v>
      </c>
      <c r="CR222" s="4">
        <f t="shared" si="117"/>
        <v>8.9994897744716112E-2</v>
      </c>
      <c r="CS222" s="4">
        <f t="shared" si="118"/>
        <v>-2.4080023019842853</v>
      </c>
      <c r="CT222" s="4">
        <f t="shared" si="119"/>
        <v>-5.4684988205351805</v>
      </c>
      <c r="CU222" s="4">
        <f t="shared" si="120"/>
        <v>116.78950117946475</v>
      </c>
      <c r="CV222" s="4">
        <f t="shared" si="121"/>
        <v>10.510459216302332</v>
      </c>
      <c r="CW222" s="4">
        <f t="shared" ref="CW222:CW226" si="123">CV222*$CO$227</f>
        <v>2688.4129159463023</v>
      </c>
    </row>
    <row r="223" spans="2:101" x14ac:dyDescent="0.2">
      <c r="B223" s="343"/>
      <c r="C223" s="343"/>
      <c r="D223" s="343"/>
      <c r="E223" s="343"/>
      <c r="F223" s="343"/>
      <c r="G223" s="343"/>
      <c r="H223" s="343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AQ223" s="3" t="s">
        <v>31</v>
      </c>
      <c r="AR223" s="287">
        <f>AH212</f>
        <v>23.019303009224682</v>
      </c>
      <c r="AS223" s="287">
        <f>BA212</f>
        <v>23.019303009224682</v>
      </c>
      <c r="AT223" s="3">
        <f t="shared" si="113"/>
        <v>0</v>
      </c>
      <c r="BJ223" s="3" t="s">
        <v>31</v>
      </c>
      <c r="BK223" s="287">
        <f>BA212</f>
        <v>23.019303009224682</v>
      </c>
      <c r="BL223" s="287">
        <f>BT212</f>
        <v>23.019303009224682</v>
      </c>
      <c r="BM223" s="3">
        <f t="shared" si="114"/>
        <v>0</v>
      </c>
      <c r="BN223" s="25"/>
      <c r="CA223" s="63" t="s">
        <v>1</v>
      </c>
      <c r="CB223" s="58" t="s">
        <v>0</v>
      </c>
      <c r="CD223" s="3" t="s">
        <v>31</v>
      </c>
      <c r="CE223" s="83">
        <f>BT212</f>
        <v>23.019303009224682</v>
      </c>
      <c r="CF223" s="83">
        <f>CO222</f>
        <v>23.019303009224682</v>
      </c>
      <c r="CG223" s="3">
        <f t="shared" si="115"/>
        <v>0</v>
      </c>
      <c r="CJ223" s="364"/>
      <c r="CK223" s="4" t="s">
        <v>179</v>
      </c>
      <c r="CL223" s="4">
        <f>Z218*$CL$227</f>
        <v>0.22932230681750362</v>
      </c>
      <c r="CM223" s="4">
        <f t="shared" si="122"/>
        <v>1.24E-2</v>
      </c>
      <c r="CN223" s="4">
        <f>MW_MgO</f>
        <v>4.0304400000000004E-2</v>
      </c>
      <c r="CO223" s="4">
        <f t="shared" si="116"/>
        <v>5.6897586074350093</v>
      </c>
      <c r="CP223" s="4">
        <f>h_MgO</f>
        <v>-14926.410019749705</v>
      </c>
      <c r="CQ223" s="4">
        <f>b_ch_MgO</f>
        <v>62.576000000000022</v>
      </c>
      <c r="CR223" s="4">
        <f t="shared" si="117"/>
        <v>2.2244341797101112E-2</v>
      </c>
      <c r="CS223" s="4">
        <f t="shared" si="118"/>
        <v>-3.8056676039638173</v>
      </c>
      <c r="CT223" s="4">
        <f t="shared" si="119"/>
        <v>-8.6425535334728654</v>
      </c>
      <c r="CU223" s="4">
        <f t="shared" si="120"/>
        <v>53.933446466527158</v>
      </c>
      <c r="CV223" s="4">
        <f t="shared" si="121"/>
        <v>1.1997140174970853</v>
      </c>
      <c r="CW223" s="4">
        <f t="shared" si="123"/>
        <v>306.86829126155817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322</v>
      </c>
      <c r="H224" s="13" t="s">
        <v>316</v>
      </c>
      <c r="J224" s="4"/>
      <c r="K224" s="3" t="s">
        <v>566</v>
      </c>
      <c r="L224" s="1" t="s">
        <v>560</v>
      </c>
      <c r="M224" s="3" t="s">
        <v>5</v>
      </c>
      <c r="N224" s="1" t="s">
        <v>85</v>
      </c>
      <c r="O224" s="1" t="s">
        <v>667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562</v>
      </c>
      <c r="V224" s="1" t="s">
        <v>50</v>
      </c>
      <c r="Y224" s="3" t="s">
        <v>310</v>
      </c>
      <c r="AQ224" s="3" t="s">
        <v>312</v>
      </c>
      <c r="AR224" s="288">
        <f>AH213</f>
        <v>5.6897586074350093</v>
      </c>
      <c r="AS224" s="288">
        <f>BA213</f>
        <v>5.6897586074350093</v>
      </c>
      <c r="AT224" s="3">
        <f t="shared" si="113"/>
        <v>0</v>
      </c>
      <c r="BJ224" s="3" t="s">
        <v>312</v>
      </c>
      <c r="BK224" s="288">
        <f>BA213</f>
        <v>5.6897586074350093</v>
      </c>
      <c r="BL224" s="288">
        <f>BT213</f>
        <v>5.6897586074350093</v>
      </c>
      <c r="BM224" s="3">
        <f t="shared" si="114"/>
        <v>0</v>
      </c>
      <c r="BN224" s="1"/>
      <c r="CA224" s="65" t="s">
        <v>89</v>
      </c>
      <c r="CB224" s="64" t="s">
        <v>93</v>
      </c>
      <c r="CD224" s="3" t="s">
        <v>312</v>
      </c>
      <c r="CE224" s="83">
        <f>BT213</f>
        <v>5.6897586074350093</v>
      </c>
      <c r="CF224" s="83">
        <f>CO223</f>
        <v>5.6897586074350093</v>
      </c>
      <c r="CG224" s="3">
        <f t="shared" si="115"/>
        <v>0</v>
      </c>
      <c r="CJ224" s="364"/>
      <c r="CK224" s="4" t="s">
        <v>308</v>
      </c>
      <c r="CL224" s="4">
        <f>Z219*$CL$227</f>
        <v>7.0276190798912411E-2</v>
      </c>
      <c r="CM224" s="4">
        <f t="shared" si="122"/>
        <v>3.8000000000000004E-3</v>
      </c>
      <c r="CN224" s="4">
        <f>MW_Na2O</f>
        <v>6.1978936000000005E-2</v>
      </c>
      <c r="CO224" s="4">
        <f t="shared" si="116"/>
        <v>1.1338721722959622</v>
      </c>
      <c r="CP224" s="4">
        <f>h_Na2O</f>
        <v>-6682.9156279804474</v>
      </c>
      <c r="CQ224" s="4">
        <f>b_ch_Na2O</f>
        <v>298.64000000000004</v>
      </c>
      <c r="CR224" s="4">
        <f t="shared" si="117"/>
        <v>4.4329191965743692E-3</v>
      </c>
      <c r="CS224" s="4">
        <f t="shared" si="118"/>
        <v>-5.4186969510924596</v>
      </c>
      <c r="CT224" s="4">
        <f t="shared" si="119"/>
        <v>-12.305693338195185</v>
      </c>
      <c r="CU224" s="4">
        <f t="shared" si="120"/>
        <v>286.33430666180487</v>
      </c>
      <c r="CV224" s="4">
        <f t="shared" si="121"/>
        <v>1.269296844638927</v>
      </c>
      <c r="CW224" s="4">
        <f t="shared" si="123"/>
        <v>324.66650229747881</v>
      </c>
    </row>
    <row r="225" spans="2:160" ht="19" thickBot="1" x14ac:dyDescent="0.3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565</v>
      </c>
      <c r="L225" s="1" t="s">
        <v>88</v>
      </c>
      <c r="M225" s="1" t="s">
        <v>90</v>
      </c>
      <c r="N225" s="1" t="s">
        <v>86</v>
      </c>
      <c r="O225" s="1" t="s">
        <v>652</v>
      </c>
      <c r="P225" s="1" t="s">
        <v>652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Y225" s="16" t="s">
        <v>309</v>
      </c>
      <c r="AE225" s="4"/>
      <c r="AF225" s="4"/>
      <c r="AO225" s="63" t="s">
        <v>1</v>
      </c>
      <c r="AP225" s="58" t="s">
        <v>0</v>
      </c>
      <c r="AQ225" s="3" t="s">
        <v>313</v>
      </c>
      <c r="AR225" s="83">
        <f>2*AH214</f>
        <v>2.2677443445919243</v>
      </c>
      <c r="AS225" s="83">
        <f>2*BA214</f>
        <v>2.2677443445919243</v>
      </c>
      <c r="AT225" s="3">
        <f t="shared" si="113"/>
        <v>0</v>
      </c>
      <c r="BJ225" s="3" t="s">
        <v>313</v>
      </c>
      <c r="BK225" s="83">
        <f>2*BA214</f>
        <v>2.2677443445919243</v>
      </c>
      <c r="BL225" s="83">
        <f>2*BT214</f>
        <v>2.2677443445919243</v>
      </c>
      <c r="BM225" s="3">
        <f t="shared" si="114"/>
        <v>0</v>
      </c>
      <c r="BW225" s="3" t="s">
        <v>528</v>
      </c>
      <c r="CA225" s="50">
        <f>BQ233</f>
        <v>10.437401363720047</v>
      </c>
      <c r="CB225" s="48">
        <f>CB233</f>
        <v>891683.71589033271</v>
      </c>
      <c r="CD225" s="3" t="s">
        <v>313</v>
      </c>
      <c r="CE225" s="83">
        <f>2*BT214</f>
        <v>2.2677443445919243</v>
      </c>
      <c r="CF225" s="83">
        <f>2*CO224</f>
        <v>2.2677443445919243</v>
      </c>
      <c r="CG225" s="3">
        <f t="shared" si="115"/>
        <v>0</v>
      </c>
      <c r="CJ225" s="364"/>
      <c r="CK225" s="1" t="s">
        <v>15</v>
      </c>
      <c r="CL225" s="4">
        <f>Z220*$CL$227</f>
        <v>0.80262807386126278</v>
      </c>
      <c r="CM225" s="4">
        <f t="shared" si="122"/>
        <v>4.3400000000000001E-2</v>
      </c>
      <c r="CN225" s="4">
        <f>MW_Fe2O3</f>
        <v>0.1596882</v>
      </c>
      <c r="CO225" s="4">
        <f t="shared" si="116"/>
        <v>5.0262203084590018</v>
      </c>
      <c r="CP225" s="4">
        <f>h_Fe2O3</f>
        <v>-5161.3080991582347</v>
      </c>
      <c r="CQ225" s="4">
        <f>b_ch_Fe2O3</f>
        <v>17.358400000000074</v>
      </c>
      <c r="CR225" s="4">
        <f t="shared" si="117"/>
        <v>1.9650211933911133E-2</v>
      </c>
      <c r="CS225" s="4">
        <f t="shared" si="118"/>
        <v>-3.929667155284259</v>
      </c>
      <c r="CT225" s="4">
        <f t="shared" si="119"/>
        <v>-8.9241526829354534</v>
      </c>
      <c r="CU225" s="4">
        <f t="shared" si="120"/>
        <v>8.4342473170646208</v>
      </c>
      <c r="CV225" s="4">
        <f t="shared" si="121"/>
        <v>0.16573474728334117</v>
      </c>
      <c r="CW225" s="4">
        <f t="shared" si="123"/>
        <v>42.392385151596045</v>
      </c>
      <c r="DB225" s="16" t="s">
        <v>636</v>
      </c>
    </row>
    <row r="226" spans="2:160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17252.753803049429</v>
      </c>
      <c r="G226" s="13">
        <v>1.06</v>
      </c>
      <c r="H226" s="13">
        <f>F226*G226</f>
        <v>18287.919031232395</v>
      </c>
      <c r="I226" s="282" t="s">
        <v>578</v>
      </c>
      <c r="J226" s="96" t="s">
        <v>493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LHV_Diesel</f>
        <v>42600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22393.370164784887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10.052440616918004</v>
      </c>
      <c r="AS226" s="83">
        <f>2*BA215</f>
        <v>10.052440616918004</v>
      </c>
      <c r="AT226" s="3">
        <f t="shared" si="113"/>
        <v>0</v>
      </c>
      <c r="BJ226" s="3" t="s">
        <v>16</v>
      </c>
      <c r="BK226" s="83">
        <f>2*BA215</f>
        <v>10.052440616918004</v>
      </c>
      <c r="BL226" s="83">
        <f>2*BT215</f>
        <v>10.052440616918004</v>
      </c>
      <c r="BM226" s="3">
        <f t="shared" si="114"/>
        <v>0</v>
      </c>
      <c r="CD226" s="3" t="s">
        <v>16</v>
      </c>
      <c r="CE226" s="83">
        <f>2*BT215</f>
        <v>10.052440616918004</v>
      </c>
      <c r="CF226" s="83">
        <f>2*CO225</f>
        <v>10.052440616918004</v>
      </c>
      <c r="CG226" s="3">
        <f t="shared" si="115"/>
        <v>0</v>
      </c>
      <c r="CJ226" s="364"/>
      <c r="CK226" s="1" t="s">
        <v>17</v>
      </c>
      <c r="CL226" s="4">
        <f>Z221*$CL$227</f>
        <v>9.2172772353099859</v>
      </c>
      <c r="CM226" s="4">
        <f t="shared" si="122"/>
        <v>0.49840000000000007</v>
      </c>
      <c r="CN226" s="3">
        <f>MW_SIO2</f>
        <v>6.00843E-2</v>
      </c>
      <c r="CO226" s="4">
        <f t="shared" si="116"/>
        <v>153.40575217336286</v>
      </c>
      <c r="CP226" s="4">
        <f>h_SiO2</f>
        <v>-15157.037695371337</v>
      </c>
      <c r="CQ226" s="3">
        <f>b_ch_SiO2</f>
        <v>1.5260000000000673</v>
      </c>
      <c r="CR226" s="4">
        <f t="shared" si="117"/>
        <v>0.59974600337640915</v>
      </c>
      <c r="CS226" s="4">
        <f t="shared" si="118"/>
        <v>-0.51124904110044445</v>
      </c>
      <c r="CT226" s="4">
        <f t="shared" si="119"/>
        <v>-1.1610307747437392</v>
      </c>
      <c r="CU226" s="4">
        <f t="shared" si="120"/>
        <v>0.36496922525632813</v>
      </c>
      <c r="CV226" s="4">
        <f t="shared" si="121"/>
        <v>0.2188888342028672</v>
      </c>
      <c r="CW226" s="4">
        <f t="shared" si="123"/>
        <v>55.988378520576518</v>
      </c>
      <c r="CY226" s="354" t="s">
        <v>440</v>
      </c>
      <c r="CZ226" s="354"/>
      <c r="DA226" s="354"/>
      <c r="DB226" s="354"/>
      <c r="DC226" s="354"/>
      <c r="DD226" s="354"/>
    </row>
    <row r="227" spans="2:160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>
        <f>SUM(O226)</f>
        <v>42600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22393.370164784887</v>
      </c>
      <c r="AC227" s="1"/>
      <c r="AD227" s="1"/>
      <c r="AE227" s="1"/>
      <c r="AH227" s="4"/>
      <c r="AI227" s="4"/>
      <c r="AJ227" s="4"/>
      <c r="AK227" s="3" t="s">
        <v>525</v>
      </c>
      <c r="AO227" s="50">
        <f>AE234</f>
        <v>7.6637473118485584</v>
      </c>
      <c r="AP227" s="48">
        <f>AP234</f>
        <v>575.29559740969785</v>
      </c>
      <c r="AQ227" s="3" t="s">
        <v>30</v>
      </c>
      <c r="AR227" s="288">
        <f>AH216</f>
        <v>153.40575217336286</v>
      </c>
      <c r="AS227" s="288">
        <f>BA216</f>
        <v>153.40575217336286</v>
      </c>
      <c r="AT227" s="3">
        <f t="shared" si="113"/>
        <v>0</v>
      </c>
      <c r="BJ227" s="3" t="s">
        <v>30</v>
      </c>
      <c r="BK227" s="288">
        <f>BA216</f>
        <v>153.40575217336286</v>
      </c>
      <c r="BL227" s="288">
        <f>BT216</f>
        <v>153.40575217336286</v>
      </c>
      <c r="BM227" s="3">
        <f t="shared" si="114"/>
        <v>0</v>
      </c>
      <c r="BN227" s="1"/>
      <c r="BP227" s="4"/>
      <c r="BQ227" s="1" t="s">
        <v>560</v>
      </c>
      <c r="BR227" s="1" t="s">
        <v>561</v>
      </c>
      <c r="BS227" s="1" t="s">
        <v>563</v>
      </c>
      <c r="BT227" s="1" t="s">
        <v>85</v>
      </c>
      <c r="BU227" s="1" t="s">
        <v>667</v>
      </c>
      <c r="BV227" s="1" t="s">
        <v>6</v>
      </c>
      <c r="BW227" s="1" t="s">
        <v>7</v>
      </c>
      <c r="BX227" s="1" t="s">
        <v>8</v>
      </c>
      <c r="BY227" s="1" t="s">
        <v>9</v>
      </c>
      <c r="BZ227" s="1" t="s">
        <v>49</v>
      </c>
      <c r="CA227" s="1" t="s">
        <v>562</v>
      </c>
      <c r="CB227" s="1" t="s">
        <v>50</v>
      </c>
      <c r="CD227" s="3" t="s">
        <v>30</v>
      </c>
      <c r="CE227" s="83">
        <f>BT216</f>
        <v>153.40575217336286</v>
      </c>
      <c r="CF227" s="83">
        <f>CO226</f>
        <v>153.40575217336286</v>
      </c>
      <c r="CG227" s="3">
        <f t="shared" si="115"/>
        <v>0</v>
      </c>
      <c r="CK227" s="62" t="s">
        <v>19</v>
      </c>
      <c r="CL227" s="62">
        <f>Ash_in_coal</f>
        <v>18.493734420766422</v>
      </c>
      <c r="CM227" s="62">
        <f>SUM(CM221:CM226)</f>
        <v>1</v>
      </c>
      <c r="CN227" s="62">
        <f>SUM(CN221:CN226)</f>
        <v>0.48009451399999997</v>
      </c>
      <c r="CO227" s="62">
        <f>SUM(CO221:CO226)</f>
        <v>255.78453430240404</v>
      </c>
      <c r="CP227" s="62">
        <f>SUM(CP221:CP226)</f>
        <v>-69684.193450553677</v>
      </c>
      <c r="CQ227" s="17"/>
      <c r="CR227" s="62">
        <f>SUM(CR221:CR226)</f>
        <v>1</v>
      </c>
      <c r="CS227" s="17"/>
      <c r="CT227" s="17"/>
      <c r="CU227" s="17"/>
      <c r="CV227" s="62">
        <f>SUM(CV221:CV226)</f>
        <v>20.97876417263458</v>
      </c>
      <c r="CW227" s="62">
        <f>SUM(CW221:CW226)</f>
        <v>5366.0434241372932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322</v>
      </c>
      <c r="DD227" s="13" t="s">
        <v>316</v>
      </c>
    </row>
    <row r="228" spans="2:160" ht="18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668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 t="s">
        <v>41</v>
      </c>
      <c r="BQ228" s="1" t="s">
        <v>88</v>
      </c>
      <c r="BR228" s="4" t="s">
        <v>283</v>
      </c>
      <c r="BS228" s="2" t="s">
        <v>90</v>
      </c>
      <c r="BT228" s="2" t="s">
        <v>86</v>
      </c>
      <c r="BU228" s="1" t="s">
        <v>652</v>
      </c>
      <c r="BV228" s="2" t="s">
        <v>95</v>
      </c>
      <c r="BW228" s="2" t="s">
        <v>25</v>
      </c>
      <c r="BX228" s="2" t="s">
        <v>98</v>
      </c>
      <c r="BY228" s="2" t="s">
        <v>95</v>
      </c>
      <c r="BZ228" s="2" t="s">
        <v>95</v>
      </c>
      <c r="CA228" s="2" t="s">
        <v>94</v>
      </c>
      <c r="CB228" s="2" t="s">
        <v>92</v>
      </c>
      <c r="CL228" s="1" t="s">
        <v>89</v>
      </c>
      <c r="CM228" s="1"/>
      <c r="CN228" s="3" t="s">
        <v>91</v>
      </c>
      <c r="CO228" s="3" t="s">
        <v>87</v>
      </c>
      <c r="CP228" s="1" t="s">
        <v>668</v>
      </c>
      <c r="CQ228" s="4"/>
      <c r="CR228" s="4"/>
      <c r="CV228" s="3" t="s">
        <v>96</v>
      </c>
      <c r="CW228" s="1" t="s">
        <v>93</v>
      </c>
      <c r="CY228" s="61" t="s">
        <v>98</v>
      </c>
      <c r="CZ228" s="13" t="s">
        <v>572</v>
      </c>
      <c r="DA228" s="13" t="s">
        <v>458</v>
      </c>
      <c r="DB228" s="13" t="s">
        <v>48</v>
      </c>
      <c r="DC228" s="34" t="s">
        <v>98</v>
      </c>
      <c r="DD228" s="13" t="s">
        <v>48</v>
      </c>
    </row>
    <row r="229" spans="2:16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D229" s="4"/>
      <c r="AE229" s="1" t="s">
        <v>560</v>
      </c>
      <c r="AF229" s="1" t="s">
        <v>561</v>
      </c>
      <c r="AG229" s="1" t="s">
        <v>563</v>
      </c>
      <c r="AH229" s="1" t="s">
        <v>85</v>
      </c>
      <c r="AI229" s="1" t="s">
        <v>667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562</v>
      </c>
      <c r="AP229" s="1" t="s">
        <v>50</v>
      </c>
      <c r="BO229" s="348" t="s">
        <v>537</v>
      </c>
      <c r="BP229" s="17" t="s">
        <v>66</v>
      </c>
      <c r="BQ229" s="17">
        <f>H2_to_coke_oven</f>
        <v>5.8592015710173317</v>
      </c>
      <c r="BR229" s="17">
        <f>BQ229/$BQ$233</f>
        <v>0.56136593456908357</v>
      </c>
      <c r="BS229" s="17">
        <f>MW_H*2</f>
        <v>2.0158800000000003E-3</v>
      </c>
      <c r="BT229" s="17">
        <f>BQ229/BS229</f>
        <v>2906.5229929446846</v>
      </c>
      <c r="BU229" s="17">
        <f>h_H2</f>
        <v>0</v>
      </c>
      <c r="BV229" s="17">
        <f>b_ch_H2</f>
        <v>236.1</v>
      </c>
      <c r="BW229" s="17">
        <f>BT229/$BT$233</f>
        <v>0.91544766952145873</v>
      </c>
      <c r="BX229" s="17">
        <f>LN(BW229)</f>
        <v>-8.8342077045854117E-2</v>
      </c>
      <c r="BY229" s="17">
        <f>RT0*BX229</f>
        <v>-0.20062212720095396</v>
      </c>
      <c r="BZ229" s="17">
        <f>BV229+BY229</f>
        <v>235.89937787279905</v>
      </c>
      <c r="CA229" s="17">
        <f>BZ229*BW229</f>
        <v>215.95353571521585</v>
      </c>
      <c r="CB229" s="17">
        <f>CA229*$BT$233</f>
        <v>685646.96580863697</v>
      </c>
      <c r="CL229" s="1"/>
      <c r="CM229" s="1"/>
      <c r="CQ229" s="4"/>
      <c r="CR229" s="4"/>
      <c r="CW229" s="1"/>
      <c r="CY229" s="61" t="s">
        <v>265</v>
      </c>
      <c r="CZ229" s="13">
        <f>0.2</f>
        <v>0.2</v>
      </c>
      <c r="DA229" s="61">
        <f>CZ229*CV233</f>
        <v>13.916535151626732</v>
      </c>
      <c r="DB229" s="61">
        <f>3600*DA229</f>
        <v>50099.526545856235</v>
      </c>
      <c r="DC229" s="13">
        <v>1</v>
      </c>
      <c r="DD229" s="13">
        <f>DB229*DC229</f>
        <v>50099.526545856235</v>
      </c>
    </row>
    <row r="230" spans="2:160" ht="19" thickBot="1" x14ac:dyDescent="0.3">
      <c r="X230" s="4"/>
      <c r="Y230" s="3" t="s">
        <v>2</v>
      </c>
      <c r="Z230" s="3" t="s">
        <v>3</v>
      </c>
      <c r="AA230" s="132" t="s">
        <v>587</v>
      </c>
      <c r="AD230" s="4" t="s">
        <v>41</v>
      </c>
      <c r="AE230" s="1" t="s">
        <v>88</v>
      </c>
      <c r="AF230" s="4" t="s">
        <v>283</v>
      </c>
      <c r="AG230" s="2" t="s">
        <v>90</v>
      </c>
      <c r="AH230" s="2" t="s">
        <v>86</v>
      </c>
      <c r="AI230" s="1" t="s">
        <v>652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BO230" s="348"/>
      <c r="BP230" s="3" t="s">
        <v>65</v>
      </c>
      <c r="BQ230" s="3">
        <f>CH4_to_coke_oven</f>
        <v>4.0053644833975302</v>
      </c>
      <c r="BR230" s="3">
        <f>BQ230/$BQ$233</f>
        <v>0.3837511219334731</v>
      </c>
      <c r="BS230" s="3">
        <f>MW_CH4</f>
        <v>1.604276E-2</v>
      </c>
      <c r="BT230" s="3">
        <f>BQ230/BS230</f>
        <v>249.66804236911418</v>
      </c>
      <c r="BU230" s="3">
        <f>h_CH4</f>
        <v>1.604276E-2</v>
      </c>
      <c r="BV230" s="3">
        <f>b_ch_CH4</f>
        <v>831.8</v>
      </c>
      <c r="BW230" s="3">
        <f>BT230/$BT$233</f>
        <v>7.8636235837663701E-2</v>
      </c>
      <c r="BX230" s="3">
        <f>LN(BW230)</f>
        <v>-2.5429226700357286</v>
      </c>
      <c r="BY230" s="3">
        <f>RT0*BX230</f>
        <v>-5.7748988073406355</v>
      </c>
      <c r="BZ230" s="3">
        <f>BV230+BY230</f>
        <v>826.02510119265935</v>
      </c>
      <c r="CA230" s="3">
        <f>BZ230*BW230</f>
        <v>64.955504665215983</v>
      </c>
      <c r="CB230" s="3">
        <f>CA230*$BT$233</f>
        <v>206232.06996252068</v>
      </c>
    </row>
    <row r="231" spans="2:160" ht="18" customHeight="1" x14ac:dyDescent="0.25">
      <c r="X231" s="4"/>
      <c r="Y231" s="1" t="s">
        <v>589</v>
      </c>
      <c r="Z231" s="1" t="s">
        <v>589</v>
      </c>
      <c r="AA231" s="1" t="s">
        <v>589</v>
      </c>
      <c r="AC231" s="348" t="s">
        <v>525</v>
      </c>
      <c r="AD231" s="17" t="s">
        <v>23</v>
      </c>
      <c r="AE231" s="8">
        <f>CO2_out_Coal_Ext</f>
        <v>1.5537409026223474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35.304429982011904</v>
      </c>
      <c r="AI231" s="8">
        <f>h_CO2</f>
        <v>-8941.1903712354979</v>
      </c>
      <c r="AJ231" s="1">
        <f>b_ch_CO2</f>
        <v>19.900000000000034</v>
      </c>
      <c r="AK231" s="1">
        <f>AH231/$AH$234</f>
        <v>0.13297872340425534</v>
      </c>
      <c r="AL231" s="1">
        <f>LN(AK231)</f>
        <v>-2.0175661379617482</v>
      </c>
      <c r="AM231" s="1">
        <f>RT0*AL231</f>
        <v>-4.5818303565174672</v>
      </c>
      <c r="AN231" s="1">
        <f>AJ231+AM231</f>
        <v>15.318169643482566</v>
      </c>
      <c r="AO231" s="1">
        <f>AN231*AK231</f>
        <v>2.0369906440801286</v>
      </c>
      <c r="AP231" s="8">
        <f>$AH$234*AO231</f>
        <v>540.79924763091049</v>
      </c>
      <c r="BO231" s="348"/>
      <c r="BP231" s="239" t="s">
        <v>24</v>
      </c>
      <c r="BQ231" s="3">
        <f>O2_to_coke_oven</f>
        <v>0.37452468339450529</v>
      </c>
      <c r="BR231" s="3">
        <f>BQ231/$BQ$233</f>
        <v>3.5882943497443413E-2</v>
      </c>
      <c r="BS231" s="3">
        <f>MW_O2</f>
        <v>3.1998800000000001E-2</v>
      </c>
      <c r="BT231" s="3">
        <f>BQ231/BS231</f>
        <v>11.704335268650864</v>
      </c>
      <c r="BU231" s="3">
        <f>h_O2</f>
        <v>0</v>
      </c>
      <c r="BV231" s="3">
        <f>b_ch_O2</f>
        <v>4</v>
      </c>
      <c r="BW231" s="3">
        <f>BT231/$BT$233</f>
        <v>3.6864344341996287E-3</v>
      </c>
      <c r="BX231" s="3">
        <f>LN(BW231)</f>
        <v>-5.6030955660719171</v>
      </c>
      <c r="BY231" s="3">
        <f>RT0*BX231</f>
        <v>-12.724456894896331</v>
      </c>
      <c r="BZ231" s="3">
        <f>BV231+BY231</f>
        <v>-8.7244568948963312</v>
      </c>
      <c r="CA231" s="3">
        <f>BZ231*BW231</f>
        <v>-3.2162138317036203E-2</v>
      </c>
      <c r="CB231" s="3">
        <f>CA231*$BT$233</f>
        <v>-102.11396853475932</v>
      </c>
      <c r="CV231" s="63" t="s">
        <v>1</v>
      </c>
      <c r="CW231" s="58" t="s">
        <v>0</v>
      </c>
      <c r="DP231" s="63" t="s">
        <v>1</v>
      </c>
      <c r="DQ231" s="58" t="s">
        <v>0</v>
      </c>
      <c r="EW231" s="63" t="s">
        <v>1</v>
      </c>
      <c r="EX231" s="58" t="s">
        <v>0</v>
      </c>
    </row>
    <row r="232" spans="2:160" ht="18" x14ac:dyDescent="0.25">
      <c r="X232" s="4" t="s">
        <v>60</v>
      </c>
      <c r="Y232" s="3" t="s">
        <v>588</v>
      </c>
      <c r="Z232" s="3" t="s">
        <v>588</v>
      </c>
      <c r="AA232" s="3" t="s">
        <v>588</v>
      </c>
      <c r="AC232" s="348"/>
      <c r="AD232" s="3" t="s">
        <v>68</v>
      </c>
      <c r="AE232" s="1">
        <f>H2O_out_Coal_Ext</f>
        <v>0.60951839172607525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33.833412066094738</v>
      </c>
      <c r="AI232" s="1">
        <f>h_H2O</f>
        <v>-13421.939597941302</v>
      </c>
      <c r="AJ232" s="6">
        <f>b_ch_H2O</f>
        <v>9.5113440000000082</v>
      </c>
      <c r="AK232" s="1">
        <f>AH232/$AH$234</f>
        <v>0.12743794326241134</v>
      </c>
      <c r="AL232" s="1">
        <f t="shared" ref="AL232:AL233" si="124">LN(AK232)</f>
        <v>-2.0601257523805443</v>
      </c>
      <c r="AM232" s="1">
        <f>RT0*AL232</f>
        <v>-4.6784819257704671</v>
      </c>
      <c r="AN232" s="1">
        <f t="shared" ref="AN232:AN233" si="125">AJ232+AM232</f>
        <v>4.8328620742295412</v>
      </c>
      <c r="AO232" s="1">
        <f>AN232*AK232</f>
        <v>0.61589000281072381</v>
      </c>
      <c r="AP232" s="1">
        <f t="shared" ref="AP232:AP233" si="126">$AH$234*AO232</f>
        <v>163.51221401600938</v>
      </c>
      <c r="BO232" s="348"/>
      <c r="BP232" s="7" t="s">
        <v>67</v>
      </c>
      <c r="BQ232" s="3">
        <f>N2_to_coke_oven</f>
        <v>0.19831062591068094</v>
      </c>
      <c r="BR232" s="3">
        <f>BQ232/$BQ$233</f>
        <v>1.9000000000000003E-2</v>
      </c>
      <c r="BS232" s="3">
        <f>MW_N2</f>
        <v>2.801348E-2</v>
      </c>
      <c r="BT232" s="3">
        <f>BQ232/BS232</f>
        <v>7.0791142660847894</v>
      </c>
      <c r="BU232" s="3">
        <f>h_N2</f>
        <v>0</v>
      </c>
      <c r="BV232" s="3">
        <f>b_ch_N2</f>
        <v>0.7</v>
      </c>
      <c r="BW232" s="3">
        <f>BT232/$BT$233</f>
        <v>2.2296602066780094E-3</v>
      </c>
      <c r="BX232" s="3">
        <f>LN(BW232)</f>
        <v>-6.1059060788071502</v>
      </c>
      <c r="BY232" s="3">
        <f>RT0*BX232</f>
        <v>-13.866324032473202</v>
      </c>
      <c r="BZ232" s="3">
        <f>BV232+BY232</f>
        <v>-13.166324032473202</v>
      </c>
      <c r="CA232" s="3">
        <f>BZ232*BW232</f>
        <v>-2.9356428763433841E-2</v>
      </c>
      <c r="CB232" s="3">
        <f>CA232*$BT$233</f>
        <v>-93.205912290176059</v>
      </c>
      <c r="CV232" s="65" t="s">
        <v>89</v>
      </c>
      <c r="CW232" s="64" t="s">
        <v>93</v>
      </c>
      <c r="DP232" s="65" t="s">
        <v>89</v>
      </c>
      <c r="DQ232" s="64" t="s">
        <v>93</v>
      </c>
      <c r="EW232" s="65" t="s">
        <v>89</v>
      </c>
      <c r="EX232" s="64" t="s">
        <v>93</v>
      </c>
    </row>
    <row r="233" spans="2:160" ht="16" customHeight="1" thickBot="1" x14ac:dyDescent="0.3">
      <c r="X233" s="4" t="s">
        <v>18</v>
      </c>
      <c r="Y233" s="83">
        <f>(N210)+(12*N226)</f>
        <v>18251.889010994571</v>
      </c>
      <c r="Z233" s="83">
        <f>AH210+AH231</f>
        <v>18251.889010994571</v>
      </c>
      <c r="AA233" s="3">
        <f>Y233-Z233</f>
        <v>0</v>
      </c>
      <c r="AC233" s="348"/>
      <c r="AD233" s="7" t="s">
        <v>67</v>
      </c>
      <c r="AE233" s="28">
        <f>N2_in_Coal_Ext</f>
        <v>5.5004880175001354</v>
      </c>
      <c r="AF233" s="1">
        <f>AE233/AE234</f>
        <v>0.71772825925459338</v>
      </c>
      <c r="AG233" s="6">
        <f>MW_N2</f>
        <v>2.801348E-2</v>
      </c>
      <c r="AH233" s="1">
        <f>Diesel_N2_molcoeff*N226</f>
        <v>196.35147141662284</v>
      </c>
      <c r="AI233" s="1">
        <f>h_N2</f>
        <v>0</v>
      </c>
      <c r="AJ233" s="6">
        <f>MW_N2</f>
        <v>2.801348E-2</v>
      </c>
      <c r="AK233" s="1">
        <f>AH233/$AH$234</f>
        <v>0.73958333333333326</v>
      </c>
      <c r="AL233" s="1">
        <f t="shared" si="124"/>
        <v>-0.30166831442652092</v>
      </c>
      <c r="AM233" s="1">
        <f>RT0*AL233</f>
        <v>-0.68507942051171322</v>
      </c>
      <c r="AN233" s="1">
        <f t="shared" si="125"/>
        <v>-0.65706594051171319</v>
      </c>
      <c r="AO233" s="1">
        <f t="shared" ref="AO233" si="127">AN233*AK233</f>
        <v>-0.48595501850345452</v>
      </c>
      <c r="AP233" s="1">
        <f t="shared" si="126"/>
        <v>-129.01586423722205</v>
      </c>
      <c r="BP233" s="17" t="s">
        <v>19</v>
      </c>
      <c r="BQ233" s="17">
        <f>SUM(BQ229:BQ232)</f>
        <v>10.437401363720047</v>
      </c>
      <c r="BR233" s="17">
        <f>SUM(BR229:BR232)</f>
        <v>1</v>
      </c>
      <c r="BS233" s="17"/>
      <c r="BT233" s="17">
        <f>SUM(BT229:BT232)</f>
        <v>3174.9744848485343</v>
      </c>
      <c r="BU233" s="17">
        <f>SUM(BU229:BU232)</f>
        <v>1.604276E-2</v>
      </c>
      <c r="BV233" s="17">
        <f>SUM(BV229:BV232)</f>
        <v>1072.5999999999999</v>
      </c>
      <c r="BW233" s="17">
        <f>SUM(BW229:BW232)</f>
        <v>1</v>
      </c>
      <c r="BX233" s="17"/>
      <c r="BY233" s="17"/>
      <c r="BZ233" s="17"/>
      <c r="CA233" s="17">
        <f>SUM(CA229:CA232)</f>
        <v>280.84752181335136</v>
      </c>
      <c r="CB233" s="17">
        <f>SUM(CB229:CB232)</f>
        <v>891683.71589033271</v>
      </c>
      <c r="CR233" s="3" t="s">
        <v>531</v>
      </c>
      <c r="CV233" s="50">
        <f>CL243</f>
        <v>69.582675758133661</v>
      </c>
      <c r="CW233" s="48">
        <f>CW243</f>
        <v>5935408.0537775028</v>
      </c>
      <c r="CY233" s="344" t="s">
        <v>457</v>
      </c>
      <c r="CZ233" s="344"/>
      <c r="DA233" s="344"/>
      <c r="DB233" s="344"/>
      <c r="DC233" s="344"/>
      <c r="DL233" s="3" t="s">
        <v>528</v>
      </c>
      <c r="DP233" s="50">
        <f>DF241</f>
        <v>69.582675758133661</v>
      </c>
      <c r="DQ233" s="48">
        <f>DQ241</f>
        <v>5944558.1059355522</v>
      </c>
      <c r="ER233" s="3" t="s">
        <v>528</v>
      </c>
      <c r="EW233" s="50">
        <f>EM241</f>
        <v>10.437401363720047</v>
      </c>
      <c r="EX233" s="48">
        <f>EX241</f>
        <v>891683.71589033271</v>
      </c>
      <c r="EZ233" s="378" t="s">
        <v>422</v>
      </c>
      <c r="FA233" s="379"/>
      <c r="FB233" s="379"/>
      <c r="FC233" s="379"/>
      <c r="FD233" s="379"/>
    </row>
    <row r="234" spans="2:160" ht="18" customHeight="1" thickBot="1" x14ac:dyDescent="0.3">
      <c r="U234" s="63" t="s">
        <v>1</v>
      </c>
      <c r="V234" s="58" t="s">
        <v>0</v>
      </c>
      <c r="X234" s="3" t="s">
        <v>182</v>
      </c>
      <c r="Y234" s="286">
        <f>(mol_H_Coal*N210)+(23*N226)</f>
        <v>45479.121193237697</v>
      </c>
      <c r="Z234" s="286">
        <f>(mol_H_Coal*AH210)+(2*AH232)</f>
        <v>45479.121193237697</v>
      </c>
      <c r="AA234" s="3">
        <f t="shared" ref="AA234:AA242" si="128">Y234-Z234</f>
        <v>0</v>
      </c>
      <c r="AC234" s="348"/>
      <c r="AD234" s="17" t="s">
        <v>19</v>
      </c>
      <c r="AE234" s="1">
        <f>SUM(AE231:AE233)</f>
        <v>7.6637473118485584</v>
      </c>
      <c r="AF234" s="8">
        <f>SUM(AF231:AF233)</f>
        <v>1</v>
      </c>
      <c r="AG234" s="8">
        <f>SUM(AG231:AG233)</f>
        <v>9.0038560000000004E-2</v>
      </c>
      <c r="AH234" s="8">
        <f>SUM(AH231:AH233)</f>
        <v>265.48931346472949</v>
      </c>
      <c r="AI234" s="8">
        <f>SUM(AI231:AI233)</f>
        <v>-22363.1299691768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575.29559740969785</v>
      </c>
      <c r="BJ234" s="1"/>
      <c r="BK234" s="1"/>
      <c r="BL234" s="1"/>
      <c r="BM234" s="1"/>
      <c r="BN234" s="1"/>
      <c r="BQ234" s="1" t="s">
        <v>89</v>
      </c>
      <c r="BR234" s="1"/>
      <c r="BS234" s="3" t="s">
        <v>91</v>
      </c>
      <c r="BT234" s="3" t="s">
        <v>87</v>
      </c>
      <c r="BU234" s="1" t="s">
        <v>668</v>
      </c>
      <c r="BV234" s="4"/>
      <c r="BW234" s="4"/>
      <c r="CA234" s="3" t="s">
        <v>96</v>
      </c>
      <c r="CB234" s="1" t="s">
        <v>93</v>
      </c>
      <c r="CY234" s="344"/>
      <c r="CZ234" s="344"/>
      <c r="DA234" s="344"/>
      <c r="DB234" s="344"/>
      <c r="DC234" s="344"/>
      <c r="EZ234" s="379"/>
      <c r="FA234" s="379"/>
      <c r="FB234" s="379"/>
      <c r="FC234" s="379"/>
      <c r="FD234" s="379"/>
    </row>
    <row r="235" spans="2:160" ht="18" x14ac:dyDescent="0.25">
      <c r="U235" s="65" t="s">
        <v>89</v>
      </c>
      <c r="V235" s="64" t="s">
        <v>93</v>
      </c>
      <c r="X235" s="3" t="s">
        <v>29</v>
      </c>
      <c r="Y235" s="286">
        <f>(mol_O_Coal*N210)+(3*N211)+N212+N213+N214+(3*N215)+(2*N216)+(2*N240)</f>
        <v>814.76205876806807</v>
      </c>
      <c r="Z235" s="286">
        <f>(mol_O_Coal*AH210)+(3*AH211)+AH212+AH213+AH214+(3*AH215)+(2*AH216)+(2*AH231)+AH232</f>
        <v>814.76205876806807</v>
      </c>
      <c r="AA235" s="3">
        <f t="shared" si="128"/>
        <v>0</v>
      </c>
      <c r="AE235" s="1" t="s">
        <v>89</v>
      </c>
      <c r="AF235" s="1"/>
      <c r="AG235" s="3" t="s">
        <v>91</v>
      </c>
      <c r="AH235" s="3" t="s">
        <v>87</v>
      </c>
      <c r="AI235" s="1" t="s">
        <v>668</v>
      </c>
      <c r="AJ235" s="4"/>
      <c r="AK235" s="4"/>
      <c r="AO235" s="3" t="s">
        <v>96</v>
      </c>
      <c r="AP235" s="1" t="s">
        <v>93</v>
      </c>
      <c r="CK235" s="4"/>
      <c r="CL235" s="1" t="s">
        <v>560</v>
      </c>
      <c r="CM235" s="1" t="s">
        <v>561</v>
      </c>
      <c r="CN235" s="1" t="s">
        <v>563</v>
      </c>
      <c r="CO235" s="1" t="s">
        <v>85</v>
      </c>
      <c r="CP235" s="1" t="s">
        <v>667</v>
      </c>
      <c r="CQ235" s="1" t="s">
        <v>6</v>
      </c>
      <c r="CR235" s="1" t="s">
        <v>7</v>
      </c>
      <c r="CS235" s="1" t="s">
        <v>8</v>
      </c>
      <c r="CT235" s="1" t="s">
        <v>9</v>
      </c>
      <c r="CU235" s="1" t="s">
        <v>49</v>
      </c>
      <c r="CV235" s="1" t="s">
        <v>562</v>
      </c>
      <c r="CW235" s="1" t="s">
        <v>50</v>
      </c>
      <c r="CY235" s="22" t="s">
        <v>432</v>
      </c>
      <c r="CZ235" s="22" t="s">
        <v>480</v>
      </c>
      <c r="DA235" s="161" t="s">
        <v>337</v>
      </c>
      <c r="DB235" s="345" t="s">
        <v>344</v>
      </c>
      <c r="DC235" s="138" t="s">
        <v>317</v>
      </c>
      <c r="DE235" s="4"/>
      <c r="DF235" s="1" t="s">
        <v>560</v>
      </c>
      <c r="DG235" s="1" t="s">
        <v>561</v>
      </c>
      <c r="DH235" s="1" t="s">
        <v>563</v>
      </c>
      <c r="DI235" s="1" t="s">
        <v>85</v>
      </c>
      <c r="DJ235" s="1" t="s">
        <v>667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562</v>
      </c>
      <c r="DQ235" s="1" t="s">
        <v>50</v>
      </c>
      <c r="EL235" s="4"/>
      <c r="EM235" s="1" t="s">
        <v>560</v>
      </c>
      <c r="EN235" s="1" t="s">
        <v>561</v>
      </c>
      <c r="EO235" s="1" t="s">
        <v>563</v>
      </c>
      <c r="EP235" s="1" t="s">
        <v>85</v>
      </c>
      <c r="EQ235" s="1" t="s">
        <v>667</v>
      </c>
      <c r="ER235" s="1" t="s">
        <v>6</v>
      </c>
      <c r="ES235" s="1" t="s">
        <v>7</v>
      </c>
      <c r="ET235" s="1" t="s">
        <v>8</v>
      </c>
      <c r="EU235" s="1" t="s">
        <v>9</v>
      </c>
      <c r="EV235" s="1" t="s">
        <v>49</v>
      </c>
      <c r="EW235" s="1" t="s">
        <v>562</v>
      </c>
      <c r="EX235" s="1" t="s">
        <v>50</v>
      </c>
      <c r="EZ235" s="379"/>
      <c r="FA235" s="379"/>
      <c r="FB235" s="379"/>
      <c r="FC235" s="379"/>
      <c r="FD235" s="379"/>
    </row>
    <row r="236" spans="2:160" ht="19" thickBot="1" x14ac:dyDescent="0.3">
      <c r="Q236" s="3" t="s">
        <v>543</v>
      </c>
      <c r="U236" s="50">
        <f>K242</f>
        <v>7.1715017046188141</v>
      </c>
      <c r="V236" s="48">
        <f>V242</f>
        <v>56.138829759567599</v>
      </c>
      <c r="X236" s="3" t="s">
        <v>363</v>
      </c>
      <c r="Y236" s="83">
        <f>(mol_N_Coal*N210)+(2*N241)</f>
        <v>487.09113304770955</v>
      </c>
      <c r="Z236" s="83">
        <f>(mol_N_Coal*AH210)+(2*AH233)</f>
        <v>487.09113304770955</v>
      </c>
      <c r="AA236" s="3">
        <f t="shared" si="128"/>
        <v>0</v>
      </c>
      <c r="CK236" s="4" t="s">
        <v>41</v>
      </c>
      <c r="CL236" s="1" t="s">
        <v>88</v>
      </c>
      <c r="CM236" s="4" t="s">
        <v>283</v>
      </c>
      <c r="CN236" s="2" t="s">
        <v>90</v>
      </c>
      <c r="CO236" s="2" t="s">
        <v>86</v>
      </c>
      <c r="CP236" s="1" t="s">
        <v>652</v>
      </c>
      <c r="CQ236" s="2" t="s">
        <v>95</v>
      </c>
      <c r="CR236" s="2" t="s">
        <v>25</v>
      </c>
      <c r="CS236" s="2" t="s">
        <v>98</v>
      </c>
      <c r="CT236" s="2" t="s">
        <v>95</v>
      </c>
      <c r="CU236" s="2" t="s">
        <v>95</v>
      </c>
      <c r="CV236" s="2" t="s">
        <v>94</v>
      </c>
      <c r="CW236" s="2" t="s">
        <v>92</v>
      </c>
      <c r="CY236" s="213" t="s">
        <v>48</v>
      </c>
      <c r="CZ236" s="9" t="s">
        <v>48</v>
      </c>
      <c r="DA236" s="1" t="s">
        <v>89</v>
      </c>
      <c r="DB236" s="346"/>
      <c r="DC236" s="136" t="s">
        <v>82</v>
      </c>
      <c r="DE236" s="4" t="s">
        <v>41</v>
      </c>
      <c r="DF236" s="1" t="s">
        <v>88</v>
      </c>
      <c r="DG236" s="4" t="s">
        <v>283</v>
      </c>
      <c r="DH236" s="2" t="s">
        <v>90</v>
      </c>
      <c r="DI236" s="2" t="s">
        <v>86</v>
      </c>
      <c r="DJ236" s="1" t="s">
        <v>652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EL236" s="4" t="s">
        <v>41</v>
      </c>
      <c r="EM236" s="1" t="s">
        <v>88</v>
      </c>
      <c r="EN236" s="4" t="s">
        <v>283</v>
      </c>
      <c r="EO236" s="2" t="s">
        <v>90</v>
      </c>
      <c r="EP236" s="2" t="s">
        <v>86</v>
      </c>
      <c r="EQ236" s="1" t="s">
        <v>652</v>
      </c>
      <c r="ER236" s="2" t="s">
        <v>95</v>
      </c>
      <c r="ES236" s="2" t="s">
        <v>25</v>
      </c>
      <c r="ET236" s="2" t="s">
        <v>98</v>
      </c>
      <c r="EU236" s="2" t="s">
        <v>95</v>
      </c>
      <c r="EV236" s="2" t="s">
        <v>95</v>
      </c>
      <c r="EW236" s="2" t="s">
        <v>94</v>
      </c>
      <c r="EX236" s="2" t="s">
        <v>92</v>
      </c>
    </row>
    <row r="237" spans="2:160" ht="18" thickBot="1" x14ac:dyDescent="0.3">
      <c r="X237" s="3" t="s">
        <v>311</v>
      </c>
      <c r="Y237" s="83">
        <f>2*N211</f>
        <v>135.01925606325301</v>
      </c>
      <c r="Z237" s="83">
        <f>2*AH211</f>
        <v>135.01925606325301</v>
      </c>
      <c r="AA237" s="3">
        <f t="shared" si="128"/>
        <v>0</v>
      </c>
      <c r="CJ237" s="348" t="s">
        <v>531</v>
      </c>
      <c r="CK237" s="17" t="s">
        <v>66</v>
      </c>
      <c r="CL237" s="17">
        <f>$CL$243*CM237</f>
        <v>39.801290533652448</v>
      </c>
      <c r="CM237" s="17">
        <v>0.57199999999999995</v>
      </c>
      <c r="CN237" s="17">
        <f>MW_H*2</f>
        <v>2.0158800000000003E-3</v>
      </c>
      <c r="CO237" s="17">
        <f t="shared" ref="CO237:CO242" si="129">CL237/CN237</f>
        <v>19743.878868609463</v>
      </c>
      <c r="CP237" s="17">
        <f>h_H2</f>
        <v>0</v>
      </c>
      <c r="CQ237" s="17">
        <f>b_ch_H2</f>
        <v>236.1</v>
      </c>
      <c r="CR237" s="17">
        <f t="shared" ref="CR237:CR242" si="130">CO237/$CO$243</f>
        <v>0.92235600940319784</v>
      </c>
      <c r="CS237" s="17">
        <f t="shared" ref="CS237:CS242" si="131">LN(CR237)</f>
        <v>-8.0824002618162957E-2</v>
      </c>
      <c r="CT237" s="17">
        <f t="shared" ref="CT237:CT242" si="132">RT0*CS237</f>
        <v>-0.18354881248416716</v>
      </c>
      <c r="CU237" s="17">
        <f t="shared" ref="CU237:CU242" si="133">CQ237+CT237</f>
        <v>235.91645118751583</v>
      </c>
      <c r="CV237" s="17">
        <f t="shared" ref="CV237:CV242" si="134">CR237*CU237</f>
        <v>217.59895646988141</v>
      </c>
      <c r="CW237" s="17">
        <f>CV237*$CO$243</f>
        <v>4657905.8353585294</v>
      </c>
      <c r="CY237" s="104">
        <f>0</f>
        <v>0</v>
      </c>
      <c r="CZ237" s="99">
        <f>CW233+DD229-DQ233</f>
        <v>40949.47438780684</v>
      </c>
      <c r="DA237" s="141">
        <f>DP233-CV233</f>
        <v>0</v>
      </c>
      <c r="DB237" s="139" t="s">
        <v>341</v>
      </c>
      <c r="DC237" s="136">
        <f>((DI238*(DP238-CV242)))/DD229</f>
        <v>0.32384219142951498</v>
      </c>
      <c r="DD237" s="350" t="s">
        <v>528</v>
      </c>
      <c r="DE237" s="17" t="s">
        <v>66</v>
      </c>
      <c r="DF237" s="17">
        <f>H2_out_COtreatment</f>
        <v>39.061343806782212</v>
      </c>
      <c r="DG237" s="17">
        <f>DF237/$DF$241</f>
        <v>0.56136593456908346</v>
      </c>
      <c r="DH237" s="17">
        <f>MW_H*2</f>
        <v>2.0158800000000003E-3</v>
      </c>
      <c r="DI237" s="17">
        <f>DF237/DH237</f>
        <v>19376.819952964564</v>
      </c>
      <c r="DJ237" s="17">
        <f>h_H2</f>
        <v>0</v>
      </c>
      <c r="DK237" s="17">
        <f>b_ch_H2</f>
        <v>236.1</v>
      </c>
      <c r="DL237" s="17">
        <f>DI237/$DI$241</f>
        <v>0.91544766952145851</v>
      </c>
      <c r="DM237" s="17">
        <f>LN(DL237)</f>
        <v>-8.8342077045854353E-2</v>
      </c>
      <c r="DN237" s="17">
        <f>RT0*DM237</f>
        <v>-0.20062212720095451</v>
      </c>
      <c r="DO237" s="17">
        <f>DK237+DN237</f>
        <v>235.89937787279905</v>
      </c>
      <c r="DP237" s="17">
        <f>DO237*DL237</f>
        <v>215.95353571521579</v>
      </c>
      <c r="DQ237" s="17">
        <f>DP237*$DI$241</f>
        <v>4570979.7720575798</v>
      </c>
      <c r="EK237" s="377" t="s">
        <v>528</v>
      </c>
      <c r="EL237" s="17" t="s">
        <v>66</v>
      </c>
      <c r="EM237" s="17">
        <f>H2_to_coke_oven</f>
        <v>5.8592015710173317</v>
      </c>
      <c r="EN237" s="17">
        <f>EM237/$BQ$233</f>
        <v>0.56136593456908357</v>
      </c>
      <c r="EO237" s="17">
        <f>MW_H*2</f>
        <v>2.0158800000000003E-3</v>
      </c>
      <c r="EP237" s="17">
        <f>EM237/EO237</f>
        <v>2906.5229929446846</v>
      </c>
      <c r="EQ237" s="17">
        <f>h_H2</f>
        <v>0</v>
      </c>
      <c r="ER237" s="17">
        <f>b_ch_H2</f>
        <v>236.1</v>
      </c>
      <c r="ES237" s="17">
        <f>EP237/$BT$233</f>
        <v>0.91544766952145873</v>
      </c>
      <c r="ET237" s="17">
        <f>LN(ES237)</f>
        <v>-8.8342077045854117E-2</v>
      </c>
      <c r="EU237" s="17">
        <f>RT0*ET237</f>
        <v>-0.20062212720095396</v>
      </c>
      <c r="EV237" s="17">
        <f>ER237+EU237</f>
        <v>235.89937787279905</v>
      </c>
      <c r="EW237" s="17">
        <f>EV237*ES237</f>
        <v>215.95353571521585</v>
      </c>
      <c r="EX237" s="17">
        <f>EW237*$BT$233</f>
        <v>685646.96580863697</v>
      </c>
    </row>
    <row r="238" spans="2:160" ht="18" x14ac:dyDescent="0.25">
      <c r="E238" s="342" t="s">
        <v>523</v>
      </c>
      <c r="F238" s="342"/>
      <c r="G238" s="342"/>
      <c r="H238" s="342"/>
      <c r="J238" s="4"/>
      <c r="K238" s="1" t="s">
        <v>560</v>
      </c>
      <c r="L238" s="1" t="s">
        <v>561</v>
      </c>
      <c r="M238" s="1" t="s">
        <v>563</v>
      </c>
      <c r="N238" s="1" t="s">
        <v>85</v>
      </c>
      <c r="O238" s="1" t="s">
        <v>667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562</v>
      </c>
      <c r="V238" s="1" t="s">
        <v>50</v>
      </c>
      <c r="X238" s="3" t="s">
        <v>31</v>
      </c>
      <c r="Y238" s="287">
        <f>N212</f>
        <v>23.019303009224682</v>
      </c>
      <c r="Z238" s="287">
        <f>AH212</f>
        <v>23.019303009224682</v>
      </c>
      <c r="AA238" s="3">
        <f t="shared" si="128"/>
        <v>0</v>
      </c>
      <c r="CJ238" s="348"/>
      <c r="CK238" s="4" t="s">
        <v>371</v>
      </c>
      <c r="CL238" s="3">
        <f t="shared" ref="CL238:CL242" si="135">$CL$243*CM238</f>
        <v>1.3916535151626732</v>
      </c>
      <c r="CM238" s="3">
        <v>0.02</v>
      </c>
      <c r="CN238" s="3">
        <f>MW_C2H4</f>
        <v>2.8053759999999997E-2</v>
      </c>
      <c r="CO238" s="3">
        <f t="shared" si="129"/>
        <v>49.60666645621383</v>
      </c>
      <c r="CP238" s="3">
        <f>h_C2H4</f>
        <v>1867.8423141853357</v>
      </c>
      <c r="CQ238" s="3" cm="1">
        <f t="array" ref="CQ238">b_ch_C2H4</f>
        <v>1361.23</v>
      </c>
      <c r="CR238" s="3">
        <f t="shared" si="130"/>
        <v>2.3174274526721371E-3</v>
      </c>
      <c r="CS238" s="3">
        <f t="shared" si="131"/>
        <v>-6.0672975651470908</v>
      </c>
      <c r="CT238" s="3">
        <f t="shared" si="132"/>
        <v>-13.778645290954278</v>
      </c>
      <c r="CU238" s="3">
        <f t="shared" si="133"/>
        <v>1347.4513547090457</v>
      </c>
      <c r="CV238" s="3">
        <f t="shared" si="134"/>
        <v>3.1226207605430041</v>
      </c>
      <c r="CW238" s="3">
        <f t="shared" ref="CW238:CW242" si="136">CV238*$CO$243</f>
        <v>66842.569919025103</v>
      </c>
      <c r="CY238" s="4"/>
      <c r="CZ238" s="4"/>
      <c r="DB238" s="139" t="s">
        <v>639</v>
      </c>
      <c r="DC238" s="136">
        <f>DQ233/(CW233+DD229)</f>
        <v>0.99315856277211589</v>
      </c>
      <c r="DD238" s="350"/>
      <c r="DE238" s="3" t="s">
        <v>65</v>
      </c>
      <c r="DF238" s="3">
        <f>CH4_out_COtreatment</f>
        <v>26.702429889316871</v>
      </c>
      <c r="DG238" s="3">
        <f t="shared" ref="DG238:DG240" si="137">DF238/$DF$241</f>
        <v>0.38375112193347305</v>
      </c>
      <c r="DH238" s="3">
        <f>MW_CH4</f>
        <v>1.604276E-2</v>
      </c>
      <c r="DI238" s="3">
        <f t="shared" ref="DI238:DI240" si="138">DF238/DH238</f>
        <v>1664.4536157940947</v>
      </c>
      <c r="DJ238" s="3">
        <f>h_CH4</f>
        <v>1.604276E-2</v>
      </c>
      <c r="DK238" s="3">
        <f>b_ch_CH4</f>
        <v>831.8</v>
      </c>
      <c r="DL238" s="3">
        <f>DI238/$DI$241</f>
        <v>7.8636235837663701E-2</v>
      </c>
      <c r="DM238" s="3">
        <f t="shared" ref="DM238:DM240" si="139">LN(DL238)</f>
        <v>-2.5429226700357286</v>
      </c>
      <c r="DN238" s="3">
        <f>RT0*DM238</f>
        <v>-5.7748988073406355</v>
      </c>
      <c r="DO238" s="3">
        <f t="shared" ref="DO238:DO240" si="140">DK238+DN238</f>
        <v>826.02510119265935</v>
      </c>
      <c r="DP238" s="3">
        <f t="shared" ref="DP238:DP240" si="141">DO238*DL238</f>
        <v>64.955504665215983</v>
      </c>
      <c r="DQ238" s="3">
        <f t="shared" ref="DQ238:DQ240" si="142">DP238*$DI$241</f>
        <v>1374880.4664168048</v>
      </c>
      <c r="DW238" s="4"/>
      <c r="DX238" s="3" t="s">
        <v>2</v>
      </c>
      <c r="DY238" s="3" t="s">
        <v>3</v>
      </c>
      <c r="DZ238" s="132" t="s">
        <v>587</v>
      </c>
      <c r="EK238" s="377"/>
      <c r="EL238" s="3" t="s">
        <v>65</v>
      </c>
      <c r="EM238" s="3">
        <f>CH4_to_coke_oven</f>
        <v>4.0053644833975302</v>
      </c>
      <c r="EN238" s="3">
        <f>EM238/$BQ$233</f>
        <v>0.3837511219334731</v>
      </c>
      <c r="EO238" s="3">
        <f>MW_CH4</f>
        <v>1.604276E-2</v>
      </c>
      <c r="EP238" s="3">
        <f>EM238/EO238</f>
        <v>249.66804236911418</v>
      </c>
      <c r="EQ238" s="3">
        <f>h_CH4</f>
        <v>1.604276E-2</v>
      </c>
      <c r="ER238" s="3">
        <f>b_ch_CH4</f>
        <v>831.8</v>
      </c>
      <c r="ES238" s="3">
        <f>EP238/$BT$233</f>
        <v>7.8636235837663701E-2</v>
      </c>
      <c r="ET238" s="3">
        <f>LN(ES238)</f>
        <v>-2.5429226700357286</v>
      </c>
      <c r="EU238" s="3">
        <f>RT0*ET238</f>
        <v>-5.7748988073406355</v>
      </c>
      <c r="EV238" s="3">
        <f>ER238+EU238</f>
        <v>826.02510119265935</v>
      </c>
      <c r="EW238" s="3">
        <f>EV238*ES238</f>
        <v>64.955504665215983</v>
      </c>
      <c r="EX238" s="3">
        <f>EW238*$BT$233</f>
        <v>206232.06996252068</v>
      </c>
    </row>
    <row r="239" spans="2:160" ht="19" thickBot="1" x14ac:dyDescent="0.3">
      <c r="E239" s="342"/>
      <c r="F239" s="342"/>
      <c r="G239" s="342"/>
      <c r="H239" s="342"/>
      <c r="J239" s="4" t="s">
        <v>41</v>
      </c>
      <c r="K239" s="1" t="s">
        <v>88</v>
      </c>
      <c r="L239" s="4" t="s">
        <v>283</v>
      </c>
      <c r="M239" s="2" t="s">
        <v>90</v>
      </c>
      <c r="N239" s="2" t="s">
        <v>86</v>
      </c>
      <c r="O239" s="1" t="s">
        <v>652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X239" s="3" t="s">
        <v>312</v>
      </c>
      <c r="Y239" s="288">
        <f>N213</f>
        <v>5.6897586074350093</v>
      </c>
      <c r="Z239" s="288">
        <f>AH213</f>
        <v>5.6897586074350093</v>
      </c>
      <c r="AA239" s="3">
        <f t="shared" si="128"/>
        <v>0</v>
      </c>
      <c r="CJ239" s="348"/>
      <c r="CK239" s="3" t="s">
        <v>122</v>
      </c>
      <c r="CL239" s="3">
        <f t="shared" si="135"/>
        <v>3.1312204091160147</v>
      </c>
      <c r="CM239" s="3">
        <v>4.4999999999999998E-2</v>
      </c>
      <c r="CN239" s="3">
        <f>MW_CO</f>
        <v>2.8010399999999998E-2</v>
      </c>
      <c r="CO239" s="3">
        <f t="shared" si="129"/>
        <v>111.78777915045893</v>
      </c>
      <c r="CP239" s="3">
        <f>h_CO</f>
        <v>-3944.9632993459577</v>
      </c>
      <c r="CQ239" s="3">
        <f>b_ch_CO</f>
        <v>275.02296000000001</v>
      </c>
      <c r="CR239" s="3">
        <f t="shared" si="130"/>
        <v>5.2222833498636167E-3</v>
      </c>
      <c r="CS239" s="3">
        <f t="shared" si="131"/>
        <v>-5.254820549383771</v>
      </c>
      <c r="CT239" s="3">
        <f t="shared" si="132"/>
        <v>-11.933535093695568</v>
      </c>
      <c r="CU239" s="3">
        <f t="shared" si="133"/>
        <v>263.08942490630443</v>
      </c>
      <c r="CV239" s="3">
        <f t="shared" si="134"/>
        <v>1.3739275232133878</v>
      </c>
      <c r="CW239" s="3">
        <f t="shared" si="136"/>
        <v>29410.182528247205</v>
      </c>
      <c r="CY239" s="4"/>
      <c r="CZ239" s="4"/>
      <c r="DB239" s="140" t="s">
        <v>407</v>
      </c>
      <c r="DC239" s="137">
        <f>DQ238/(CW233+DD229)</f>
        <v>0.22970156631938118</v>
      </c>
      <c r="DD239" s="350"/>
      <c r="DE239" s="239" t="s">
        <v>24</v>
      </c>
      <c r="DF239" s="3">
        <f>O2_out_COtreatment</f>
        <v>2.4968312226300351</v>
      </c>
      <c r="DG239" s="3">
        <f t="shared" si="137"/>
        <v>3.5882943497443406E-2</v>
      </c>
      <c r="DH239" s="3">
        <f>MW_O2</f>
        <v>3.1998800000000001E-2</v>
      </c>
      <c r="DI239" s="3">
        <f t="shared" si="138"/>
        <v>78.028901791005751</v>
      </c>
      <c r="DJ239" s="3">
        <f>h_O2</f>
        <v>0</v>
      </c>
      <c r="DK239" s="3">
        <f>b_ch_O2</f>
        <v>4</v>
      </c>
      <c r="DL239" s="3">
        <f>DI239/$DI$241</f>
        <v>3.6864344341996274E-3</v>
      </c>
      <c r="DM239" s="3">
        <f t="shared" si="139"/>
        <v>-5.6030955660719179</v>
      </c>
      <c r="DN239" s="3">
        <f>RT0*DM239</f>
        <v>-12.724456894896333</v>
      </c>
      <c r="DO239" s="3">
        <f t="shared" si="140"/>
        <v>-8.724456894896333</v>
      </c>
      <c r="DP239" s="3">
        <f t="shared" si="141"/>
        <v>-3.2162138317036203E-2</v>
      </c>
      <c r="DQ239" s="3">
        <f t="shared" si="142"/>
        <v>-680.75979023172897</v>
      </c>
      <c r="DW239" s="4"/>
      <c r="DX239" s="1" t="s">
        <v>589</v>
      </c>
      <c r="DY239" s="1" t="s">
        <v>589</v>
      </c>
      <c r="DZ239" s="1" t="s">
        <v>589</v>
      </c>
      <c r="EK239" s="377"/>
      <c r="EL239" s="239" t="s">
        <v>24</v>
      </c>
      <c r="EM239" s="3">
        <f>O2_to_coke_oven</f>
        <v>0.37452468339450529</v>
      </c>
      <c r="EN239" s="3">
        <f>EM239/$BQ$233</f>
        <v>3.5882943497443413E-2</v>
      </c>
      <c r="EO239" s="3">
        <f>MW_O2</f>
        <v>3.1998800000000001E-2</v>
      </c>
      <c r="EP239" s="3">
        <f>EM239/EO239</f>
        <v>11.704335268650864</v>
      </c>
      <c r="EQ239" s="3">
        <f>h_O2</f>
        <v>0</v>
      </c>
      <c r="ER239" s="3">
        <f>b_ch_O2</f>
        <v>4</v>
      </c>
      <c r="ES239" s="3">
        <f>EP239/$BT$233</f>
        <v>3.6864344341996287E-3</v>
      </c>
      <c r="ET239" s="3">
        <f>LN(ES239)</f>
        <v>-5.6030955660719171</v>
      </c>
      <c r="EU239" s="3">
        <f>RT0*ET239</f>
        <v>-12.724456894896331</v>
      </c>
      <c r="EV239" s="3">
        <f>ER239+EU239</f>
        <v>-8.7244568948963312</v>
      </c>
      <c r="EW239" s="3">
        <f>EV239*ES239</f>
        <v>-3.2162138317036203E-2</v>
      </c>
      <c r="EX239" s="3">
        <f>EW239*$BT$233</f>
        <v>-102.11396853475932</v>
      </c>
    </row>
    <row r="240" spans="2:160" ht="18" customHeight="1" x14ac:dyDescent="0.25">
      <c r="I240" s="348" t="s">
        <v>529</v>
      </c>
      <c r="J240" s="8" t="s">
        <v>303</v>
      </c>
      <c r="K240" s="17">
        <f>O2_in_Coal_Ext</f>
        <v>1.6710136871186787</v>
      </c>
      <c r="L240" s="17">
        <f>K240/$BQ$248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17">
        <f>h_O2</f>
        <v>0</v>
      </c>
      <c r="P240" s="3">
        <f>b_ch_O2</f>
        <v>4</v>
      </c>
      <c r="Q240" s="3">
        <f>N240/N242</f>
        <v>0.21008403361344541</v>
      </c>
      <c r="R240" s="1">
        <f>LN(Q240)</f>
        <v>-1.5602476682433284</v>
      </c>
      <c r="S240" s="1">
        <f>RT0*R240</f>
        <v>-3.5432742429276498</v>
      </c>
      <c r="T240" s="1">
        <f>P240+S240</f>
        <v>0.45672575707235019</v>
      </c>
      <c r="U240" s="1">
        <f>T240*Q240</f>
        <v>9.5950789300913913E-2</v>
      </c>
      <c r="V240" s="1">
        <f>N242*U240</f>
        <v>23.850737881656119</v>
      </c>
      <c r="X240" s="3" t="s">
        <v>313</v>
      </c>
      <c r="Y240" s="83">
        <f>2*N214</f>
        <v>2.2677443445919243</v>
      </c>
      <c r="Z240" s="83">
        <f>2*AH214</f>
        <v>2.2677443445919243</v>
      </c>
      <c r="AA240" s="3">
        <f t="shared" si="128"/>
        <v>0</v>
      </c>
      <c r="CA240" s="63" t="s">
        <v>1</v>
      </c>
      <c r="CB240" s="58" t="s">
        <v>0</v>
      </c>
      <c r="CJ240" s="348"/>
      <c r="CK240" s="7" t="s">
        <v>64</v>
      </c>
      <c r="CL240" s="3">
        <f t="shared" si="135"/>
        <v>0.97415746061387132</v>
      </c>
      <c r="CM240" s="3">
        <v>1.4E-2</v>
      </c>
      <c r="CN240" s="3">
        <f>MW_CO2</f>
        <v>4.4009800000000002E-2</v>
      </c>
      <c r="CO240" s="3">
        <f t="shared" si="129"/>
        <v>22.135012215776289</v>
      </c>
      <c r="CP240" s="3">
        <f>h_CO2</f>
        <v>-8941.1903712354979</v>
      </c>
      <c r="CQ240" s="3">
        <f>b_ch_CO2</f>
        <v>19.900000000000034</v>
      </c>
      <c r="CR240" s="3">
        <f t="shared" si="130"/>
        <v>1.0340603116186133E-3</v>
      </c>
      <c r="CS240" s="3">
        <f t="shared" si="131"/>
        <v>-6.8742621761456677</v>
      </c>
      <c r="CT240" s="3">
        <f t="shared" si="132"/>
        <v>-15.611236987325567</v>
      </c>
      <c r="CU240" s="3">
        <f t="shared" si="133"/>
        <v>4.2887630126744671</v>
      </c>
      <c r="CV240" s="3">
        <f t="shared" si="134"/>
        <v>4.4348396173445421E-3</v>
      </c>
      <c r="CW240" s="3">
        <f t="shared" si="136"/>
        <v>94.931821676118844</v>
      </c>
      <c r="DD240" s="350"/>
      <c r="DE240" s="7" t="s">
        <v>67</v>
      </c>
      <c r="DF240" s="3">
        <f>N2_out_COtreatment</f>
        <v>1.3220708394045395</v>
      </c>
      <c r="DG240" s="3">
        <f t="shared" si="137"/>
        <v>1.9E-2</v>
      </c>
      <c r="DH240" s="3">
        <f>MW_N2</f>
        <v>2.801348E-2</v>
      </c>
      <c r="DI240" s="3">
        <f t="shared" si="138"/>
        <v>47.194095107231931</v>
      </c>
      <c r="DJ240" s="3">
        <f>h_N2</f>
        <v>0</v>
      </c>
      <c r="DK240" s="3">
        <f>b_ch_N2</f>
        <v>0.7</v>
      </c>
      <c r="DL240" s="3">
        <f>DI240/$DI$241</f>
        <v>2.229660206678009E-3</v>
      </c>
      <c r="DM240" s="3">
        <f t="shared" si="139"/>
        <v>-6.1059060788071511</v>
      </c>
      <c r="DN240" s="3">
        <f>RT0*DM240</f>
        <v>-13.866324032473203</v>
      </c>
      <c r="DO240" s="3">
        <f t="shared" si="140"/>
        <v>-13.166324032473204</v>
      </c>
      <c r="DP240" s="3">
        <f t="shared" si="141"/>
        <v>-2.9356428763433841E-2</v>
      </c>
      <c r="DQ240" s="3">
        <f t="shared" si="142"/>
        <v>-621.37274860117384</v>
      </c>
      <c r="DW240" s="4" t="s">
        <v>60</v>
      </c>
      <c r="DX240" s="3" t="s">
        <v>588</v>
      </c>
      <c r="DY240" s="3" t="s">
        <v>588</v>
      </c>
      <c r="DZ240" s="3" t="s">
        <v>588</v>
      </c>
      <c r="EK240" s="377"/>
      <c r="EL240" s="7" t="s">
        <v>67</v>
      </c>
      <c r="EM240" s="3">
        <f>N2_to_coke_oven</f>
        <v>0.19831062591068094</v>
      </c>
      <c r="EN240" s="3">
        <f>EM240/$BQ$233</f>
        <v>1.9000000000000003E-2</v>
      </c>
      <c r="EO240" s="3">
        <f>MW_N2</f>
        <v>2.801348E-2</v>
      </c>
      <c r="EP240" s="3">
        <f>EM240/EO240</f>
        <v>7.0791142660847894</v>
      </c>
      <c r="EQ240" s="3">
        <f>h_N2</f>
        <v>0</v>
      </c>
      <c r="ER240" s="3">
        <f>b_ch_N2</f>
        <v>0.7</v>
      </c>
      <c r="ES240" s="3">
        <f>EP240/$BT$233</f>
        <v>2.2296602066780094E-3</v>
      </c>
      <c r="ET240" s="3">
        <f>LN(ES240)</f>
        <v>-6.1059060788071502</v>
      </c>
      <c r="EU240" s="3">
        <f>RT0*ET240</f>
        <v>-13.866324032473202</v>
      </c>
      <c r="EV240" s="3">
        <f>ER240+EU240</f>
        <v>-13.166324032473202</v>
      </c>
      <c r="EW240" s="3">
        <f>EV240*ES240</f>
        <v>-2.9356428763433841E-2</v>
      </c>
      <c r="EX240" s="3">
        <f>EW240*$BT$233</f>
        <v>-93.205912290176059</v>
      </c>
    </row>
    <row r="241" spans="9:154" ht="18" x14ac:dyDescent="0.25">
      <c r="I241" s="348"/>
      <c r="J241" s="60" t="s">
        <v>67</v>
      </c>
      <c r="K241" s="3">
        <f>N2_in_Coal_Ext</f>
        <v>5.5004880175001354</v>
      </c>
      <c r="L241" s="3">
        <f>K241/$BQ$248</f>
        <v>9.8758270561070099E-3</v>
      </c>
      <c r="M241" s="28">
        <f>MW_N2</f>
        <v>2.801348E-2</v>
      </c>
      <c r="N241" s="28">
        <f>AH233</f>
        <v>196.35147141662284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32.288091877911484</v>
      </c>
      <c r="X241" s="3" t="s">
        <v>16</v>
      </c>
      <c r="Y241" s="83">
        <f>2*N215</f>
        <v>10.052440616918004</v>
      </c>
      <c r="Z241" s="83">
        <f>2*AH215</f>
        <v>10.052440616918004</v>
      </c>
      <c r="AA241" s="3">
        <f t="shared" si="128"/>
        <v>0</v>
      </c>
      <c r="CA241" s="65" t="s">
        <v>89</v>
      </c>
      <c r="CB241" s="64" t="s">
        <v>93</v>
      </c>
      <c r="CJ241" s="348"/>
      <c r="CK241" s="7" t="s">
        <v>67</v>
      </c>
      <c r="CL241" s="3">
        <f t="shared" si="135"/>
        <v>1.3220708394045395</v>
      </c>
      <c r="CM241" s="3">
        <v>1.9E-2</v>
      </c>
      <c r="CN241" s="3">
        <f>MW_N2</f>
        <v>2.801348E-2</v>
      </c>
      <c r="CO241" s="3">
        <f t="shared" si="129"/>
        <v>47.194095107231931</v>
      </c>
      <c r="CP241" s="3">
        <f>h_N2</f>
        <v>0</v>
      </c>
      <c r="CQ241" s="3">
        <f>b_ch_N2</f>
        <v>0.7</v>
      </c>
      <c r="CR241" s="3">
        <f t="shared" si="130"/>
        <v>2.2047216517170204E-3</v>
      </c>
      <c r="CS241" s="3">
        <f t="shared" si="131"/>
        <v>-6.1171540131006124</v>
      </c>
      <c r="CT241" s="3">
        <f t="shared" si="132"/>
        <v>-13.891867743692485</v>
      </c>
      <c r="CU241" s="3">
        <f t="shared" si="133"/>
        <v>-13.191867743692486</v>
      </c>
      <c r="CV241" s="3">
        <f t="shared" si="134"/>
        <v>-2.9084396441106181E-2</v>
      </c>
      <c r="CW241" s="3">
        <f t="shared" si="136"/>
        <v>-622.57826093784831</v>
      </c>
      <c r="DE241" s="17" t="s">
        <v>19</v>
      </c>
      <c r="DF241" s="17">
        <f>SUM(DF237:DF240)</f>
        <v>69.582675758133661</v>
      </c>
      <c r="DG241" s="17">
        <f>SUM(DG237:DG240)</f>
        <v>0.99999999999999989</v>
      </c>
      <c r="DH241" s="17"/>
      <c r="DI241" s="17">
        <f>SUM(DI237:DI240)</f>
        <v>21166.4965656569</v>
      </c>
      <c r="DJ241" s="17">
        <f>SUM(DJ237:DJ240)</f>
        <v>1.604276E-2</v>
      </c>
      <c r="DK241" s="17">
        <f>SUM(DK237:DK240)</f>
        <v>1072.5999999999999</v>
      </c>
      <c r="DL241" s="17">
        <f>SUM(DL237:DL240)</f>
        <v>0.99999999999999978</v>
      </c>
      <c r="DM241" s="17"/>
      <c r="DN241" s="17"/>
      <c r="DO241" s="17"/>
      <c r="DP241" s="17">
        <f>SUM(DP237:DP240)</f>
        <v>280.84752181335125</v>
      </c>
      <c r="DQ241" s="17">
        <f>SUM(DQ237:DQ240)</f>
        <v>5944558.1059355522</v>
      </c>
      <c r="DW241" s="3" t="s">
        <v>18</v>
      </c>
      <c r="DX241" s="83">
        <f>DI238</f>
        <v>1664.4536157940947</v>
      </c>
      <c r="DY241" s="83">
        <f>EP238+EE157+BT230</f>
        <v>1664.4536157940945</v>
      </c>
      <c r="DZ241" s="3">
        <f>DX241-DY241</f>
        <v>0</v>
      </c>
      <c r="EL241" s="17" t="s">
        <v>19</v>
      </c>
      <c r="EM241" s="17">
        <f>SUM(EM237:EM240)</f>
        <v>10.437401363720047</v>
      </c>
      <c r="EN241" s="17">
        <f>SUM(EN237:EN240)</f>
        <v>1</v>
      </c>
      <c r="EO241" s="17"/>
      <c r="EP241" s="17">
        <f>SUM(EP237:EP240)</f>
        <v>3174.9744848485343</v>
      </c>
      <c r="EQ241" s="17">
        <f>SUM(EQ237:EQ240)</f>
        <v>1.604276E-2</v>
      </c>
      <c r="ER241" s="17">
        <f>SUM(ER237:ER240)</f>
        <v>1072.5999999999999</v>
      </c>
      <c r="ES241" s="17">
        <f>SUM(ES237:ES240)</f>
        <v>1</v>
      </c>
      <c r="ET241" s="17"/>
      <c r="EU241" s="17"/>
      <c r="EV241" s="17"/>
      <c r="EW241" s="17">
        <f>SUM(EW237:EW240)</f>
        <v>280.84752181335136</v>
      </c>
      <c r="EX241" s="17">
        <f>SUM(EX237:EX240)</f>
        <v>891683.71589033271</v>
      </c>
    </row>
    <row r="242" spans="9:15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O242" s="3">
        <f>SUM(O240:O241)</f>
        <v>0</v>
      </c>
      <c r="U242" s="3">
        <f>SUM(U240:U241)</f>
        <v>0.22584479577057517</v>
      </c>
      <c r="V242" s="3">
        <f>SUM(V240:V241)</f>
        <v>56.138829759567599</v>
      </c>
      <c r="X242" s="3" t="s">
        <v>30</v>
      </c>
      <c r="Y242" s="288">
        <f>N216</f>
        <v>153.40575217336286</v>
      </c>
      <c r="Z242" s="288">
        <f>AH216</f>
        <v>153.40575217336286</v>
      </c>
      <c r="AA242" s="3">
        <f t="shared" si="128"/>
        <v>0</v>
      </c>
      <c r="BW242" s="3" t="s">
        <v>529</v>
      </c>
      <c r="CA242" s="50">
        <f>BQ248</f>
        <v>556.96479760636817</v>
      </c>
      <c r="CB242" s="48">
        <f>CB248</f>
        <v>4359.9448543333856</v>
      </c>
      <c r="CJ242" s="348"/>
      <c r="CK242" s="3" t="s">
        <v>65</v>
      </c>
      <c r="CL242" s="3">
        <f t="shared" si="135"/>
        <v>22.962283000184108</v>
      </c>
      <c r="CM242" s="3">
        <v>0.33</v>
      </c>
      <c r="CN242" s="3">
        <f>MW_CH4</f>
        <v>1.604276E-2</v>
      </c>
      <c r="CO242" s="3">
        <f t="shared" si="129"/>
        <v>1431.3174915154318</v>
      </c>
      <c r="CP242" s="3">
        <f>h_CH4</f>
        <v>1.604276E-2</v>
      </c>
      <c r="CQ242" s="3">
        <f>b_ch_CH4</f>
        <v>831.8</v>
      </c>
      <c r="CR242" s="3">
        <f t="shared" si="130"/>
        <v>6.6865497830930945E-2</v>
      </c>
      <c r="CS242" s="3">
        <f t="shared" si="131"/>
        <v>-2.7050721723709388</v>
      </c>
      <c r="CT242" s="3">
        <f t="shared" si="132"/>
        <v>-6.1431353167242753</v>
      </c>
      <c r="CU242" s="3">
        <f t="shared" si="133"/>
        <v>825.65686468327567</v>
      </c>
      <c r="CV242" s="3">
        <f t="shared" si="134"/>
        <v>55.207957294572815</v>
      </c>
      <c r="CW242" s="3">
        <f t="shared" si="136"/>
        <v>1181777.1124109626</v>
      </c>
      <c r="DF242" s="1" t="s">
        <v>89</v>
      </c>
      <c r="DG242" s="1"/>
      <c r="DH242" s="3" t="s">
        <v>91</v>
      </c>
      <c r="DI242" s="3" t="s">
        <v>87</v>
      </c>
      <c r="DJ242" s="1" t="s">
        <v>668</v>
      </c>
      <c r="DK242" s="4"/>
      <c r="DL242" s="4"/>
      <c r="DP242" s="3" t="s">
        <v>96</v>
      </c>
      <c r="DQ242" s="1" t="s">
        <v>93</v>
      </c>
      <c r="DW242" s="3" t="s">
        <v>182</v>
      </c>
      <c r="DX242" s="83">
        <f>(2*DI237)+(4*DI238)</f>
        <v>45411.454369105508</v>
      </c>
      <c r="DY242" s="83">
        <f>(2*EP237)+(4*EP238)+(2*EE156)+(4*EE157)+(2*BT229)+(4*BT230)</f>
        <v>45411.454369105501</v>
      </c>
      <c r="DZ242" s="3">
        <f t="shared" ref="DZ242:DZ244" si="143">DX242-DY242</f>
        <v>0</v>
      </c>
      <c r="EM242" s="1" t="s">
        <v>89</v>
      </c>
      <c r="EN242" s="1"/>
      <c r="EO242" s="3" t="s">
        <v>91</v>
      </c>
      <c r="EP242" s="3" t="s">
        <v>87</v>
      </c>
      <c r="EQ242" s="1" t="s">
        <v>668</v>
      </c>
      <c r="ER242" s="4"/>
      <c r="ES242" s="4"/>
      <c r="EW242" s="3" t="s">
        <v>96</v>
      </c>
      <c r="EX242" s="1" t="s">
        <v>93</v>
      </c>
    </row>
    <row r="243" spans="9:154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668</v>
      </c>
      <c r="P243" s="4"/>
      <c r="Q243" s="4"/>
      <c r="U243" s="3" t="s">
        <v>96</v>
      </c>
      <c r="V243" s="1" t="s">
        <v>93</v>
      </c>
      <c r="CK243" s="17" t="s">
        <v>19</v>
      </c>
      <c r="CL243" s="17">
        <f>COG_needed</f>
        <v>69.582675758133661</v>
      </c>
      <c r="CM243" s="17">
        <f>SUM(CM237:CM242)</f>
        <v>1</v>
      </c>
      <c r="CN243" s="17"/>
      <c r="CO243" s="17">
        <f>SUM(CO237:CO242)</f>
        <v>21405.919913054571</v>
      </c>
      <c r="CP243" s="17">
        <f>SUM(CP237:CP242)</f>
        <v>-11018.295313636119</v>
      </c>
      <c r="CQ243" s="17">
        <f>SUM(CQ237:CQ242)</f>
        <v>2724.7529599999998</v>
      </c>
      <c r="CR243" s="17">
        <f>SUM(CR237:CR242)</f>
        <v>1.0000000000000002</v>
      </c>
      <c r="CS243" s="17"/>
      <c r="CT243" s="17"/>
      <c r="CU243" s="17"/>
      <c r="CV243" s="17">
        <f>SUM(CV237:CV242)</f>
        <v>277.27881249138687</v>
      </c>
      <c r="CW243" s="17">
        <f>SUM(CW237:CW242)</f>
        <v>5935408.0537775028</v>
      </c>
      <c r="CY243" s="4"/>
      <c r="CZ243" s="3" t="s">
        <v>2</v>
      </c>
      <c r="DA243" s="3" t="s">
        <v>3</v>
      </c>
      <c r="DB243" s="132" t="s">
        <v>587</v>
      </c>
      <c r="DW243" s="3" t="s">
        <v>29</v>
      </c>
      <c r="DX243" s="83">
        <f>2*DI239</f>
        <v>156.0578035820115</v>
      </c>
      <c r="DY243" s="83">
        <f>(2*EP239)+(2*EE158)+(2*BT231)</f>
        <v>156.0578035820115</v>
      </c>
      <c r="DZ243" s="3">
        <f t="shared" si="143"/>
        <v>0</v>
      </c>
    </row>
    <row r="244" spans="9:154" ht="18" x14ac:dyDescent="0.25">
      <c r="BK244" s="342" t="s">
        <v>523</v>
      </c>
      <c r="BL244" s="342"/>
      <c r="BM244" s="342"/>
      <c r="BN244" s="342"/>
      <c r="BP244" s="4"/>
      <c r="BQ244" s="1" t="s">
        <v>560</v>
      </c>
      <c r="BR244" s="1" t="s">
        <v>561</v>
      </c>
      <c r="BS244" s="1" t="s">
        <v>563</v>
      </c>
      <c r="BT244" s="1" t="s">
        <v>85</v>
      </c>
      <c r="BU244" s="1" t="s">
        <v>667</v>
      </c>
      <c r="BV244" s="1" t="s">
        <v>6</v>
      </c>
      <c r="BW244" s="1" t="s">
        <v>7</v>
      </c>
      <c r="BX244" s="1" t="s">
        <v>8</v>
      </c>
      <c r="BY244" s="1" t="s">
        <v>9</v>
      </c>
      <c r="BZ244" s="1" t="s">
        <v>49</v>
      </c>
      <c r="CA244" s="1" t="s">
        <v>562</v>
      </c>
      <c r="CB244" s="1" t="s">
        <v>50</v>
      </c>
      <c r="CL244" s="1" t="s">
        <v>89</v>
      </c>
      <c r="CM244" s="1"/>
      <c r="CN244" s="3" t="s">
        <v>91</v>
      </c>
      <c r="CO244" s="3" t="s">
        <v>87</v>
      </c>
      <c r="CP244" s="1" t="s">
        <v>668</v>
      </c>
      <c r="CQ244" s="4"/>
      <c r="CR244" s="4"/>
      <c r="CV244" s="3" t="s">
        <v>96</v>
      </c>
      <c r="CW244" s="1" t="s">
        <v>93</v>
      </c>
      <c r="CY244" s="4"/>
      <c r="CZ244" s="1" t="s">
        <v>589</v>
      </c>
      <c r="DA244" s="1" t="s">
        <v>589</v>
      </c>
      <c r="DB244" s="1" t="s">
        <v>589</v>
      </c>
      <c r="DW244" s="3" t="s">
        <v>363</v>
      </c>
      <c r="DX244" s="83">
        <f>2*DI240</f>
        <v>94.388190214463862</v>
      </c>
      <c r="DY244" s="83">
        <f>(2*EP240)+(2*BT232)+(2*EE159)</f>
        <v>94.388190214463862</v>
      </c>
      <c r="DZ244" s="3">
        <f t="shared" si="143"/>
        <v>0</v>
      </c>
    </row>
    <row r="245" spans="9:154" ht="18" x14ac:dyDescent="0.25">
      <c r="BK245" s="342"/>
      <c r="BL245" s="342"/>
      <c r="BM245" s="342"/>
      <c r="BN245" s="342"/>
      <c r="BP245" s="4" t="s">
        <v>41</v>
      </c>
      <c r="BQ245" s="1" t="s">
        <v>88</v>
      </c>
      <c r="BR245" s="4" t="s">
        <v>283</v>
      </c>
      <c r="BS245" s="2" t="s">
        <v>90</v>
      </c>
      <c r="BT245" s="2" t="s">
        <v>86</v>
      </c>
      <c r="BU245" s="1" t="s">
        <v>652</v>
      </c>
      <c r="BV245" s="2" t="s">
        <v>95</v>
      </c>
      <c r="BW245" s="2" t="s">
        <v>25</v>
      </c>
      <c r="BX245" s="2" t="s">
        <v>98</v>
      </c>
      <c r="BY245" s="2" t="s">
        <v>95</v>
      </c>
      <c r="BZ245" s="2" t="s">
        <v>95</v>
      </c>
      <c r="CA245" s="2" t="s">
        <v>94</v>
      </c>
      <c r="CB245" s="2" t="s">
        <v>92</v>
      </c>
      <c r="CY245" s="4" t="s">
        <v>60</v>
      </c>
      <c r="CZ245" s="3" t="s">
        <v>588</v>
      </c>
      <c r="DA245" s="3" t="s">
        <v>588</v>
      </c>
      <c r="DB245" s="3" t="s">
        <v>588</v>
      </c>
    </row>
    <row r="246" spans="9:154" ht="18" customHeight="1" x14ac:dyDescent="0.25">
      <c r="BO246" s="364" t="s">
        <v>524</v>
      </c>
      <c r="BP246" s="8" t="s">
        <v>303</v>
      </c>
      <c r="BQ246" s="17">
        <f>O2_in_coke_oven+O2_for_coke_oven_comb</f>
        <v>129.77697536404546</v>
      </c>
      <c r="BR246" s="17">
        <f>BQ246/$BQ$248</f>
        <v>0.23300750051310176</v>
      </c>
      <c r="BS246" s="3">
        <f>MW_O2</f>
        <v>3.1998800000000001E-2</v>
      </c>
      <c r="BT246" s="3">
        <f>BQ246/BS246</f>
        <v>4055.6825682227286</v>
      </c>
      <c r="BU246" s="27">
        <f>h_O2</f>
        <v>0</v>
      </c>
      <c r="BV246" s="3">
        <f>b_ch_O2</f>
        <v>4</v>
      </c>
      <c r="BW246" s="3">
        <f>BT246/BT248</f>
        <v>0.21008403361344535</v>
      </c>
      <c r="BX246" s="1">
        <f>LN(BW246)</f>
        <v>-1.5602476682433288</v>
      </c>
      <c r="BY246" s="1">
        <f>RT0*BX246</f>
        <v>-3.5432742429276507</v>
      </c>
      <c r="BZ246" s="1">
        <f>BV246+BY246</f>
        <v>0.4567257570723493</v>
      </c>
      <c r="CA246" s="1">
        <f>BZ246*BW246</f>
        <v>9.5950789300913705E-2</v>
      </c>
      <c r="CB246" s="1">
        <f>BT248*CA246</f>
        <v>1852.3346914166557</v>
      </c>
      <c r="CY246" s="3" t="s">
        <v>18</v>
      </c>
      <c r="CZ246" s="83">
        <f>(2*CO238)+CO239+CO240+CO242</f>
        <v>1664.4536157940947</v>
      </c>
      <c r="DA246" s="83">
        <f>DI238</f>
        <v>1664.4536157940947</v>
      </c>
      <c r="DB246" s="3">
        <f>CZ246-DA246</f>
        <v>0</v>
      </c>
    </row>
    <row r="247" spans="9:154" ht="19" thickBot="1" x14ac:dyDescent="0.3">
      <c r="BO247" s="364"/>
      <c r="BP247" s="60" t="s">
        <v>67</v>
      </c>
      <c r="BQ247" s="3">
        <f>N2_in_coke_oven+N2_for_coke_oven_comb</f>
        <v>427.18782224232274</v>
      </c>
      <c r="BR247" s="3">
        <f>BQ247/$BQ$248</f>
        <v>0.76699249948689829</v>
      </c>
      <c r="BS247" s="28">
        <f>MW_N2</f>
        <v>2.801348E-2</v>
      </c>
      <c r="BT247" s="28">
        <f>BQ247/BS247</f>
        <v>15249.36645651746</v>
      </c>
      <c r="BU247" s="6">
        <f>h_N2</f>
        <v>0</v>
      </c>
      <c r="BV247" s="28">
        <f>b_ch_N2</f>
        <v>0.7</v>
      </c>
      <c r="BW247" s="28">
        <f>BT247/BT248</f>
        <v>0.78991596638655459</v>
      </c>
      <c r="BX247" s="2">
        <f>LN(BW247)</f>
        <v>-0.23582871084152554</v>
      </c>
      <c r="BY247" s="2">
        <f>RT0*BX247</f>
        <v>-0.53555971521393941</v>
      </c>
      <c r="BZ247" s="2">
        <f>BV247+BY247</f>
        <v>0.16444028478606054</v>
      </c>
      <c r="CA247" s="2">
        <f>BZ247*BW247</f>
        <v>0.12989400646966126</v>
      </c>
      <c r="CB247" s="2">
        <f>BT248*CA247</f>
        <v>2507.6101629167301</v>
      </c>
      <c r="CY247" s="3" t="s">
        <v>182</v>
      </c>
      <c r="CZ247" s="83">
        <f>(2*CO237)+(4*CO238)+(4*CO242)</f>
        <v>45411.454369105508</v>
      </c>
      <c r="DA247" s="83">
        <f>(4*DI238)+(2*DI237)</f>
        <v>45411.454369105508</v>
      </c>
      <c r="DB247" s="3">
        <f t="shared" ref="DB247:DB249" si="144">CZ247-DA247</f>
        <v>0</v>
      </c>
    </row>
    <row r="248" spans="9:154" ht="16" x14ac:dyDescent="0.2">
      <c r="BP248" s="3" t="s">
        <v>19</v>
      </c>
      <c r="BQ248" s="17">
        <f>SUM(BQ246:BQ247)</f>
        <v>556.96479760636817</v>
      </c>
      <c r="BR248" s="17">
        <f>SUM(BR246:BR247)</f>
        <v>1</v>
      </c>
      <c r="BS248" s="3">
        <f>SUM(BS246:BS247)</f>
        <v>6.0012280000000001E-2</v>
      </c>
      <c r="BT248" s="3">
        <f>SUM(BT246:BT247)</f>
        <v>19305.04902474019</v>
      </c>
      <c r="BU248" s="27">
        <f>SUM(BU246:BU247)</f>
        <v>0</v>
      </c>
      <c r="CA248" s="3">
        <f>SUM(CA246:CA247)</f>
        <v>0.22584479577057498</v>
      </c>
      <c r="CB248" s="3">
        <f>SUM(CB246:CB247)</f>
        <v>4359.9448543333856</v>
      </c>
      <c r="CV248" s="63" t="s">
        <v>1</v>
      </c>
      <c r="CW248" s="58" t="s">
        <v>0</v>
      </c>
      <c r="CY248" s="3" t="s">
        <v>29</v>
      </c>
      <c r="CZ248" s="83">
        <f>CO239+(2*CO240)</f>
        <v>156.0578035820115</v>
      </c>
      <c r="DA248" s="83">
        <f>(2*DI239)</f>
        <v>156.0578035820115</v>
      </c>
      <c r="DB248" s="3">
        <f t="shared" si="144"/>
        <v>0</v>
      </c>
    </row>
    <row r="249" spans="9:154" ht="18" x14ac:dyDescent="0.25">
      <c r="BQ249" s="1" t="s">
        <v>89</v>
      </c>
      <c r="BR249" s="1"/>
      <c r="BS249" s="3" t="s">
        <v>91</v>
      </c>
      <c r="BT249" s="3" t="s">
        <v>87</v>
      </c>
      <c r="BU249" s="1" t="s">
        <v>668</v>
      </c>
      <c r="BV249" s="4"/>
      <c r="BW249" s="4"/>
      <c r="CA249" s="3" t="s">
        <v>96</v>
      </c>
      <c r="CB249" s="1" t="s">
        <v>93</v>
      </c>
      <c r="CV249" s="65" t="s">
        <v>89</v>
      </c>
      <c r="CW249" s="64" t="s">
        <v>93</v>
      </c>
      <c r="CY249" s="3" t="s">
        <v>363</v>
      </c>
      <c r="CZ249" s="83">
        <f>(2*CO241)</f>
        <v>94.388190214463862</v>
      </c>
      <c r="DA249" s="83">
        <f>2*DI240</f>
        <v>94.388190214463862</v>
      </c>
      <c r="DB249" s="3">
        <f t="shared" si="144"/>
        <v>0</v>
      </c>
    </row>
    <row r="250" spans="9:154" ht="16" thickBot="1" x14ac:dyDescent="0.25">
      <c r="CR250" s="3" t="s">
        <v>532</v>
      </c>
      <c r="CV250" s="50">
        <f>CL257</f>
        <v>584.3657277440451</v>
      </c>
      <c r="CW250" s="48">
        <f>CW257</f>
        <v>50611.612737094903</v>
      </c>
    </row>
    <row r="251" spans="9:154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</row>
    <row r="252" spans="9:154" ht="18" x14ac:dyDescent="0.25">
      <c r="CA252" s="63" t="s">
        <v>1</v>
      </c>
      <c r="CB252" s="58" t="s">
        <v>0</v>
      </c>
      <c r="CK252" s="4"/>
      <c r="CL252" s="1" t="s">
        <v>560</v>
      </c>
      <c r="CM252" s="1" t="s">
        <v>561</v>
      </c>
      <c r="CN252" s="1" t="s">
        <v>563</v>
      </c>
      <c r="CO252" s="1" t="s">
        <v>85</v>
      </c>
      <c r="CP252" s="1" t="s">
        <v>667</v>
      </c>
      <c r="CQ252" s="1" t="s">
        <v>6</v>
      </c>
      <c r="CR252" s="1" t="s">
        <v>7</v>
      </c>
      <c r="CS252" s="1" t="s">
        <v>8</v>
      </c>
      <c r="CT252" s="1" t="s">
        <v>9</v>
      </c>
      <c r="CU252" s="1" t="s">
        <v>49</v>
      </c>
      <c r="CV252" s="1" t="s">
        <v>562</v>
      </c>
      <c r="CW252" s="1" t="s">
        <v>50</v>
      </c>
    </row>
    <row r="253" spans="9:154" ht="14" customHeight="1" x14ac:dyDescent="0.25">
      <c r="CA253" s="65" t="s">
        <v>89</v>
      </c>
      <c r="CB253" s="64" t="s">
        <v>93</v>
      </c>
      <c r="CK253" s="4" t="s">
        <v>41</v>
      </c>
      <c r="CL253" s="1" t="s">
        <v>88</v>
      </c>
      <c r="CM253" s="4" t="s">
        <v>283</v>
      </c>
      <c r="CN253" s="2" t="s">
        <v>90</v>
      </c>
      <c r="CO253" s="2" t="s">
        <v>86</v>
      </c>
      <c r="CP253" s="1" t="s">
        <v>652</v>
      </c>
      <c r="CQ253" s="2" t="s">
        <v>95</v>
      </c>
      <c r="CR253" s="2" t="s">
        <v>25</v>
      </c>
      <c r="CS253" s="2" t="s">
        <v>98</v>
      </c>
      <c r="CT253" s="2" t="s">
        <v>95</v>
      </c>
      <c r="CU253" s="2" t="s">
        <v>95</v>
      </c>
      <c r="CV253" s="2" t="s">
        <v>94</v>
      </c>
      <c r="CW253" s="2" t="s">
        <v>92</v>
      </c>
    </row>
    <row r="254" spans="9:154" ht="26" customHeight="1" thickBot="1" x14ac:dyDescent="0.3">
      <c r="BW254" s="3" t="s">
        <v>478</v>
      </c>
      <c r="CA254" s="50">
        <f>BR259</f>
        <v>16.963528773956838</v>
      </c>
      <c r="CB254" s="48">
        <f>CB259</f>
        <v>879540.87913658854</v>
      </c>
      <c r="CJ254" s="348" t="s">
        <v>532</v>
      </c>
      <c r="CK254" s="17" t="s">
        <v>68</v>
      </c>
      <c r="CL254" s="17">
        <f>H2O_out_coke_oven+H2O_from_coke_oven_comb</f>
        <v>99.456026706898456</v>
      </c>
      <c r="CM254" s="17">
        <f>CL254/CL257</f>
        <v>0.17019483173808006</v>
      </c>
      <c r="CN254" s="17">
        <f>MW_H2O</f>
        <v>1.8015280000000002E-2</v>
      </c>
      <c r="CO254" s="17">
        <f>CL254/CN254</f>
        <v>5520.6483999637221</v>
      </c>
      <c r="CP254" s="17">
        <f>h_H2O</f>
        <v>-13421.939597941302</v>
      </c>
      <c r="CQ254" s="17">
        <f>b_ch_H2O</f>
        <v>9.5113440000000082</v>
      </c>
      <c r="CR254" s="17">
        <f>CO254/$CO$257</f>
        <v>0.24998230547780298</v>
      </c>
      <c r="CS254" s="17">
        <f>LN(CR254)</f>
        <v>-1.3863651417135658</v>
      </c>
      <c r="CT254" s="17">
        <f>RT0*CS254</f>
        <v>-3.148392398148629</v>
      </c>
      <c r="CU254" s="17">
        <f>CT254+CQ254</f>
        <v>6.3629516018513792</v>
      </c>
      <c r="CV254" s="17">
        <f>CR254*CU254</f>
        <v>1.5906253110744872</v>
      </c>
      <c r="CW254" s="17">
        <f>CV254*$CO$257</f>
        <v>35127.618579807415</v>
      </c>
    </row>
    <row r="255" spans="9:154" ht="18" x14ac:dyDescent="0.25">
      <c r="BL255" s="3" t="s">
        <v>464</v>
      </c>
      <c r="BO255" s="4"/>
      <c r="CJ255" s="348"/>
      <c r="CK255" s="249" t="s">
        <v>64</v>
      </c>
      <c r="CL255" s="3">
        <f>CO2_out_coke_oven+CO2_from_coke_oven_comb</f>
        <v>57.523568168913222</v>
      </c>
      <c r="CM255" s="3">
        <f>CL255/CL257</f>
        <v>9.8437614387455685E-2</v>
      </c>
      <c r="CN255" s="3">
        <f>MW_CO2</f>
        <v>4.4009800000000002E-2</v>
      </c>
      <c r="CO255" s="3">
        <f>CL255/CN255</f>
        <v>1307.0627035095188</v>
      </c>
      <c r="CP255" s="3">
        <f>h_CO2</f>
        <v>-8941.1903712354979</v>
      </c>
      <c r="CQ255" s="3">
        <f>b_ch_CO2</f>
        <v>19.900000000000034</v>
      </c>
      <c r="CR255" s="3">
        <f>CO255/$CO$257</f>
        <v>5.918553842869375E-2</v>
      </c>
      <c r="CS255" s="3">
        <f>LN(CR255)</f>
        <v>-2.8270780502332942</v>
      </c>
      <c r="CT255" s="3">
        <f>RT0*CS255</f>
        <v>-6.4202068953680582</v>
      </c>
      <c r="CU255" s="3">
        <f>CT255+CQ255</f>
        <v>13.479793104631977</v>
      </c>
      <c r="CV255" s="3">
        <f>CR255*CU255</f>
        <v>0.7978088128050369</v>
      </c>
      <c r="CW255" s="3">
        <f t="shared" ref="CW255:CW256" si="145">CV255*$CO$257</f>
        <v>17618.934818089241</v>
      </c>
    </row>
    <row r="256" spans="9:154" ht="18" x14ac:dyDescent="0.25">
      <c r="BI256" s="342" t="s">
        <v>477</v>
      </c>
      <c r="BJ256" s="342"/>
      <c r="BK256" s="342"/>
      <c r="BL256" s="342"/>
      <c r="BM256" s="342"/>
      <c r="BN256" s="342"/>
      <c r="BO256" s="342"/>
      <c r="BP256" s="1"/>
      <c r="BQ256" s="3" t="s">
        <v>566</v>
      </c>
      <c r="BR256" s="1" t="s">
        <v>560</v>
      </c>
      <c r="BS256" s="3" t="s">
        <v>5</v>
      </c>
      <c r="BT256" s="1" t="s">
        <v>85</v>
      </c>
      <c r="BU256" s="1" t="s">
        <v>667</v>
      </c>
      <c r="BV256" s="1" t="s">
        <v>6</v>
      </c>
      <c r="BW256" s="1" t="s">
        <v>7</v>
      </c>
      <c r="BX256" s="1" t="s">
        <v>8</v>
      </c>
      <c r="BY256" s="1" t="s">
        <v>9</v>
      </c>
      <c r="BZ256" s="1" t="s">
        <v>49</v>
      </c>
      <c r="CA256" s="1" t="s">
        <v>562</v>
      </c>
      <c r="CB256" s="1" t="s">
        <v>50</v>
      </c>
      <c r="CJ256" s="348"/>
      <c r="CK256" s="7" t="s">
        <v>67</v>
      </c>
      <c r="CL256" s="3">
        <f>CO256*CN256</f>
        <v>427.38613286823346</v>
      </c>
      <c r="CM256" s="3">
        <f>CL256/CL257</f>
        <v>0.73136755387446428</v>
      </c>
      <c r="CN256" s="3">
        <f>MW_N2</f>
        <v>2.801348E-2</v>
      </c>
      <c r="CO256" s="3">
        <f>CE221/2 -CO241</f>
        <v>15256.445570783546</v>
      </c>
      <c r="CP256" s="3">
        <f>h_N2</f>
        <v>0</v>
      </c>
      <c r="CQ256" s="3">
        <f>b_ch_N2</f>
        <v>0.7</v>
      </c>
      <c r="CR256" s="3">
        <f>CO256/$CO$257</f>
        <v>0.69083215609350324</v>
      </c>
      <c r="CS256" s="3">
        <f>LN(CR256)</f>
        <v>-0.36985838472885435</v>
      </c>
      <c r="CT256" s="3">
        <f>RT0*CS256</f>
        <v>-0.8399369630951401</v>
      </c>
      <c r="CU256" s="3">
        <f>CT256+CQ256</f>
        <v>-0.13993696309514014</v>
      </c>
      <c r="CV256" s="3">
        <f>CR256*CU256</f>
        <v>-9.6672953932192662E-2</v>
      </c>
      <c r="CW256" s="3">
        <f t="shared" si="145"/>
        <v>-2134.9406608017516</v>
      </c>
    </row>
    <row r="257" spans="52:101" ht="18" x14ac:dyDescent="0.25">
      <c r="AZ257" s="16"/>
      <c r="BI257" s="343"/>
      <c r="BJ257" s="343"/>
      <c r="BK257" s="343"/>
      <c r="BL257" s="343"/>
      <c r="BM257" s="343"/>
      <c r="BN257" s="343"/>
      <c r="BO257" s="343"/>
      <c r="BP257" s="1"/>
      <c r="BQ257" s="3" t="s">
        <v>565</v>
      </c>
      <c r="BR257" s="1" t="s">
        <v>88</v>
      </c>
      <c r="BS257" s="1" t="s">
        <v>90</v>
      </c>
      <c r="BT257" s="2" t="s">
        <v>86</v>
      </c>
      <c r="BU257" s="1" t="s">
        <v>652</v>
      </c>
      <c r="BV257" s="2" t="s">
        <v>95</v>
      </c>
      <c r="BW257" s="2" t="s">
        <v>25</v>
      </c>
      <c r="BX257" s="1" t="s">
        <v>98</v>
      </c>
      <c r="BY257" s="2" t="s">
        <v>95</v>
      </c>
      <c r="BZ257" s="2" t="s">
        <v>95</v>
      </c>
      <c r="CA257" s="2" t="s">
        <v>94</v>
      </c>
      <c r="CB257" s="1" t="s">
        <v>92</v>
      </c>
      <c r="CK257" s="17" t="s">
        <v>19</v>
      </c>
      <c r="CL257" s="17">
        <f>SUM(CL254:CL256)</f>
        <v>584.3657277440451</v>
      </c>
      <c r="CM257" s="17">
        <f>SUM(CM254:CM256)</f>
        <v>1</v>
      </c>
      <c r="CN257" s="17">
        <f>SUM(CN254:CN256)</f>
        <v>9.0038560000000004E-2</v>
      </c>
      <c r="CO257" s="17">
        <f>SUM(CO254:CO256)</f>
        <v>22084.156674256788</v>
      </c>
      <c r="CP257" s="17">
        <f>SUM(CP254:CP256)</f>
        <v>-22363.1299691768</v>
      </c>
      <c r="CQ257" s="17">
        <f>SUM(CQ253:CQ256)</f>
        <v>30.111344000000042</v>
      </c>
      <c r="CR257" s="17"/>
      <c r="CS257" s="17"/>
      <c r="CT257" s="17"/>
      <c r="CU257" s="17"/>
      <c r="CV257" s="17">
        <f>SUM(CV254:CV256)</f>
        <v>2.2917611699473315</v>
      </c>
      <c r="CW257" s="17">
        <f>SUM(CW254:CW256)</f>
        <v>50611.612737094903</v>
      </c>
    </row>
    <row r="258" spans="52:101" ht="18" x14ac:dyDescent="0.25">
      <c r="BI258" s="61" t="s">
        <v>264</v>
      </c>
      <c r="BJ258" s="13" t="s">
        <v>235</v>
      </c>
      <c r="BK258" s="13" t="s">
        <v>235</v>
      </c>
      <c r="BL258" s="13" t="s">
        <v>235</v>
      </c>
      <c r="BM258" s="34" t="s">
        <v>235</v>
      </c>
      <c r="BN258" s="105" t="s">
        <v>322</v>
      </c>
      <c r="BO258" s="13" t="s">
        <v>316</v>
      </c>
      <c r="BP258" s="95" t="s">
        <v>65</v>
      </c>
      <c r="BQ258" s="95">
        <f>2956.513*CA206</f>
        <v>848176.43869784183</v>
      </c>
      <c r="BR258" s="42">
        <f>BQ258/LHV_CH4</f>
        <v>16.963528773956838</v>
      </c>
      <c r="BS258" s="33" cm="1">
        <f t="array" ref="BS258">MW_CH4</f>
        <v>1.604276E-2</v>
      </c>
      <c r="BT258" s="33">
        <f>BR258/BS258</f>
        <v>1057.3946611404047</v>
      </c>
      <c r="BU258" s="33">
        <f>h_CH4</f>
        <v>1.604276E-2</v>
      </c>
      <c r="BV258" s="42">
        <f>b_ch_CH4</f>
        <v>831.8</v>
      </c>
      <c r="BW258" s="33">
        <f>BT258/BT258</f>
        <v>1</v>
      </c>
      <c r="BX258" s="42">
        <f>LN(BW258)</f>
        <v>0</v>
      </c>
      <c r="BY258" s="42">
        <f>RT0*BX258</f>
        <v>0</v>
      </c>
      <c r="BZ258" s="42">
        <f>BV258+BY258</f>
        <v>831.8</v>
      </c>
      <c r="CA258" s="42">
        <f>BZ258*BW258</f>
        <v>831.8</v>
      </c>
      <c r="CB258" s="42">
        <f>BT258*CA258</f>
        <v>879540.87913658854</v>
      </c>
      <c r="CL258" s="1" t="s">
        <v>89</v>
      </c>
      <c r="CM258" s="1"/>
      <c r="CN258" s="3" t="s">
        <v>91</v>
      </c>
      <c r="CO258" s="3" t="s">
        <v>87</v>
      </c>
      <c r="CP258" s="1" t="s">
        <v>668</v>
      </c>
      <c r="CQ258" s="4"/>
      <c r="CR258" s="4"/>
      <c r="CV258" s="3" t="s">
        <v>96</v>
      </c>
      <c r="CW258" s="1" t="s">
        <v>93</v>
      </c>
    </row>
    <row r="259" spans="52:101" ht="16" x14ac:dyDescent="0.2">
      <c r="BI259" s="61" t="s">
        <v>98</v>
      </c>
      <c r="BJ259" s="13" t="s">
        <v>461</v>
      </c>
      <c r="BK259" s="13" t="s">
        <v>462</v>
      </c>
      <c r="BL259" s="13" t="s">
        <v>463</v>
      </c>
      <c r="BM259" s="34" t="s">
        <v>48</v>
      </c>
      <c r="BN259" s="34" t="s">
        <v>98</v>
      </c>
      <c r="BO259" s="13" t="s">
        <v>48</v>
      </c>
      <c r="BP259" s="1" t="s">
        <v>19</v>
      </c>
      <c r="BQ259" s="1">
        <f>BQ258</f>
        <v>848176.43869784183</v>
      </c>
      <c r="BR259" s="1">
        <f>BR258</f>
        <v>16.963528773956838</v>
      </c>
      <c r="BS259" s="6">
        <f>BS258</f>
        <v>1.604276E-2</v>
      </c>
      <c r="BT259" s="6">
        <f>BT258</f>
        <v>1057.3946611404047</v>
      </c>
      <c r="BU259" s="6">
        <f>BU258</f>
        <v>1.604276E-2</v>
      </c>
      <c r="BV259" s="1"/>
      <c r="BW259" s="6"/>
      <c r="BX259" s="1"/>
      <c r="BY259" s="1"/>
      <c r="BZ259" s="1"/>
      <c r="CA259" s="1">
        <f>CA258</f>
        <v>831.8</v>
      </c>
      <c r="CB259" s="1">
        <f>BT259*CA259</f>
        <v>879540.87913658854</v>
      </c>
    </row>
    <row r="260" spans="52:101" ht="18" x14ac:dyDescent="0.25">
      <c r="BI260" s="61" t="s">
        <v>436</v>
      </c>
      <c r="BJ260" s="13">
        <v>2.956513E-3</v>
      </c>
      <c r="BK260" s="61">
        <f>BJ260*1000000000</f>
        <v>2956513</v>
      </c>
      <c r="BL260" s="61">
        <f>BK260/1000</f>
        <v>2956.5129999999999</v>
      </c>
      <c r="BM260" s="61">
        <f>BL260*CA206</f>
        <v>848176.43869784183</v>
      </c>
      <c r="BN260" s="13">
        <v>1.04</v>
      </c>
      <c r="BO260" s="13">
        <f>BM260*BN260</f>
        <v>882103.49624575558</v>
      </c>
      <c r="BP260" s="1"/>
      <c r="BQ260" s="3" t="s">
        <v>48</v>
      </c>
      <c r="BR260" s="1" t="s">
        <v>89</v>
      </c>
      <c r="BS260" s="3" t="s">
        <v>91</v>
      </c>
      <c r="BT260" s="3" t="s">
        <v>87</v>
      </c>
      <c r="BU260" s="1" t="s">
        <v>668</v>
      </c>
      <c r="BV260" s="4"/>
      <c r="BW260" s="4"/>
      <c r="CA260" s="3" t="s">
        <v>96</v>
      </c>
      <c r="CB260" s="1" t="s">
        <v>93</v>
      </c>
    </row>
  </sheetData>
  <mergeCells count="100">
    <mergeCell ref="FN126:FT128"/>
    <mergeCell ref="BK154:BN155"/>
    <mergeCell ref="BK142:BN143"/>
    <mergeCell ref="BI256:BO257"/>
    <mergeCell ref="BO144:BO145"/>
    <mergeCell ref="ER129:ER130"/>
    <mergeCell ref="EZ145:EZ147"/>
    <mergeCell ref="CJ142:CJ145"/>
    <mergeCell ref="DD237:DD240"/>
    <mergeCell ref="DZ156:DZ159"/>
    <mergeCell ref="DV142:DY143"/>
    <mergeCell ref="EK237:EK240"/>
    <mergeCell ref="EZ233:FD235"/>
    <mergeCell ref="CJ254:CJ256"/>
    <mergeCell ref="CY226:DD226"/>
    <mergeCell ref="CJ237:CJ242"/>
    <mergeCell ref="E238:H239"/>
    <mergeCell ref="B222:H223"/>
    <mergeCell ref="P206:R206"/>
    <mergeCell ref="BK244:BN245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E42:H43"/>
    <mergeCell ref="E208:H209"/>
    <mergeCell ref="E165:H166"/>
    <mergeCell ref="B153:H154"/>
    <mergeCell ref="B137:H138"/>
    <mergeCell ref="B61:H62"/>
    <mergeCell ref="E74:H75"/>
    <mergeCell ref="I76:I77"/>
    <mergeCell ref="AB67:AB70"/>
    <mergeCell ref="W195:X195"/>
    <mergeCell ref="I167:I168"/>
    <mergeCell ref="BO246:BO247"/>
    <mergeCell ref="I240:I241"/>
    <mergeCell ref="AC231:AC234"/>
    <mergeCell ref="BO229:BO232"/>
    <mergeCell ref="BJ206:BN207"/>
    <mergeCell ref="BM208:BM209"/>
    <mergeCell ref="BO211:BO216"/>
    <mergeCell ref="I130:I131"/>
    <mergeCell ref="AC130:AC131"/>
    <mergeCell ref="AV130:AV131"/>
    <mergeCell ref="BO130:BO131"/>
    <mergeCell ref="I211:I216"/>
    <mergeCell ref="P23:Q24"/>
    <mergeCell ref="CJ221:CJ226"/>
    <mergeCell ref="BG110:BM110"/>
    <mergeCell ref="BJ126:BN127"/>
    <mergeCell ref="W126:AA127"/>
    <mergeCell ref="BM128:BM129"/>
    <mergeCell ref="CF128:CF129"/>
    <mergeCell ref="AA208:AA209"/>
    <mergeCell ref="W206:AB207"/>
    <mergeCell ref="AT208:AT209"/>
    <mergeCell ref="AO187:AU187"/>
    <mergeCell ref="CD206:CH207"/>
    <mergeCell ref="CG208:CG209"/>
    <mergeCell ref="I46:I47"/>
    <mergeCell ref="I48:I51"/>
    <mergeCell ref="AB46:AB47"/>
    <mergeCell ref="AB48:AB51"/>
    <mergeCell ref="P25:P26"/>
    <mergeCell ref="W42:AA43"/>
    <mergeCell ref="P113:P114"/>
    <mergeCell ref="W182:AC182"/>
    <mergeCell ref="AS44:AS45"/>
    <mergeCell ref="AO110:AU110"/>
    <mergeCell ref="AU46:AU47"/>
    <mergeCell ref="AU48:AU51"/>
    <mergeCell ref="Z44:Z45"/>
    <mergeCell ref="AT128:AT129"/>
    <mergeCell ref="Z128:Z129"/>
    <mergeCell ref="P111:Q112"/>
    <mergeCell ref="BL44:BL45"/>
    <mergeCell ref="AO25:AU25"/>
    <mergeCell ref="BH25:BN25"/>
    <mergeCell ref="BI42:BM43"/>
    <mergeCell ref="AP42:AT43"/>
    <mergeCell ref="BN46:BN47"/>
    <mergeCell ref="BN59:BN62"/>
    <mergeCell ref="CC126:CG127"/>
    <mergeCell ref="AQ126:AU127"/>
    <mergeCell ref="DZ144:DZ145"/>
    <mergeCell ref="DZ130:DZ133"/>
    <mergeCell ref="DS126:DY128"/>
    <mergeCell ref="DW129:DW130"/>
    <mergeCell ref="EP114:EU114"/>
    <mergeCell ref="DT116:DY117"/>
    <mergeCell ref="DT103:DY104"/>
    <mergeCell ref="CY233:DC234"/>
    <mergeCell ref="DB235:DB236"/>
    <mergeCell ref="EN126:ET128"/>
  </mergeCells>
  <conditionalFormatting sqref="Y46">
    <cfRule type="cellIs" dxfId="33" priority="23" operator="notEqual">
      <formula>0</formula>
    </cfRule>
  </conditionalFormatting>
  <conditionalFormatting sqref="Y130">
    <cfRule type="cellIs" dxfId="32" priority="24" operator="notEqual">
      <formula>0</formula>
    </cfRule>
  </conditionalFormatting>
  <conditionalFormatting sqref="Z210">
    <cfRule type="cellIs" dxfId="31" priority="22" operator="notEqual">
      <formula>0</formula>
    </cfRule>
  </conditionalFormatting>
  <conditionalFormatting sqref="AA55:AA64">
    <cfRule type="cellIs" dxfId="30" priority="5" operator="notEqual">
      <formula>0</formula>
    </cfRule>
  </conditionalFormatting>
  <conditionalFormatting sqref="AA138:AA143">
    <cfRule type="cellIs" dxfId="29" priority="6" operator="notEqual">
      <formula>0</formula>
    </cfRule>
  </conditionalFormatting>
  <conditionalFormatting sqref="AA233:AA242">
    <cfRule type="cellIs" dxfId="28" priority="10" operator="notEqual">
      <formula>0</formula>
    </cfRule>
  </conditionalFormatting>
  <conditionalFormatting sqref="AR46">
    <cfRule type="cellIs" dxfId="27" priority="33" operator="notEqual">
      <formula>0</formula>
    </cfRule>
  </conditionalFormatting>
  <conditionalFormatting sqref="AS130">
    <cfRule type="cellIs" dxfId="26" priority="31" operator="notEqual">
      <formula>0</formula>
    </cfRule>
  </conditionalFormatting>
  <conditionalFormatting sqref="AS210">
    <cfRule type="cellIs" dxfId="25" priority="28" operator="notEqual">
      <formula>0</formula>
    </cfRule>
  </conditionalFormatting>
  <conditionalFormatting sqref="AT55:AT64">
    <cfRule type="cellIs" dxfId="24" priority="4" operator="notEqual">
      <formula>0</formula>
    </cfRule>
  </conditionalFormatting>
  <conditionalFormatting sqref="AT137:AT140">
    <cfRule type="cellIs" dxfId="23" priority="7" operator="notEqual">
      <formula>0</formula>
    </cfRule>
  </conditionalFormatting>
  <conditionalFormatting sqref="AT218:AT227">
    <cfRule type="cellIs" dxfId="22" priority="11" operator="notEqual">
      <formula>0</formula>
    </cfRule>
  </conditionalFormatting>
  <conditionalFormatting sqref="AW210">
    <cfRule type="expression" dxfId="21" priority="20">
      <formula>ifdigit(subscript)</formula>
    </cfRule>
  </conditionalFormatting>
  <conditionalFormatting sqref="BK46">
    <cfRule type="cellIs" dxfId="20" priority="32" operator="notEqual">
      <formula>0</formula>
    </cfRule>
  </conditionalFormatting>
  <conditionalFormatting sqref="BL55:BL61">
    <cfRule type="cellIs" dxfId="19" priority="3" operator="notEqual">
      <formula>0</formula>
    </cfRule>
  </conditionalFormatting>
  <conditionalFormatting sqref="BL130">
    <cfRule type="cellIs" dxfId="18" priority="30" operator="notEqual">
      <formula>0</formula>
    </cfRule>
  </conditionalFormatting>
  <conditionalFormatting sqref="BL210">
    <cfRule type="cellIs" dxfId="17" priority="16" operator="notEqual">
      <formula>0</formula>
    </cfRule>
  </conditionalFormatting>
  <conditionalFormatting sqref="BM137:BM140">
    <cfRule type="cellIs" dxfId="16" priority="8" operator="notEqual">
      <formula>0</formula>
    </cfRule>
  </conditionalFormatting>
  <conditionalFormatting sqref="BM218:BM227">
    <cfRule type="cellIs" dxfId="15" priority="12" operator="notEqual">
      <formula>0</formula>
    </cfRule>
  </conditionalFormatting>
  <conditionalFormatting sqref="BP210">
    <cfRule type="expression" dxfId="14" priority="15">
      <formula>ifdigit(subscript)</formula>
    </cfRule>
  </conditionalFormatting>
  <conditionalFormatting sqref="CE130">
    <cfRule type="cellIs" dxfId="13" priority="27" operator="notEqual">
      <formula>0</formula>
    </cfRule>
  </conditionalFormatting>
  <conditionalFormatting sqref="CF210">
    <cfRule type="cellIs" dxfId="12" priority="29" operator="notEqual">
      <formula>0</formula>
    </cfRule>
  </conditionalFormatting>
  <conditionalFormatting sqref="CG139:CG144">
    <cfRule type="cellIs" dxfId="11" priority="9" operator="notEqual">
      <formula>0</formula>
    </cfRule>
  </conditionalFormatting>
  <conditionalFormatting sqref="CG58:CH58">
    <cfRule type="cellIs" dxfId="10" priority="41" operator="notEqual">
      <formula>0</formula>
    </cfRule>
  </conditionalFormatting>
  <conditionalFormatting sqref="CG218:CI227">
    <cfRule type="cellIs" dxfId="9" priority="13" operator="notEqual">
      <formula>0</formula>
    </cfRule>
  </conditionalFormatting>
  <conditionalFormatting sqref="DA237">
    <cfRule type="cellIs" dxfId="8" priority="14" operator="notEqual">
      <formula>0</formula>
    </cfRule>
  </conditionalFormatting>
  <conditionalFormatting sqref="DB246:DB249">
    <cfRule type="cellIs" dxfId="7" priority="17" operator="notEqual">
      <formula>0</formula>
    </cfRule>
  </conditionalFormatting>
  <conditionalFormatting sqref="DV131">
    <cfRule type="cellIs" dxfId="6" priority="26" operator="notEqual">
      <formula>0</formula>
    </cfRule>
  </conditionalFormatting>
  <conditionalFormatting sqref="DZ241:DZ244">
    <cfRule type="cellIs" dxfId="5" priority="2" operator="notEqual">
      <formula>0</formula>
    </cfRule>
  </conditionalFormatting>
  <conditionalFormatting sqref="EQ131">
    <cfRule type="cellIs" dxfId="4" priority="25" operator="notEqual">
      <formula>0</formula>
    </cfRule>
  </conditionalFormatting>
  <conditionalFormatting sqref="ES140:ES146">
    <cfRule type="cellIs" dxfId="3" priority="1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Y225" r:id="rId8" xr:uid="{B13F52D2-2BA9-4991-ADC9-1EF93F450CCB}"/>
    <hyperlink ref="BI104" r:id="rId9" xr:uid="{C0E610DB-FD23-49C0-9161-DEEFFEB47B1F}"/>
    <hyperlink ref="AJ123" r:id="rId10" xr:uid="{8F21522B-D8EB-49FD-88DB-792AD0FBF37F}"/>
    <hyperlink ref="ET110" r:id="rId11" xr:uid="{E520A503-6F94-42E6-B461-D6CD1E365E64}"/>
    <hyperlink ref="BM156" r:id="rId12" xr:uid="{56AA5492-5E7B-6740-9CD6-917BF070EA2B}"/>
    <hyperlink ref="AO22" r:id="rId13" xr:uid="{9679CAA2-2512-3646-B9B7-B3BAD1D49758}"/>
    <hyperlink ref="DB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264</v>
      </c>
      <c r="F5" s="218" t="s">
        <v>235</v>
      </c>
      <c r="G5" s="221" t="s">
        <v>316</v>
      </c>
      <c r="H5" s="218" t="s">
        <v>235</v>
      </c>
      <c r="I5" s="221" t="s">
        <v>316</v>
      </c>
    </row>
    <row r="6" spans="4:9" ht="20" thickBot="1" x14ac:dyDescent="0.3">
      <c r="D6" s="214"/>
      <c r="E6" s="273" t="s">
        <v>98</v>
      </c>
      <c r="F6" s="274" t="s">
        <v>48</v>
      </c>
      <c r="G6" s="275" t="s">
        <v>48</v>
      </c>
      <c r="H6" s="274" t="s">
        <v>434</v>
      </c>
      <c r="I6" s="275" t="s">
        <v>434</v>
      </c>
    </row>
    <row r="7" spans="4:9" ht="19" x14ac:dyDescent="0.25">
      <c r="D7" s="380" t="s">
        <v>433</v>
      </c>
      <c r="E7" s="217" t="s">
        <v>574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81"/>
      <c r="E8" s="217" t="s">
        <v>435</v>
      </c>
      <c r="F8" s="220">
        <f>'Ore-&gt;PI'!$AS$28+'Ore-&gt;PI'!$BL$35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82" t="s">
        <v>20</v>
      </c>
      <c r="E9" s="217" t="s">
        <v>574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83"/>
      <c r="E10" s="217" t="s">
        <v>575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83"/>
      <c r="E11" s="217" t="s">
        <v>265</v>
      </c>
      <c r="F11" s="220">
        <f>'Ore-&gt;PI'!AS113+'Ore-&gt;PI'!BK116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4"/>
      <c r="E12" s="217" t="s">
        <v>436</v>
      </c>
      <c r="F12" s="220">
        <f>'Ore-&gt;PI'!BQ156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5" t="s">
        <v>353</v>
      </c>
      <c r="E13" s="217" t="s">
        <v>574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6"/>
      <c r="E14" s="217" t="s">
        <v>436</v>
      </c>
      <c r="F14" s="220">
        <f>'Ore-&gt;PI'!BQ258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7"/>
      <c r="E15" s="217" t="s">
        <v>435</v>
      </c>
      <c r="F15" s="220">
        <f>'Ore-&gt;PI'!AA195+'Ore-&gt;PI'!AS190+'Ore-&gt;PI'!BK195+'Ore-&gt;PI'!DB229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8" t="s">
        <v>352</v>
      </c>
      <c r="E16" s="217" t="s">
        <v>435</v>
      </c>
      <c r="F16" s="220">
        <f>'Ore-&gt;PI'!ES117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8"/>
      <c r="E17" s="217" t="s">
        <v>436</v>
      </c>
      <c r="F17" s="220">
        <f>'Ore-&gt;PI'!EB118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9"/>
      <c r="E18" s="216" t="s">
        <v>559</v>
      </c>
      <c r="F18" s="219">
        <f>'Ore-&gt;PI'!EB105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577</v>
      </c>
      <c r="F23" s="3" t="s">
        <v>576</v>
      </c>
      <c r="G23" s="3" t="s">
        <v>642</v>
      </c>
    </row>
    <row r="24" spans="4:9" x14ac:dyDescent="0.2">
      <c r="E24" s="204" t="s">
        <v>574</v>
      </c>
      <c r="F24">
        <f>'Ore-&gt;PI'!V222+'Ore-&gt;PI'!V140+'Ore-&gt;PI'!V59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435</v>
      </c>
      <c r="F25">
        <f>'Ore-&gt;PI'!EU117+'Ore-&gt;PI'!DD229+'Ore-&gt;PI'!BM195+'Ore-&gt;PI'!AU190+'Ore-&gt;PI'!AC195+'Ore-&gt;PI'!AU113+'Ore-&gt;PI'!BM116+'Ore-&gt;PI'!BN35+'Ore-&gt;PI'!AU28</f>
        <v>1259529.3337336415</v>
      </c>
      <c r="G25">
        <f t="shared" si="2"/>
        <v>1.2595293337336415E-3</v>
      </c>
    </row>
    <row r="26" spans="4:9" x14ac:dyDescent="0.2">
      <c r="E26" s="204" t="s">
        <v>436</v>
      </c>
      <c r="F26">
        <f>'Ore-&gt;PI'!CB152+'Ore-&gt;PI'!CB254+'Ore-&gt;PI'!EM114</f>
        <v>1081571592.2511754</v>
      </c>
      <c r="G26">
        <f t="shared" si="2"/>
        <v>1.0815715922511755</v>
      </c>
    </row>
    <row r="27" spans="4:9" x14ac:dyDescent="0.2">
      <c r="E27" s="204" t="s">
        <v>575</v>
      </c>
      <c r="F27">
        <f>'Ore-&gt;PI'!V151</f>
        <v>24.076233417548465</v>
      </c>
      <c r="G27">
        <f t="shared" si="2"/>
        <v>2.4076233417548466E-8</v>
      </c>
    </row>
    <row r="28" spans="4:9" x14ac:dyDescent="0.2">
      <c r="E28" s="204" t="s">
        <v>559</v>
      </c>
      <c r="F28">
        <f>'Ore-&gt;PI'!EM101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E47" zoomScale="42" zoomScaleNormal="20" workbookViewId="0">
      <selection activeCell="E120" sqref="E120:AM134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586</v>
      </c>
      <c r="AR1" s="260"/>
      <c r="AS1" s="207" t="s">
        <v>416</v>
      </c>
      <c r="AT1" s="207" t="s">
        <v>417</v>
      </c>
      <c r="AU1" s="207" t="s">
        <v>418</v>
      </c>
      <c r="AV1" s="207" t="s">
        <v>567</v>
      </c>
      <c r="AW1" s="207" t="s">
        <v>546</v>
      </c>
      <c r="AX1" s="207" t="s">
        <v>545</v>
      </c>
      <c r="AY1" s="207" t="s">
        <v>444</v>
      </c>
      <c r="AZ1" s="207" t="s">
        <v>441</v>
      </c>
      <c r="BA1" s="207" t="s">
        <v>459</v>
      </c>
      <c r="BB1" s="207" t="s">
        <v>442</v>
      </c>
      <c r="BC1" s="207" t="s">
        <v>437</v>
      </c>
      <c r="BD1" s="207" t="s">
        <v>457</v>
      </c>
      <c r="BE1" s="207" t="s">
        <v>81</v>
      </c>
      <c r="BF1" s="207" t="s">
        <v>428</v>
      </c>
      <c r="BK1" s="260"/>
      <c r="BL1" s="207" t="s">
        <v>416</v>
      </c>
      <c r="BM1" s="207" t="s">
        <v>417</v>
      </c>
      <c r="BN1" s="207" t="s">
        <v>418</v>
      </c>
      <c r="BO1" s="207" t="s">
        <v>567</v>
      </c>
      <c r="BP1" s="207" t="s">
        <v>546</v>
      </c>
      <c r="BQ1" s="207" t="s">
        <v>545</v>
      </c>
      <c r="BR1" s="207" t="s">
        <v>444</v>
      </c>
      <c r="BS1" s="207" t="s">
        <v>441</v>
      </c>
      <c r="BT1" s="207" t="s">
        <v>459</v>
      </c>
      <c r="BU1" s="207" t="s">
        <v>442</v>
      </c>
      <c r="BV1" s="207" t="s">
        <v>437</v>
      </c>
      <c r="BW1" s="207" t="s">
        <v>457</v>
      </c>
      <c r="BX1" s="207" t="s">
        <v>81</v>
      </c>
      <c r="BY1" s="207" t="s">
        <v>428</v>
      </c>
    </row>
    <row r="2" spans="2:77" x14ac:dyDescent="0.2">
      <c r="B2" s="204" t="s">
        <v>424</v>
      </c>
      <c r="C2" s="284">
        <v>1</v>
      </c>
      <c r="AR2" s="204" t="s">
        <v>424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424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426</v>
      </c>
      <c r="C3" s="284">
        <v>1</v>
      </c>
      <c r="AR3" s="204" t="s">
        <v>426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426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427</v>
      </c>
      <c r="C4" s="284">
        <v>1</v>
      </c>
      <c r="AR4" s="204" t="s">
        <v>427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427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448</v>
      </c>
      <c r="C5" s="284">
        <v>1</v>
      </c>
      <c r="AR5" s="204" t="s">
        <v>448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448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478</v>
      </c>
      <c r="C6" s="284">
        <v>1</v>
      </c>
      <c r="AK6" s="204"/>
      <c r="AR6" s="204" t="s">
        <v>478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478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578</v>
      </c>
      <c r="C7" s="284">
        <v>1</v>
      </c>
      <c r="AK7" s="204"/>
      <c r="AR7" s="204" t="s">
        <v>578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578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579</v>
      </c>
      <c r="C8" s="284">
        <v>1</v>
      </c>
      <c r="AK8" s="204"/>
      <c r="AR8" s="204" t="s">
        <v>579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579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520</v>
      </c>
      <c r="C9" s="284">
        <v>1</v>
      </c>
      <c r="AK9" s="204"/>
      <c r="AR9" s="204" t="s">
        <v>520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571</v>
      </c>
      <c r="C10" s="284">
        <v>1</v>
      </c>
      <c r="AK10" s="204"/>
      <c r="AR10" s="204" t="s">
        <v>571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571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553</v>
      </c>
      <c r="C11" s="284">
        <v>1</v>
      </c>
      <c r="AR11" s="205" t="s">
        <v>553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553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518</v>
      </c>
      <c r="C12" s="284">
        <v>1</v>
      </c>
      <c r="AR12" s="204" t="s">
        <v>518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518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521</v>
      </c>
      <c r="C13" s="284">
        <v>1</v>
      </c>
      <c r="AR13" s="205" t="s">
        <v>521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521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548</v>
      </c>
      <c r="C14" s="284">
        <v>1</v>
      </c>
      <c r="AR14" s="204" t="s">
        <v>548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548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540</v>
      </c>
      <c r="C15" s="284">
        <v>1</v>
      </c>
      <c r="AR15" s="206" t="s">
        <v>540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525</v>
      </c>
      <c r="C16" s="284">
        <v>1</v>
      </c>
      <c r="AR16" s="204" t="s">
        <v>525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525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552</v>
      </c>
      <c r="C17" s="284">
        <v>1</v>
      </c>
      <c r="AR17" s="205" t="s">
        <v>552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552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547</v>
      </c>
      <c r="C18" s="284">
        <v>1</v>
      </c>
      <c r="AR18" s="205" t="s">
        <v>547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547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544</v>
      </c>
      <c r="C19" s="284">
        <v>1</v>
      </c>
      <c r="AR19" s="205" t="s">
        <v>544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544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550</v>
      </c>
      <c r="C20" s="284">
        <v>1</v>
      </c>
      <c r="AR20" s="205" t="s">
        <v>550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549</v>
      </c>
      <c r="C21" s="284">
        <v>1</v>
      </c>
      <c r="AR21" s="206" t="s">
        <v>549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549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533</v>
      </c>
      <c r="C22" s="284">
        <v>1</v>
      </c>
      <c r="AR22" s="206" t="s">
        <v>533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533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568</v>
      </c>
      <c r="C23" s="284">
        <v>1</v>
      </c>
      <c r="AR23" s="206" t="s">
        <v>568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568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534</v>
      </c>
      <c r="C24" s="284">
        <v>1</v>
      </c>
      <c r="AR24" s="206" t="s">
        <v>534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534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536</v>
      </c>
      <c r="C25" s="284">
        <v>1</v>
      </c>
      <c r="AR25" s="206" t="s">
        <v>536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536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535</v>
      </c>
      <c r="C26" s="284">
        <v>1</v>
      </c>
      <c r="AR26" s="206" t="s">
        <v>535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535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634</v>
      </c>
      <c r="C27" s="284">
        <v>1</v>
      </c>
      <c r="AR27" s="206" t="s">
        <v>634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634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531</v>
      </c>
      <c r="C28" s="284">
        <v>1</v>
      </c>
      <c r="AR28" s="253" t="s">
        <v>531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531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530</v>
      </c>
      <c r="C29" s="284">
        <v>1</v>
      </c>
      <c r="AR29" s="206" t="s">
        <v>530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532</v>
      </c>
      <c r="C30" s="284">
        <v>1</v>
      </c>
      <c r="AR30" s="204" t="s">
        <v>532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532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528</v>
      </c>
      <c r="C31" s="284">
        <v>1</v>
      </c>
      <c r="AR31" s="206" t="s">
        <v>528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528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556</v>
      </c>
      <c r="C32" s="284">
        <v>1</v>
      </c>
      <c r="AR32" s="206" t="s">
        <v>556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556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557</v>
      </c>
      <c r="C33" s="284">
        <v>1</v>
      </c>
      <c r="AR33" s="206" t="s">
        <v>557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557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558</v>
      </c>
      <c r="C34" s="284">
        <v>1</v>
      </c>
      <c r="AR34" s="206" t="s">
        <v>558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558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569</v>
      </c>
      <c r="C35" s="284">
        <v>1</v>
      </c>
      <c r="AR35" s="206" t="s">
        <v>569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569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585</v>
      </c>
      <c r="AR36" s="206"/>
      <c r="AS36" s="390" t="s">
        <v>582</v>
      </c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D36" s="390"/>
      <c r="BE36" s="390"/>
      <c r="BF36" s="390"/>
      <c r="BK36" s="206"/>
      <c r="BL36" s="390" t="s">
        <v>583</v>
      </c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  <c r="BW36" s="390"/>
      <c r="BX36" s="390"/>
      <c r="BY36" s="390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416</v>
      </c>
      <c r="AT39" s="207" t="s">
        <v>417</v>
      </c>
      <c r="AU39" s="207" t="s">
        <v>418</v>
      </c>
      <c r="AV39" s="207" t="s">
        <v>567</v>
      </c>
      <c r="AW39" s="207" t="s">
        <v>546</v>
      </c>
      <c r="AX39" s="207" t="s">
        <v>545</v>
      </c>
      <c r="AY39" s="207" t="s">
        <v>444</v>
      </c>
      <c r="AZ39" s="207" t="s">
        <v>441</v>
      </c>
      <c r="BA39" s="207" t="s">
        <v>459</v>
      </c>
      <c r="BB39" s="207" t="s">
        <v>442</v>
      </c>
      <c r="BC39" s="207" t="s">
        <v>437</v>
      </c>
      <c r="BD39" s="207" t="s">
        <v>457</v>
      </c>
      <c r="BE39" s="207" t="s">
        <v>81</v>
      </c>
      <c r="BF39" s="207" t="s">
        <v>428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424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426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427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448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478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578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579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520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571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553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518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521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548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540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525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552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547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544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550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549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533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568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534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536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535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634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531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530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532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528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556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557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558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569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90" t="s">
        <v>584</v>
      </c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  <c r="BD74" s="390"/>
      <c r="BE74" s="390"/>
      <c r="BF74" s="390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416</v>
      </c>
      <c r="AT82" s="207" t="s">
        <v>417</v>
      </c>
      <c r="AU82" s="207" t="s">
        <v>418</v>
      </c>
      <c r="AV82" s="207" t="s">
        <v>567</v>
      </c>
      <c r="AW82" s="207" t="s">
        <v>546</v>
      </c>
      <c r="AX82" s="207" t="s">
        <v>545</v>
      </c>
      <c r="AY82" s="207" t="s">
        <v>444</v>
      </c>
      <c r="AZ82" s="207" t="s">
        <v>441</v>
      </c>
      <c r="BA82" s="207" t="s">
        <v>459</v>
      </c>
      <c r="BB82" s="207" t="s">
        <v>442</v>
      </c>
      <c r="BC82" s="207" t="s">
        <v>437</v>
      </c>
      <c r="BD82" s="207" t="s">
        <v>457</v>
      </c>
      <c r="BE82" s="207" t="s">
        <v>81</v>
      </c>
      <c r="BF82" s="207" t="s">
        <v>428</v>
      </c>
      <c r="BK82" s="207"/>
      <c r="BL82" s="207" t="s">
        <v>422</v>
      </c>
      <c r="BM82" s="207" t="s">
        <v>356</v>
      </c>
    </row>
    <row r="83" spans="35:66" x14ac:dyDescent="0.2">
      <c r="AI83" s="204"/>
      <c r="AR83" s="204" t="s">
        <v>424</v>
      </c>
      <c r="AS83" s="230">
        <f>'Ore-&gt;PI'!$V$42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424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426</v>
      </c>
      <c r="AS84" s="230"/>
      <c r="AT84" s="230">
        <f>'Ore-&gt;PI'!$V$126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426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427</v>
      </c>
      <c r="AS85" s="230"/>
      <c r="AT85" s="230"/>
      <c r="AU85" s="230">
        <f>'Ore-&gt;PI'!$V$206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427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448</v>
      </c>
      <c r="AS86" s="230">
        <f>'Ore-&gt;PI'!V72</f>
        <v>236.0188688118763</v>
      </c>
      <c r="AT86" s="230">
        <f>'Ore-&gt;PI'!V163</f>
        <v>0.70761030268572533</v>
      </c>
      <c r="AU86" s="230">
        <f>'Ore-&gt;PI'!V236</f>
        <v>56.138829759567599</v>
      </c>
      <c r="AV86" s="230"/>
      <c r="AW86" s="230"/>
      <c r="AX86" s="230"/>
      <c r="AY86" s="230"/>
      <c r="AZ86" s="230"/>
      <c r="BA86" s="230"/>
      <c r="BB86" s="230">
        <f>'Ore-&gt;PI'!CB140</f>
        <v>9183.7711365934829</v>
      </c>
      <c r="BC86" s="230">
        <f>'Ore-&gt;PI'!CB242</f>
        <v>4359.9448543333856</v>
      </c>
      <c r="BD86" s="230"/>
      <c r="BE86" s="230"/>
      <c r="BF86" s="243">
        <f>'Ore-&gt;PI'!EM140</f>
        <v>23611.293462025522</v>
      </c>
      <c r="BG86" s="252">
        <f t="shared" si="34"/>
        <v>37447.874761826519</v>
      </c>
      <c r="BK86" s="204" t="s">
        <v>448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478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'Ore-&gt;PI'!CB152</f>
        <v>1078370532.5161049</v>
      </c>
      <c r="BC87" s="230">
        <f>'Ore-&gt;PI'!CB254</f>
        <v>879540.87913658854</v>
      </c>
      <c r="BD87" s="230"/>
      <c r="BE87" s="230"/>
      <c r="BF87" s="230">
        <f>'Ore-&gt;PI'!EM114</f>
        <v>2321518.855933811</v>
      </c>
      <c r="BG87" s="252">
        <f t="shared" si="34"/>
        <v>1081571592.2511754</v>
      </c>
      <c r="BK87" s="204" t="s">
        <v>478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578</v>
      </c>
      <c r="AS88" s="230">
        <f>'Ore-&gt;PI'!V59</f>
        <v>94146.207140653787</v>
      </c>
      <c r="AT88" s="230">
        <f>'Ore-&gt;PI'!V140</f>
        <v>257.99399332425372</v>
      </c>
      <c r="AU88" s="230">
        <f>'Ore-&gt;PI'!V222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578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579</v>
      </c>
      <c r="AS89" s="230"/>
      <c r="AT89" s="230">
        <f>'Ore-&gt;PI'!V151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579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520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'Ore-&gt;PI'!EM101</f>
        <v>206840.02835429934</v>
      </c>
      <c r="BG90" s="252">
        <f t="shared" si="34"/>
        <v>206840.02835429934</v>
      </c>
      <c r="BK90" s="204" t="s">
        <v>520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571</v>
      </c>
      <c r="AS91" s="230"/>
      <c r="AT91" s="230"/>
      <c r="AU91" s="230">
        <f>'Ore-&gt;PI'!AC195</f>
        <v>77449.427901236573</v>
      </c>
      <c r="AV91" s="230">
        <f>'Ore-&gt;PI'!AU28</f>
        <v>609792.2517593482</v>
      </c>
      <c r="AW91" s="230">
        <f>'Ore-&gt;PI'!AU113</f>
        <v>2824.8856477449194</v>
      </c>
      <c r="AX91" s="230">
        <f>'Ore-&gt;PI'!AU190</f>
        <v>160253.43323591491</v>
      </c>
      <c r="AY91" s="230">
        <f>'Ore-&gt;PI'!BN35</f>
        <v>12626.098826338684</v>
      </c>
      <c r="AZ91" s="230">
        <f>'Ore-&gt;PI'!BM116</f>
        <v>34.678095164114971</v>
      </c>
      <c r="BA91" s="230">
        <f>'Ore-&gt;PI'!BM195</f>
        <v>28604.157765782104</v>
      </c>
      <c r="BB91" s="230"/>
      <c r="BC91" s="230"/>
      <c r="BD91" s="230">
        <f>'Ore-&gt;PI'!DD229</f>
        <v>50099.526545856235</v>
      </c>
      <c r="BE91" s="230"/>
      <c r="BF91" s="230">
        <f>'Ore-&gt;PI'!EU117</f>
        <v>317844.87395625591</v>
      </c>
      <c r="BG91" s="252">
        <f t="shared" si="34"/>
        <v>1259529.3337336415</v>
      </c>
      <c r="BK91" s="204" t="s">
        <v>571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553</v>
      </c>
      <c r="AS92" s="230"/>
      <c r="AT92" s="230"/>
      <c r="AU92" s="230"/>
      <c r="AV92" s="230">
        <f>'Ore-&gt;PI'!$AO$42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553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518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518</v>
      </c>
      <c r="BL93" s="244"/>
      <c r="BM93" s="244">
        <f>'Ore-&gt;PI'!AO63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521</v>
      </c>
      <c r="AS94" s="230"/>
      <c r="AT94" s="230"/>
      <c r="AU94" s="230"/>
      <c r="AV94" s="230"/>
      <c r="AW94" s="230">
        <f>'Ore-&gt;PI'!$AP$126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521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548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548</v>
      </c>
      <c r="BL95" s="244"/>
      <c r="BM95" s="244">
        <f>'Ore-&gt;PI'!AP142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540</v>
      </c>
      <c r="AS96" s="230"/>
      <c r="AT96" s="230"/>
      <c r="AU96" s="230"/>
      <c r="AV96" s="230"/>
      <c r="AW96" s="230"/>
      <c r="AX96" s="230">
        <f>'Ore-&gt;PI'!$AP$206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540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525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525</v>
      </c>
      <c r="BL97" s="244"/>
      <c r="BM97" s="244">
        <f>'Ore-&gt;PI'!AP227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552</v>
      </c>
      <c r="AS98" s="230"/>
      <c r="AT98" s="230"/>
      <c r="AU98" s="230"/>
      <c r="AV98" s="230"/>
      <c r="AW98" s="230"/>
      <c r="AX98" s="230"/>
      <c r="AY98" s="230">
        <f>'Ore-&gt;PI'!$BH$42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552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547</v>
      </c>
      <c r="AS99" s="230"/>
      <c r="AT99" s="230"/>
      <c r="AU99" s="230"/>
      <c r="AV99" s="230"/>
      <c r="AW99" s="230"/>
      <c r="AX99" s="230"/>
      <c r="AY99" s="230"/>
      <c r="AZ99" s="230">
        <f>'Ore-&gt;PI'!$BI$126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547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544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'Ore-&gt;PI'!$BI$206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544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550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'Ore-&gt;PI'!CA42</f>
        <v>88965.799815334409</v>
      </c>
      <c r="BF101" s="230"/>
      <c r="BG101" s="252">
        <f t="shared" si="34"/>
        <v>88965.799815334409</v>
      </c>
      <c r="BK101" s="205" t="s">
        <v>550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549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549</v>
      </c>
      <c r="BL102" s="244"/>
      <c r="BM102" s="244">
        <f>'Ore-&gt;PI'!CA55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533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'Ore-&gt;PI'!$CB$126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533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568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'Ore-&gt;PI'!$CB$206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568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534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'Ore-&gt;PI'!$CW$126</f>
        <v>242016.07607977447</v>
      </c>
      <c r="BF105" s="230"/>
      <c r="BG105" s="252">
        <f t="shared" si="34"/>
        <v>242016.07607977447</v>
      </c>
      <c r="BK105" s="206" t="s">
        <v>534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536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536</v>
      </c>
      <c r="BL106" s="244"/>
      <c r="BM106" s="244">
        <f>'Ore-&gt;PI'!CW114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535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535</v>
      </c>
      <c r="BL107" s="244"/>
      <c r="BM107" s="244">
        <f>'Ore-&gt;PI'!CW138</f>
        <v>1133973033.3846123</v>
      </c>
      <c r="BN107" s="252">
        <f t="shared" si="37"/>
        <v>1133973033.3846123</v>
      </c>
    </row>
    <row r="108" spans="35:71" x14ac:dyDescent="0.2">
      <c r="AI108" s="206"/>
      <c r="AR108" s="206" t="s">
        <v>634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'Ore-&gt;PI'!$CW$206</f>
        <v>6791339.3350291392</v>
      </c>
      <c r="BF108" s="230"/>
      <c r="BG108" s="252">
        <f t="shared" si="34"/>
        <v>6791339.3350291392</v>
      </c>
      <c r="BK108" s="206" t="s">
        <v>634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531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'Ore-&gt;PI'!$CW$233</f>
        <v>5935408.0537775028</v>
      </c>
      <c r="BE109" s="230"/>
      <c r="BF109" s="230"/>
      <c r="BG109" s="252">
        <f t="shared" si="34"/>
        <v>5935408.0537775028</v>
      </c>
      <c r="BK109" s="253" t="s">
        <v>531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530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530</v>
      </c>
      <c r="BL110" s="244"/>
      <c r="BM110" s="244">
        <f>'Ore-&gt;PI'!CW217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532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532</v>
      </c>
      <c r="BL111" s="244"/>
      <c r="BM111" s="244">
        <f>'Ore-&gt;PI'!CW250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528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'Ore-&gt;PI'!CB225</f>
        <v>891683.71589033271</v>
      </c>
      <c r="BD112" s="230"/>
      <c r="BE112" s="230"/>
      <c r="BF112" s="243">
        <f>'Ore-&gt;PI'!EM152</f>
        <v>4161190.674154886</v>
      </c>
      <c r="BG112" s="252">
        <f t="shared" si="34"/>
        <v>5052874.3900452191</v>
      </c>
      <c r="BK112" s="206" t="s">
        <v>528</v>
      </c>
      <c r="BL112" s="244">
        <f>'Ore-&gt;PI'!EX233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556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'Ore-&gt;PI'!EM126</f>
        <v>7072531.8830895294</v>
      </c>
      <c r="BG113" s="252">
        <f t="shared" si="34"/>
        <v>7072531.8830895294</v>
      </c>
      <c r="BK113" s="206" t="s">
        <v>556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557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557</v>
      </c>
      <c r="BL114" s="244">
        <f>'Ore-&gt;PI'!FM126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558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558</v>
      </c>
      <c r="BL115" s="244"/>
      <c r="BM115" s="244">
        <f>'Ore-&gt;PI'!FM141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569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569</v>
      </c>
      <c r="BL116" s="244"/>
      <c r="BM116" s="244">
        <f>'Ore-&gt;PI'!FM104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90" t="s">
        <v>419</v>
      </c>
      <c r="AT117" s="390"/>
      <c r="AU117" s="390"/>
      <c r="AV117" s="390"/>
      <c r="AW117" s="390"/>
      <c r="AX117" s="390"/>
      <c r="AY117" s="390"/>
      <c r="AZ117" s="390"/>
      <c r="BA117" s="390"/>
      <c r="BB117" s="390"/>
      <c r="BC117" s="390"/>
      <c r="BD117" s="390"/>
      <c r="BE117" s="390"/>
      <c r="BF117" s="390"/>
      <c r="BG117" s="25" t="s">
        <v>470</v>
      </c>
      <c r="BL117" s="390" t="s">
        <v>421</v>
      </c>
      <c r="BM117" s="390"/>
      <c r="BN117" s="25" t="s">
        <v>485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91"/>
      <c r="G119" s="391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90" t="s">
        <v>469</v>
      </c>
      <c r="AT119" s="390"/>
      <c r="AU119" s="390"/>
      <c r="AV119" s="390"/>
      <c r="AW119" s="390"/>
      <c r="AX119" s="390"/>
      <c r="AY119" s="390"/>
      <c r="AZ119" s="390"/>
      <c r="BA119" s="390"/>
      <c r="BB119" s="390"/>
      <c r="BC119" s="390"/>
      <c r="BD119" s="390"/>
      <c r="BE119" s="390"/>
      <c r="BF119" s="390"/>
      <c r="BL119" s="25"/>
      <c r="BM119" s="25"/>
    </row>
    <row r="120" spans="5:66" ht="236" x14ac:dyDescent="0.2">
      <c r="E120" s="240"/>
      <c r="F120" s="207" t="s">
        <v>424</v>
      </c>
      <c r="G120" s="207" t="s">
        <v>426</v>
      </c>
      <c r="H120" s="207" t="s">
        <v>427</v>
      </c>
      <c r="I120" s="207" t="s">
        <v>448</v>
      </c>
      <c r="J120" s="207" t="s">
        <v>478</v>
      </c>
      <c r="K120" s="207" t="s">
        <v>578</v>
      </c>
      <c r="L120" s="207" t="s">
        <v>579</v>
      </c>
      <c r="M120" s="207" t="s">
        <v>520</v>
      </c>
      <c r="N120" s="207" t="s">
        <v>571</v>
      </c>
      <c r="O120" s="209" t="s">
        <v>553</v>
      </c>
      <c r="P120" s="207" t="s">
        <v>518</v>
      </c>
      <c r="Q120" s="209" t="s">
        <v>521</v>
      </c>
      <c r="R120" s="207" t="s">
        <v>548</v>
      </c>
      <c r="S120" s="210" t="s">
        <v>540</v>
      </c>
      <c r="T120" s="207" t="s">
        <v>525</v>
      </c>
      <c r="U120" s="209" t="s">
        <v>552</v>
      </c>
      <c r="V120" s="209" t="s">
        <v>547</v>
      </c>
      <c r="W120" s="209" t="s">
        <v>544</v>
      </c>
      <c r="X120" s="209" t="s">
        <v>550</v>
      </c>
      <c r="Y120" s="210" t="s">
        <v>549</v>
      </c>
      <c r="Z120" s="210" t="s">
        <v>533</v>
      </c>
      <c r="AA120" s="210" t="s">
        <v>568</v>
      </c>
      <c r="AB120" s="210" t="s">
        <v>534</v>
      </c>
      <c r="AC120" s="210" t="s">
        <v>536</v>
      </c>
      <c r="AD120" s="210" t="s">
        <v>535</v>
      </c>
      <c r="AE120" s="210" t="s">
        <v>634</v>
      </c>
      <c r="AF120" s="232" t="s">
        <v>531</v>
      </c>
      <c r="AG120" s="210" t="s">
        <v>530</v>
      </c>
      <c r="AH120" s="207" t="s">
        <v>532</v>
      </c>
      <c r="AI120" s="210" t="s">
        <v>528</v>
      </c>
      <c r="AJ120" s="210" t="s">
        <v>556</v>
      </c>
      <c r="AK120" s="210" t="s">
        <v>557</v>
      </c>
      <c r="AL120" s="210" t="s">
        <v>558</v>
      </c>
      <c r="AM120" s="210" t="s">
        <v>569</v>
      </c>
    </row>
    <row r="121" spans="5:66" x14ac:dyDescent="0.2">
      <c r="E121" s="204" t="s">
        <v>416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'Ore-&gt;PI'!AO42</f>
        <v>109233.7126431732</v>
      </c>
      <c r="P121" s="230">
        <f>'Ore-&gt;PI'!AO63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417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'Ore-&gt;PI'!AP126</f>
        <v>25394.240916408646</v>
      </c>
      <c r="R122" s="230">
        <f>'Ore-&gt;PI'!AP142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418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'Ore-&gt;PI'!AP206</f>
        <v>8753719.7068998404</v>
      </c>
      <c r="T123" s="230">
        <f>'Ore-&gt;PI'!AP227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567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'Ore-&gt;PI'!BH42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546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'Ore-&gt;PI'!BI126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545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'Ore-&gt;PI'!BI206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444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'Ore-&gt;PI'!CA42</f>
        <v>88965.799815334409</v>
      </c>
      <c r="Y127" s="230">
        <f>'Ore-&gt;PI'!CA55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441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'Ore-&gt;PI'!CB126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459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'Ore-&gt;PI'!CB206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442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'Ore-&gt;PI'!CW126</f>
        <v>242016.07607977447</v>
      </c>
      <c r="AC130" s="230">
        <f>'Ore-&gt;PI'!CW114</f>
        <v>7739.2511800711582</v>
      </c>
      <c r="AD130" s="230">
        <f>'Ore-&gt;PI'!CW138</f>
        <v>1133973033.3846123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1134222788.7118721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437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'Ore-&gt;PI'!CW206</f>
        <v>6791339.3350291392</v>
      </c>
      <c r="AF131" s="230">
        <f>'Ore-&gt;PI'!CW233</f>
        <v>5935408.0537775028</v>
      </c>
      <c r="AG131" s="230">
        <f>'Ore-&gt;PI'!CW217</f>
        <v>5366.0434241372932</v>
      </c>
      <c r="AH131" s="230">
        <f>'Ore-&gt;PI'!CW250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457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'Ore-&gt;PI'!DQ233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'Ore-&gt;PI'!EM126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428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'Ore-&gt;PI'!FM126</f>
        <v>4157895.2984628798</v>
      </c>
      <c r="AL134" s="230">
        <f>'Ore-&gt;PI'!FM141</f>
        <v>432711.9695416363</v>
      </c>
      <c r="AM134" s="230">
        <f>'Ore-&gt;PI'!FM104</f>
        <v>67875.356217847453</v>
      </c>
      <c r="AN134" s="252">
        <f t="shared" si="39"/>
        <v>4658482.6242223633</v>
      </c>
    </row>
    <row r="135" spans="5:65" x14ac:dyDescent="0.2">
      <c r="E135" s="204"/>
      <c r="F135" s="390" t="s">
        <v>420</v>
      </c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390"/>
      <c r="S135" s="390"/>
      <c r="T135" s="390"/>
      <c r="U135" s="390"/>
      <c r="V135" s="390"/>
      <c r="W135" s="390"/>
      <c r="X135" s="390"/>
      <c r="Y135" s="390"/>
      <c r="Z135" s="390"/>
      <c r="AA135" s="390"/>
      <c r="AB135" s="390"/>
      <c r="AC135" s="390"/>
      <c r="AD135" s="390"/>
      <c r="AE135" s="390"/>
      <c r="AF135" s="390"/>
      <c r="AG135" s="390"/>
      <c r="AH135" s="390"/>
      <c r="AI135" s="390"/>
      <c r="AJ135" s="390"/>
      <c r="AK135" s="390"/>
      <c r="AL135" s="390"/>
      <c r="AM135" s="390"/>
      <c r="AN135" s="25" t="s">
        <v>466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1133973033.3846123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90" t="s">
        <v>467</v>
      </c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0"/>
      <c r="T137" s="390"/>
      <c r="U137" s="390"/>
      <c r="V137" s="390"/>
      <c r="W137" s="390"/>
      <c r="X137" s="390"/>
      <c r="Y137" s="390"/>
      <c r="Z137" s="390"/>
      <c r="AA137" s="390"/>
      <c r="AB137" s="390"/>
      <c r="AC137" s="390"/>
      <c r="AD137" s="390"/>
      <c r="AE137" s="390"/>
      <c r="AF137" s="390"/>
      <c r="AG137" s="390"/>
      <c r="AH137" s="390"/>
      <c r="AI137" s="390"/>
      <c r="AJ137" s="390"/>
      <c r="AK137" s="390"/>
      <c r="AL137" s="390"/>
      <c r="AM137" s="390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424</v>
      </c>
      <c r="G148" s="207" t="s">
        <v>426</v>
      </c>
      <c r="H148" s="207" t="s">
        <v>427</v>
      </c>
      <c r="I148" s="207" t="s">
        <v>448</v>
      </c>
      <c r="J148" s="207" t="s">
        <v>478</v>
      </c>
      <c r="K148" s="207" t="s">
        <v>578</v>
      </c>
      <c r="L148" s="207" t="s">
        <v>579</v>
      </c>
      <c r="M148" s="207" t="s">
        <v>520</v>
      </c>
      <c r="N148" s="207" t="s">
        <v>571</v>
      </c>
      <c r="O148" s="209" t="s">
        <v>553</v>
      </c>
      <c r="P148" s="207" t="s">
        <v>518</v>
      </c>
      <c r="Q148" s="209" t="s">
        <v>521</v>
      </c>
      <c r="R148" s="207" t="s">
        <v>548</v>
      </c>
      <c r="S148" s="210" t="s">
        <v>540</v>
      </c>
      <c r="T148" s="207" t="s">
        <v>525</v>
      </c>
      <c r="U148" s="209" t="s">
        <v>552</v>
      </c>
      <c r="V148" s="209" t="s">
        <v>547</v>
      </c>
      <c r="W148" s="209" t="s">
        <v>544</v>
      </c>
      <c r="X148" s="209" t="s">
        <v>550</v>
      </c>
      <c r="Y148" s="210" t="s">
        <v>549</v>
      </c>
      <c r="Z148" s="210" t="s">
        <v>533</v>
      </c>
      <c r="AA148" s="210" t="s">
        <v>568</v>
      </c>
      <c r="AB148" s="210" t="s">
        <v>534</v>
      </c>
      <c r="AC148" s="210" t="s">
        <v>536</v>
      </c>
      <c r="AD148" s="210" t="s">
        <v>535</v>
      </c>
      <c r="AE148" s="210" t="s">
        <v>634</v>
      </c>
      <c r="AF148" s="232" t="s">
        <v>531</v>
      </c>
      <c r="AG148" s="210" t="s">
        <v>530</v>
      </c>
      <c r="AH148" s="207" t="s">
        <v>532</v>
      </c>
      <c r="AI148" s="210" t="s">
        <v>528</v>
      </c>
      <c r="AJ148" s="210" t="s">
        <v>556</v>
      </c>
      <c r="AK148" s="210" t="s">
        <v>557</v>
      </c>
      <c r="AL148" s="210" t="s">
        <v>558</v>
      </c>
      <c r="AM148" s="210" t="s">
        <v>569</v>
      </c>
      <c r="AN148" s="210"/>
      <c r="AO148" s="210"/>
    </row>
    <row r="149" spans="5:45" x14ac:dyDescent="0.2">
      <c r="E149" s="204" t="s">
        <v>423</v>
      </c>
      <c r="F149" s="244">
        <f>'Ore-&gt;PI'!V42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425</v>
      </c>
      <c r="F150" s="244"/>
      <c r="G150" s="244">
        <f>'Ore-&gt;PI'!V126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449</v>
      </c>
      <c r="F151" s="244"/>
      <c r="G151" s="244"/>
      <c r="H151" s="244">
        <f>'Ore-&gt;PI'!V206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484</v>
      </c>
      <c r="F152" s="244"/>
      <c r="G152" s="244"/>
      <c r="H152" s="244"/>
      <c r="I152" s="250">
        <f>'Ore-&gt;PI'!V236+'Ore-&gt;PI'!V163+'Ore-&gt;PI'!V72+'Ore-&gt;PI'!CB242+'Ore-&gt;PI'!CB140+'Ore-&gt;PI'!EM140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477</v>
      </c>
      <c r="F153" s="244"/>
      <c r="G153" s="244"/>
      <c r="H153" s="244"/>
      <c r="I153" s="244"/>
      <c r="J153" s="244">
        <f>'Ore-&gt;PI'!EM114+'Ore-&gt;PI'!CB152+'Ore-&gt;PI'!CB254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581</v>
      </c>
      <c r="F154" s="244"/>
      <c r="G154" s="244"/>
      <c r="H154" s="244"/>
      <c r="I154" s="244"/>
      <c r="J154" s="244"/>
      <c r="K154" s="244">
        <f>'Ore-&gt;PI'!V59+'Ore-&gt;PI'!V140+'Ore-&gt;PI'!V222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580</v>
      </c>
      <c r="F155" s="244"/>
      <c r="G155" s="244"/>
      <c r="H155" s="244"/>
      <c r="I155" s="244"/>
      <c r="J155" s="244"/>
      <c r="K155" s="244"/>
      <c r="L155" s="244">
        <f>'Ore-&gt;PI'!V151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519</v>
      </c>
      <c r="F156" s="244"/>
      <c r="G156" s="244"/>
      <c r="H156" s="244"/>
      <c r="I156" s="244"/>
      <c r="J156" s="244"/>
      <c r="K156" s="244"/>
      <c r="L156" s="244"/>
      <c r="M156" s="244">
        <f>'Ore-&gt;PI'!EM101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570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'Ore-&gt;PI'!EU117+'Ore-&gt;PI'!BM116+'Ore-&gt;PI'!AU113+'Ore-&gt;PI'!AC195+'Ore-&gt;PI'!AU190+'Ore-&gt;PI'!BM195+'Ore-&gt;PI'!DD229+'Ore-&gt;PI'!BN35+'Ore-&gt;PI'!AU28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90" t="s">
        <v>57</v>
      </c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390"/>
      <c r="S158" s="390"/>
      <c r="T158" s="390"/>
      <c r="U158" s="390"/>
      <c r="V158" s="390"/>
      <c r="W158" s="390"/>
      <c r="X158" s="390"/>
      <c r="Y158" s="390"/>
      <c r="Z158" s="390"/>
      <c r="AA158" s="390"/>
      <c r="AB158" s="390"/>
      <c r="AC158" s="390"/>
      <c r="AD158" s="390"/>
      <c r="AE158" s="390"/>
      <c r="AF158" s="390"/>
      <c r="AG158" s="390"/>
      <c r="AH158" s="390"/>
      <c r="AI158" s="390"/>
      <c r="AJ158" s="390"/>
      <c r="AK158" s="390"/>
      <c r="AL158" s="390"/>
      <c r="AM158" s="390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90" t="s">
        <v>468</v>
      </c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390"/>
      <c r="S160" s="390"/>
      <c r="T160" s="390"/>
      <c r="U160" s="390"/>
      <c r="V160" s="390"/>
      <c r="W160" s="390"/>
      <c r="X160" s="390"/>
      <c r="Y160" s="390"/>
      <c r="Z160" s="390"/>
      <c r="AA160" s="390"/>
      <c r="AB160" s="390"/>
      <c r="AC160" s="390"/>
      <c r="AD160" s="390"/>
      <c r="AE160" s="390"/>
      <c r="AF160" s="390"/>
      <c r="AG160" s="390"/>
      <c r="AH160" s="390"/>
      <c r="AI160" s="390"/>
      <c r="AJ160" s="390"/>
      <c r="AK160" s="390"/>
      <c r="AL160" s="390"/>
      <c r="AM160" s="390"/>
      <c r="AN160" s="25"/>
      <c r="AO160" s="25"/>
    </row>
    <row r="164" spans="5:25" x14ac:dyDescent="0.2">
      <c r="F164" s="390" t="s">
        <v>573</v>
      </c>
      <c r="G164" s="390"/>
      <c r="H164" s="390"/>
      <c r="I164" s="390"/>
      <c r="J164" s="390"/>
      <c r="K164" s="390"/>
      <c r="L164" s="390"/>
      <c r="M164" s="390"/>
      <c r="N164" s="390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424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99">
        <f>F167+H167-J167-L167</f>
        <v>0</v>
      </c>
    </row>
    <row r="168" spans="5:25" x14ac:dyDescent="0.2">
      <c r="E168" s="204" t="s">
        <v>426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99">
        <f>F168+H168-J168-L168</f>
        <v>0</v>
      </c>
    </row>
    <row r="169" spans="5:25" x14ac:dyDescent="0.2">
      <c r="E169" s="204" t="s">
        <v>427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99">
        <f>F169+H169-J169-L169</f>
        <v>0</v>
      </c>
    </row>
    <row r="170" spans="5:25" x14ac:dyDescent="0.2">
      <c r="E170" s="204" t="s">
        <v>448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299">
        <f>ROUND(F170+H170-J170-L170, 10)</f>
        <v>0</v>
      </c>
    </row>
    <row r="171" spans="5:25" x14ac:dyDescent="0.2">
      <c r="E171" s="204" t="s">
        <v>478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99">
        <f t="shared" ref="N171:N186" si="43">F171+H171-J171-L171</f>
        <v>0</v>
      </c>
    </row>
    <row r="172" spans="5:25" x14ac:dyDescent="0.2">
      <c r="E172" s="204" t="s">
        <v>578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299">
        <f t="shared" si="43"/>
        <v>0</v>
      </c>
    </row>
    <row r="173" spans="5:25" x14ac:dyDescent="0.2">
      <c r="E173" s="204" t="s">
        <v>579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299">
        <f t="shared" si="43"/>
        <v>0</v>
      </c>
    </row>
    <row r="174" spans="5:25" x14ac:dyDescent="0.2">
      <c r="E174" s="204" t="s">
        <v>520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299">
        <f t="shared" si="43"/>
        <v>0</v>
      </c>
    </row>
    <row r="175" spans="5:25" x14ac:dyDescent="0.2">
      <c r="E175" s="204" t="s">
        <v>571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99">
        <f t="shared" si="43"/>
        <v>0</v>
      </c>
    </row>
    <row r="176" spans="5:25" ht="16" x14ac:dyDescent="0.2">
      <c r="E176" s="205" t="s">
        <v>553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99">
        <f t="shared" si="43"/>
        <v>0</v>
      </c>
    </row>
    <row r="177" spans="5:21" x14ac:dyDescent="0.2">
      <c r="E177" s="204" t="s">
        <v>518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299">
        <f t="shared" si="43"/>
        <v>0</v>
      </c>
    </row>
    <row r="178" spans="5:21" ht="16" x14ac:dyDescent="0.2">
      <c r="E178" s="205" t="s">
        <v>521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99">
        <f t="shared" si="43"/>
        <v>0</v>
      </c>
    </row>
    <row r="179" spans="5:21" x14ac:dyDescent="0.2">
      <c r="E179" s="204" t="s">
        <v>548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299">
        <f t="shared" si="43"/>
        <v>0</v>
      </c>
    </row>
    <row r="180" spans="5:21" x14ac:dyDescent="0.2">
      <c r="E180" s="206" t="s">
        <v>540</v>
      </c>
      <c r="F180" s="252">
        <f>S159</f>
        <v>0</v>
      </c>
      <c r="G180" s="259" t="s">
        <v>472</v>
      </c>
      <c r="H180" s="252">
        <v>8753719.7068998404</v>
      </c>
      <c r="I180" s="171" t="s">
        <v>474</v>
      </c>
      <c r="J180" s="252">
        <f t="shared" si="42"/>
        <v>8753719.7068998404</v>
      </c>
      <c r="K180" s="171" t="s">
        <v>474</v>
      </c>
      <c r="L180" s="252">
        <v>0</v>
      </c>
      <c r="M180" s="259" t="s">
        <v>475</v>
      </c>
      <c r="N180" s="299">
        <f t="shared" si="43"/>
        <v>0</v>
      </c>
    </row>
    <row r="181" spans="5:21" x14ac:dyDescent="0.2">
      <c r="E181" s="204" t="s">
        <v>525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299">
        <f t="shared" si="43"/>
        <v>0</v>
      </c>
    </row>
    <row r="182" spans="5:21" ht="16" x14ac:dyDescent="0.2">
      <c r="E182" s="205" t="s">
        <v>552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99">
        <f t="shared" si="43"/>
        <v>0</v>
      </c>
    </row>
    <row r="183" spans="5:21" ht="16" x14ac:dyDescent="0.2">
      <c r="E183" s="205" t="s">
        <v>547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99">
        <f t="shared" si="43"/>
        <v>0</v>
      </c>
    </row>
    <row r="184" spans="5:21" ht="16" x14ac:dyDescent="0.2">
      <c r="E184" s="205" t="s">
        <v>544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99">
        <f t="shared" si="43"/>
        <v>0</v>
      </c>
    </row>
    <row r="185" spans="5:21" ht="16" x14ac:dyDescent="0.2">
      <c r="E185" s="205" t="s">
        <v>550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99">
        <f t="shared" si="43"/>
        <v>0</v>
      </c>
    </row>
    <row r="186" spans="5:21" x14ac:dyDescent="0.2">
      <c r="E186" s="206" t="s">
        <v>549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99">
        <f t="shared" si="43"/>
        <v>0</v>
      </c>
    </row>
    <row r="187" spans="5:21" x14ac:dyDescent="0.2">
      <c r="E187" s="206" t="s">
        <v>533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99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568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99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534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99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536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99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535</v>
      </c>
      <c r="F191" s="252">
        <f>AD159</f>
        <v>0</v>
      </c>
      <c r="H191" s="252">
        <v>1133973033.3846123</v>
      </c>
      <c r="J191" s="252">
        <f t="shared" si="44"/>
        <v>0</v>
      </c>
      <c r="L191" s="252">
        <v>1133973033.3846123</v>
      </c>
      <c r="N191" s="299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634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99">
        <f t="shared" si="45"/>
        <v>0</v>
      </c>
    </row>
    <row r="193" spans="5:22" ht="16" x14ac:dyDescent="0.2">
      <c r="E193" s="253" t="s">
        <v>531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99">
        <f t="shared" si="45"/>
        <v>0</v>
      </c>
    </row>
    <row r="194" spans="5:22" x14ac:dyDescent="0.2">
      <c r="E194" s="206" t="s">
        <v>530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99">
        <f t="shared" ref="N194:N200" si="46">F194+H194-J194-L194</f>
        <v>0</v>
      </c>
      <c r="O194" s="25"/>
    </row>
    <row r="195" spans="5:22" x14ac:dyDescent="0.2">
      <c r="E195" s="204" t="s">
        <v>532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99">
        <f t="shared" si="46"/>
        <v>0</v>
      </c>
    </row>
    <row r="196" spans="5:22" x14ac:dyDescent="0.2">
      <c r="E196" s="206" t="s">
        <v>528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99">
        <f t="shared" si="46"/>
        <v>0</v>
      </c>
    </row>
    <row r="197" spans="5:22" x14ac:dyDescent="0.2">
      <c r="E197" s="206" t="s">
        <v>556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99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557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99">
        <f t="shared" si="46"/>
        <v>0</v>
      </c>
    </row>
    <row r="199" spans="5:22" x14ac:dyDescent="0.2">
      <c r="E199" s="206" t="s">
        <v>558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99">
        <f t="shared" si="46"/>
        <v>0</v>
      </c>
    </row>
    <row r="200" spans="5:22" x14ac:dyDescent="0.2">
      <c r="E200" s="206" t="s">
        <v>569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99">
        <f t="shared" si="46"/>
        <v>0</v>
      </c>
    </row>
    <row r="201" spans="5:22" ht="17" x14ac:dyDescent="0.2">
      <c r="E201" s="206"/>
      <c r="F201" s="3" t="s">
        <v>471</v>
      </c>
      <c r="H201" s="3" t="s">
        <v>473</v>
      </c>
      <c r="J201" s="25" t="s">
        <v>470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90" t="s">
        <v>640</v>
      </c>
      <c r="G204" s="390"/>
      <c r="H204" s="390"/>
      <c r="I204" s="390"/>
      <c r="J204" s="390"/>
      <c r="O204" s="245"/>
      <c r="P204" s="245"/>
    </row>
    <row r="207" spans="5:22" x14ac:dyDescent="0.2">
      <c r="E207" s="204" t="s">
        <v>416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417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418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567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546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545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444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441</v>
      </c>
      <c r="F214" s="252">
        <f>AZ118</f>
        <v>25428.919011572762</v>
      </c>
      <c r="G214" s="171" t="s">
        <v>479</v>
      </c>
      <c r="H214" s="252">
        <f t="shared" si="47"/>
        <v>25394.240916408646</v>
      </c>
      <c r="I214" s="171" t="s">
        <v>475</v>
      </c>
      <c r="J214" s="252">
        <f t="shared" si="48"/>
        <v>34.678095164115803</v>
      </c>
    </row>
    <row r="215" spans="5:14" x14ac:dyDescent="0.2">
      <c r="E215" s="204" t="s">
        <v>459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442</v>
      </c>
      <c r="F216" s="252">
        <f>BB118</f>
        <v>1078405110.5281579</v>
      </c>
      <c r="H216" s="252">
        <f t="shared" si="47"/>
        <v>1134222788.7118721</v>
      </c>
      <c r="J216" s="252">
        <f t="shared" si="48"/>
        <v>-55817678.183714151</v>
      </c>
    </row>
    <row r="217" spans="5:14" x14ac:dyDescent="0.2">
      <c r="E217" s="204" t="s">
        <v>437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457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428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469</v>
      </c>
      <c r="G221" s="171"/>
      <c r="H221" s="171" t="s">
        <v>466</v>
      </c>
      <c r="I221" s="171"/>
      <c r="J221" s="171" t="s">
        <v>480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F204:J204"/>
    <mergeCell ref="AS117:BF117"/>
    <mergeCell ref="F135:AM135"/>
    <mergeCell ref="F137:AM137"/>
    <mergeCell ref="F158:AM158"/>
    <mergeCell ref="F160:AM160"/>
    <mergeCell ref="F164:N164"/>
    <mergeCell ref="AS36:BF36"/>
    <mergeCell ref="BL36:BY36"/>
    <mergeCell ref="AS74:BF74"/>
    <mergeCell ref="BL117:BM117"/>
    <mergeCell ref="F119:G119"/>
    <mergeCell ref="AS119:BF119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abSelected="1" topLeftCell="A115" zoomScale="50" workbookViewId="0">
      <selection activeCell="AG180" sqref="AG180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590</v>
      </c>
      <c r="AO1" s="260"/>
      <c r="AP1" s="207" t="s">
        <v>416</v>
      </c>
      <c r="AQ1" s="207" t="s">
        <v>417</v>
      </c>
      <c r="AR1" s="207" t="s">
        <v>418</v>
      </c>
      <c r="AS1" s="207" t="s">
        <v>567</v>
      </c>
      <c r="AT1" s="207" t="s">
        <v>546</v>
      </c>
      <c r="AU1" s="207" t="s">
        <v>545</v>
      </c>
      <c r="AV1" s="207" t="s">
        <v>444</v>
      </c>
      <c r="AW1" s="207" t="s">
        <v>441</v>
      </c>
      <c r="AX1" s="207" t="s">
        <v>459</v>
      </c>
      <c r="AY1" s="207" t="s">
        <v>442</v>
      </c>
      <c r="AZ1" s="207" t="s">
        <v>437</v>
      </c>
      <c r="BA1" s="207" t="s">
        <v>457</v>
      </c>
      <c r="BB1" s="207" t="s">
        <v>81</v>
      </c>
      <c r="BC1" s="207" t="s">
        <v>428</v>
      </c>
      <c r="BH1" s="260"/>
      <c r="BI1" s="207" t="s">
        <v>416</v>
      </c>
      <c r="BJ1" s="207" t="s">
        <v>417</v>
      </c>
      <c r="BK1" s="207" t="s">
        <v>418</v>
      </c>
      <c r="BL1" s="207" t="s">
        <v>567</v>
      </c>
      <c r="BM1" s="207" t="s">
        <v>546</v>
      </c>
      <c r="BN1" s="207" t="s">
        <v>545</v>
      </c>
      <c r="BO1" s="207" t="s">
        <v>444</v>
      </c>
      <c r="BP1" s="207" t="s">
        <v>441</v>
      </c>
      <c r="BQ1" s="207" t="s">
        <v>459</v>
      </c>
      <c r="BR1" s="207" t="s">
        <v>442</v>
      </c>
      <c r="BS1" s="207" t="s">
        <v>437</v>
      </c>
      <c r="BT1" s="207" t="s">
        <v>457</v>
      </c>
      <c r="BU1" s="207" t="s">
        <v>81</v>
      </c>
      <c r="BV1" s="207" t="s">
        <v>428</v>
      </c>
    </row>
    <row r="2" spans="2:74" x14ac:dyDescent="0.2">
      <c r="B2" s="204" t="s">
        <v>424</v>
      </c>
      <c r="C2" s="284">
        <v>1</v>
      </c>
      <c r="AO2" s="204" t="s">
        <v>424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424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426</v>
      </c>
      <c r="C3" s="284">
        <v>1</v>
      </c>
      <c r="AO3" s="204" t="s">
        <v>426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426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427</v>
      </c>
      <c r="C4" s="284">
        <v>1</v>
      </c>
      <c r="AO4" s="204" t="s">
        <v>427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427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448</v>
      </c>
      <c r="C5" s="284">
        <v>1</v>
      </c>
      <c r="AO5" s="204" t="s">
        <v>448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448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478</v>
      </c>
      <c r="C6" s="284">
        <v>1</v>
      </c>
      <c r="AO6" s="204" t="s">
        <v>478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478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578</v>
      </c>
      <c r="C7" s="284">
        <v>1</v>
      </c>
      <c r="AO7" s="204" t="s">
        <v>578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578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579</v>
      </c>
      <c r="C8" s="284">
        <v>1</v>
      </c>
      <c r="AO8" s="204" t="s">
        <v>579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579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520</v>
      </c>
      <c r="C9" s="284">
        <v>1</v>
      </c>
      <c r="AO9" s="204" t="s">
        <v>520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571</v>
      </c>
      <c r="C10" s="284">
        <v>1</v>
      </c>
      <c r="AO10" s="204" t="s">
        <v>571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571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553</v>
      </c>
      <c r="C11" s="284">
        <v>1</v>
      </c>
      <c r="AO11" s="205" t="s">
        <v>553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553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518</v>
      </c>
      <c r="C12" s="284">
        <v>1</v>
      </c>
      <c r="AO12" s="204" t="s">
        <v>518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521</v>
      </c>
      <c r="C13" s="284">
        <v>1</v>
      </c>
      <c r="AO13" s="205" t="s">
        <v>521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548</v>
      </c>
      <c r="C14" s="284">
        <v>1</v>
      </c>
      <c r="AO14" s="204" t="s">
        <v>548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548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540</v>
      </c>
      <c r="C15" s="284">
        <v>1</v>
      </c>
      <c r="AO15" s="206" t="s">
        <v>540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540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525</v>
      </c>
      <c r="C16" s="284">
        <v>1</v>
      </c>
      <c r="AO16" s="204" t="s">
        <v>525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552</v>
      </c>
      <c r="C17" s="284">
        <v>1</v>
      </c>
      <c r="AO17" s="205" t="s">
        <v>552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552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547</v>
      </c>
      <c r="C18" s="284">
        <v>1</v>
      </c>
      <c r="AO18" s="205" t="s">
        <v>547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547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544</v>
      </c>
      <c r="C19" s="284">
        <v>1</v>
      </c>
      <c r="AO19" s="205" t="s">
        <v>544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544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550</v>
      </c>
      <c r="C20" s="284">
        <v>1</v>
      </c>
      <c r="AO20" s="205" t="s">
        <v>550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550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549</v>
      </c>
      <c r="C21" s="284">
        <v>1</v>
      </c>
      <c r="AO21" s="206" t="s">
        <v>549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549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533</v>
      </c>
      <c r="C22" s="284">
        <v>1</v>
      </c>
      <c r="AO22" s="206" t="s">
        <v>533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533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568</v>
      </c>
      <c r="C23" s="284">
        <v>1</v>
      </c>
      <c r="AO23" s="206" t="s">
        <v>568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568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534</v>
      </c>
      <c r="C24" s="284">
        <v>1</v>
      </c>
      <c r="AO24" s="206" t="s">
        <v>534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534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536</v>
      </c>
      <c r="C25" s="284">
        <v>1</v>
      </c>
      <c r="AO25" s="206" t="s">
        <v>536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536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535</v>
      </c>
      <c r="C26" s="284">
        <v>1</v>
      </c>
      <c r="AO26" s="206" t="s">
        <v>535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535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634</v>
      </c>
      <c r="C27" s="284">
        <v>1</v>
      </c>
      <c r="AO27" s="206" t="s">
        <v>634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634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531</v>
      </c>
      <c r="C28" s="284">
        <v>1</v>
      </c>
      <c r="AO28" s="253" t="s">
        <v>531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531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530</v>
      </c>
      <c r="C29" s="284">
        <v>1</v>
      </c>
      <c r="AO29" s="206" t="s">
        <v>530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530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532</v>
      </c>
      <c r="C30" s="284">
        <v>1</v>
      </c>
      <c r="AO30" s="204" t="s">
        <v>532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532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528</v>
      </c>
      <c r="C31" s="284">
        <v>1</v>
      </c>
      <c r="AO31" s="206" t="s">
        <v>528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556</v>
      </c>
      <c r="C32" s="284">
        <v>1</v>
      </c>
      <c r="AO32" s="206" t="s">
        <v>556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556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557</v>
      </c>
      <c r="C33" s="284">
        <v>1</v>
      </c>
      <c r="AO33" s="206" t="s">
        <v>557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557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558</v>
      </c>
      <c r="C34" s="284">
        <v>1</v>
      </c>
      <c r="AO34" s="206" t="s">
        <v>558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558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569</v>
      </c>
      <c r="C35" s="284">
        <v>1</v>
      </c>
      <c r="AO35" s="206" t="s">
        <v>569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569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585</v>
      </c>
      <c r="AO36" s="206"/>
      <c r="AP36" s="390" t="s">
        <v>582</v>
      </c>
      <c r="AQ36" s="390"/>
      <c r="AR36" s="390"/>
      <c r="AS36" s="390"/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H36" s="206"/>
      <c r="BI36" s="390" t="s">
        <v>583</v>
      </c>
      <c r="BJ36" s="390"/>
      <c r="BK36" s="390"/>
      <c r="BL36" s="390"/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416</v>
      </c>
      <c r="AQ39" s="207" t="s">
        <v>417</v>
      </c>
      <c r="AR39" s="207" t="s">
        <v>418</v>
      </c>
      <c r="AS39" s="207" t="s">
        <v>567</v>
      </c>
      <c r="AT39" s="207" t="s">
        <v>546</v>
      </c>
      <c r="AU39" s="207" t="s">
        <v>545</v>
      </c>
      <c r="AV39" s="207" t="s">
        <v>444</v>
      </c>
      <c r="AW39" s="207" t="s">
        <v>441</v>
      </c>
      <c r="AX39" s="207" t="s">
        <v>459</v>
      </c>
      <c r="AY39" s="207" t="s">
        <v>442</v>
      </c>
      <c r="AZ39" s="207" t="s">
        <v>437</v>
      </c>
      <c r="BA39" s="207" t="s">
        <v>457</v>
      </c>
      <c r="BB39" s="207" t="s">
        <v>81</v>
      </c>
      <c r="BC39" s="207" t="s">
        <v>428</v>
      </c>
    </row>
    <row r="40" spans="2:74" x14ac:dyDescent="0.2">
      <c r="AO40" s="204" t="s">
        <v>424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426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427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448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478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578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579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520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571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553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518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521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548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540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525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552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547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544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550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549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533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568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534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536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535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634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531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530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532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528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556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557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558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569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90" t="s">
        <v>584</v>
      </c>
      <c r="AQ74" s="390"/>
      <c r="AR74" s="390"/>
      <c r="AS74" s="390"/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</row>
    <row r="78" spans="32:63" ht="112" x14ac:dyDescent="0.2">
      <c r="AO78" s="260"/>
      <c r="AP78" s="207" t="s">
        <v>416</v>
      </c>
      <c r="AQ78" s="207" t="s">
        <v>417</v>
      </c>
      <c r="AR78" s="207" t="s">
        <v>418</v>
      </c>
      <c r="AS78" s="207" t="s">
        <v>567</v>
      </c>
      <c r="AT78" s="207" t="s">
        <v>546</v>
      </c>
      <c r="AU78" s="207" t="s">
        <v>545</v>
      </c>
      <c r="AV78" s="207" t="s">
        <v>444</v>
      </c>
      <c r="AW78" s="207" t="s">
        <v>441</v>
      </c>
      <c r="AX78" s="207" t="s">
        <v>459</v>
      </c>
      <c r="AY78" s="207" t="s">
        <v>442</v>
      </c>
      <c r="AZ78" s="207" t="s">
        <v>437</v>
      </c>
      <c r="BA78" s="207" t="s">
        <v>457</v>
      </c>
      <c r="BB78" s="207" t="s">
        <v>81</v>
      </c>
      <c r="BC78" s="207" t="s">
        <v>428</v>
      </c>
      <c r="BH78" s="207"/>
      <c r="BI78" s="207" t="s">
        <v>422</v>
      </c>
      <c r="BJ78" s="207" t="s">
        <v>356</v>
      </c>
    </row>
    <row r="79" spans="32:63" x14ac:dyDescent="0.2">
      <c r="AF79" s="204"/>
      <c r="AO79" s="204" t="s">
        <v>424</v>
      </c>
      <c r="AP79" s="230">
        <f>'Ore-&gt;PI'!AN42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424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426</v>
      </c>
      <c r="AP80" s="230"/>
      <c r="AQ80" s="230">
        <f>'Ore-&gt;PI'!U126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426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427</v>
      </c>
      <c r="AP81" s="230"/>
      <c r="AQ81" s="230"/>
      <c r="AR81" s="230">
        <f>'Ore-&gt;PI'!U206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427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448</v>
      </c>
      <c r="AP82" s="230">
        <f>'Ore-&gt;PI'!U72</f>
        <v>30.150427560669065</v>
      </c>
      <c r="AQ82" s="230">
        <f>'Ore-&gt;PI'!U163</f>
        <v>9.0394269236644703E-2</v>
      </c>
      <c r="AR82" s="230">
        <f>'Ore-&gt;PI'!U236</f>
        <v>7.1715017046188141</v>
      </c>
      <c r="AS82" s="230"/>
      <c r="AT82" s="230"/>
      <c r="AU82" s="230"/>
      <c r="AV82" s="230"/>
      <c r="AW82" s="230"/>
      <c r="AX82" s="230"/>
      <c r="AY82" s="230">
        <f>'Ore-&gt;PI'!CA140</f>
        <v>1173.1885157382469</v>
      </c>
      <c r="AZ82" s="230">
        <f>'Ore-&gt;PI'!CA242</f>
        <v>556.96479760636817</v>
      </c>
      <c r="BA82" s="230"/>
      <c r="BB82" s="230"/>
      <c r="BC82" s="243">
        <f>'Ore-&gt;PI'!EL140</f>
        <v>2870.841834451006</v>
      </c>
      <c r="BD82" s="252">
        <f t="shared" si="34"/>
        <v>4638.4074713301452</v>
      </c>
      <c r="BH82" s="204" t="s">
        <v>448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478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'Ore-&gt;PI'!CA152</f>
        <v>20798.316475388398</v>
      </c>
      <c r="AZ83" s="230">
        <f>'Ore-&gt;PI'!CA254</f>
        <v>16.963528773956838</v>
      </c>
      <c r="BA83" s="230"/>
      <c r="BB83" s="230"/>
      <c r="BC83" s="230">
        <f>'Ore-&gt;PI'!EL114</f>
        <v>44.774669200794314</v>
      </c>
      <c r="BD83" s="252">
        <f t="shared" si="34"/>
        <v>20860.054673363149</v>
      </c>
      <c r="BH83" s="204" t="s">
        <v>478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578</v>
      </c>
      <c r="AP84" s="230">
        <f>'Ore-&gt;PI'!U59</f>
        <v>2.0694989883749622</v>
      </c>
      <c r="AQ84" s="230">
        <f>'Ore-&gt;PI'!U140</f>
        <v>5.671161105764883E-3</v>
      </c>
      <c r="AR84" s="230">
        <f>'Ore-&gt;PI'!U222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578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579</v>
      </c>
      <c r="AP85" s="230"/>
      <c r="AQ85" s="230">
        <f>'Ore-&gt;PI'!U151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579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'Ore-&gt;PI'!EL101</f>
        <v>4.8979947555174279</v>
      </c>
      <c r="BD86" s="252">
        <f t="shared" si="34"/>
        <v>4.8979947555174279</v>
      </c>
      <c r="BH86" s="204" t="s">
        <v>520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571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571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553</v>
      </c>
      <c r="AP88" s="230"/>
      <c r="AQ88" s="230"/>
      <c r="AR88" s="230"/>
      <c r="AS88" s="230">
        <f>'Ore-&gt;PI'!AN42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553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518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518</v>
      </c>
      <c r="BI89" s="244"/>
      <c r="BJ89" s="244">
        <f>'Ore-&gt;PI'!AN63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521</v>
      </c>
      <c r="AP90" s="230"/>
      <c r="AQ90" s="230"/>
      <c r="AR90" s="230"/>
      <c r="AS90" s="230"/>
      <c r="AT90" s="230">
        <f>'Ore-&gt;PI'!AO126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521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548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548</v>
      </c>
      <c r="BI91" s="244"/>
      <c r="BJ91" s="244">
        <f>'Ore-&gt;PI'!AO142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540</v>
      </c>
      <c r="AP92" s="230"/>
      <c r="AQ92" s="230"/>
      <c r="AR92" s="230"/>
      <c r="AS92" s="230"/>
      <c r="AT92" s="230"/>
      <c r="AU92" s="230">
        <f>'Ore-&gt;PI'!AO206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540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525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525</v>
      </c>
      <c r="BI93" s="244"/>
      <c r="BJ93" s="244">
        <f>'Ore-&gt;PI'!AO227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552</v>
      </c>
      <c r="AP94" s="230"/>
      <c r="AQ94" s="230"/>
      <c r="AR94" s="230"/>
      <c r="AS94" s="230"/>
      <c r="AT94" s="230"/>
      <c r="AU94" s="230"/>
      <c r="AV94" s="230">
        <f>'Ore-&gt;PI'!BG42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552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547</v>
      </c>
      <c r="AP95" s="230"/>
      <c r="AQ95" s="230"/>
      <c r="AR95" s="230"/>
      <c r="AS95" s="230"/>
      <c r="AT95" s="230"/>
      <c r="AU95" s="230"/>
      <c r="AV95" s="230"/>
      <c r="AW95" s="230">
        <f>'Ore-&gt;PI'!BH126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547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544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'Ore-&gt;PI'!BH206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544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550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'Ore-&gt;PI'!BZ42</f>
        <v>1000.0000000000001</v>
      </c>
      <c r="BC97" s="230"/>
      <c r="BD97" s="252">
        <f t="shared" si="34"/>
        <v>1000.0000000000001</v>
      </c>
      <c r="BH97" s="205" t="s">
        <v>550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549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549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533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'Ore-&gt;PI'!CA126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533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568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'Ore-&gt;PI'!CA206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568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534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'Ore-&gt;PI'!CV126</f>
        <v>111.00813284002646</v>
      </c>
      <c r="BC101" s="230"/>
      <c r="BD101" s="252">
        <f t="shared" si="34"/>
        <v>111.00813284002646</v>
      </c>
      <c r="BH101" s="206" t="s">
        <v>534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536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536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535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535</v>
      </c>
      <c r="BI103" s="244"/>
      <c r="BJ103" s="244">
        <f>'Ore-&gt;PI'!CV138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634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'Ore-&gt;PI'!CV206</f>
        <v>198.80764502323905</v>
      </c>
      <c r="BC104" s="230"/>
      <c r="BD104" s="252">
        <f t="shared" si="34"/>
        <v>198.80764502323905</v>
      </c>
      <c r="BH104" s="206" t="s">
        <v>634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531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'Ore-&gt;PI'!CV233</f>
        <v>69.582675758133661</v>
      </c>
      <c r="BB105" s="230"/>
      <c r="BC105" s="230"/>
      <c r="BD105" s="252">
        <f t="shared" si="34"/>
        <v>69.582675758133661</v>
      </c>
      <c r="BH105" s="253" t="s">
        <v>531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530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530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532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532</v>
      </c>
      <c r="BI107" s="244"/>
      <c r="BJ107" s="244">
        <f>'Ore-&gt;PI'!CV250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528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'Ore-&gt;PI'!CA225</f>
        <v>10.437401363720047</v>
      </c>
      <c r="BA108" s="230"/>
      <c r="BB108" s="230"/>
      <c r="BC108" s="243">
        <f>'Ore-&gt;PI'!EL152</f>
        <v>48.707873030693563</v>
      </c>
      <c r="BD108" s="252">
        <f t="shared" si="34"/>
        <v>59.145274394413612</v>
      </c>
      <c r="BH108" s="206" t="s">
        <v>528</v>
      </c>
      <c r="BI108" s="244">
        <f>'Ore-&gt;PI'!EW233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556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'Ore-&gt;PI'!EL126</f>
        <v>1309.8157778632656</v>
      </c>
      <c r="BD109" s="252">
        <f t="shared" si="34"/>
        <v>1309.8157778632656</v>
      </c>
      <c r="BH109" s="206" t="s">
        <v>556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557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557</v>
      </c>
      <c r="BI110" s="244">
        <f>'Ore-&gt;PI'!FL126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558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558</v>
      </c>
      <c r="BI111" s="244"/>
      <c r="BJ111" s="244">
        <f>'Ore-&gt;PI'!FL141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569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569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90" t="s">
        <v>419</v>
      </c>
      <c r="AQ113" s="390"/>
      <c r="AR113" s="390"/>
      <c r="AS113" s="390"/>
      <c r="AT113" s="390"/>
      <c r="AU113" s="390"/>
      <c r="AV113" s="390"/>
      <c r="AW113" s="390"/>
      <c r="AX113" s="390"/>
      <c r="AY113" s="390"/>
      <c r="AZ113" s="390"/>
      <c r="BA113" s="390"/>
      <c r="BB113" s="390"/>
      <c r="BC113" s="390"/>
      <c r="BD113" s="25" t="s">
        <v>470</v>
      </c>
      <c r="BI113" s="390" t="s">
        <v>421</v>
      </c>
      <c r="BJ113" s="390"/>
      <c r="BK113" s="25" t="s">
        <v>485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91"/>
      <c r="D115" s="391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90" t="s">
        <v>469</v>
      </c>
      <c r="AQ115" s="390"/>
      <c r="AR115" s="390"/>
      <c r="AS115" s="390"/>
      <c r="AT115" s="390"/>
      <c r="AU115" s="390"/>
      <c r="AV115" s="390"/>
      <c r="AW115" s="390"/>
      <c r="AX115" s="390"/>
      <c r="AY115" s="390"/>
      <c r="AZ115" s="390"/>
      <c r="BA115" s="390"/>
      <c r="BB115" s="390"/>
      <c r="BC115" s="390"/>
      <c r="BI115" s="25"/>
      <c r="BJ115" s="25"/>
    </row>
    <row r="116" spans="2:63" ht="236" x14ac:dyDescent="0.2">
      <c r="B116" s="240"/>
      <c r="C116" s="207" t="s">
        <v>424</v>
      </c>
      <c r="D116" s="207" t="s">
        <v>426</v>
      </c>
      <c r="E116" s="207" t="s">
        <v>427</v>
      </c>
      <c r="F116" s="207" t="s">
        <v>448</v>
      </c>
      <c r="G116" s="207" t="s">
        <v>478</v>
      </c>
      <c r="H116" s="207" t="s">
        <v>516</v>
      </c>
      <c r="I116" s="207" t="s">
        <v>578</v>
      </c>
      <c r="J116" s="207" t="s">
        <v>579</v>
      </c>
      <c r="K116" s="207" t="s">
        <v>571</v>
      </c>
      <c r="L116" s="209" t="s">
        <v>553</v>
      </c>
      <c r="M116" s="207" t="s">
        <v>518</v>
      </c>
      <c r="N116" s="209" t="s">
        <v>521</v>
      </c>
      <c r="O116" s="207" t="s">
        <v>548</v>
      </c>
      <c r="P116" s="210" t="s">
        <v>540</v>
      </c>
      <c r="Q116" s="207" t="s">
        <v>525</v>
      </c>
      <c r="R116" s="209" t="s">
        <v>552</v>
      </c>
      <c r="S116" s="209" t="s">
        <v>547</v>
      </c>
      <c r="T116" s="209" t="s">
        <v>544</v>
      </c>
      <c r="U116" s="209" t="s">
        <v>550</v>
      </c>
      <c r="V116" s="210" t="s">
        <v>549</v>
      </c>
      <c r="W116" s="210" t="s">
        <v>533</v>
      </c>
      <c r="X116" s="210" t="s">
        <v>568</v>
      </c>
      <c r="Y116" s="210" t="s">
        <v>534</v>
      </c>
      <c r="Z116" s="210" t="s">
        <v>536</v>
      </c>
      <c r="AA116" s="210" t="s">
        <v>535</v>
      </c>
      <c r="AB116" s="210" t="s">
        <v>634</v>
      </c>
      <c r="AC116" s="232" t="s">
        <v>531</v>
      </c>
      <c r="AD116" s="210" t="s">
        <v>530</v>
      </c>
      <c r="AE116" s="207" t="s">
        <v>532</v>
      </c>
      <c r="AF116" s="210" t="s">
        <v>528</v>
      </c>
      <c r="AG116" s="210" t="s">
        <v>556</v>
      </c>
      <c r="AH116" s="210" t="s">
        <v>557</v>
      </c>
      <c r="AI116" s="210" t="s">
        <v>558</v>
      </c>
      <c r="AJ116" s="210" t="s">
        <v>569</v>
      </c>
    </row>
    <row r="117" spans="2:63" x14ac:dyDescent="0.2">
      <c r="B117" s="204" t="s">
        <v>416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'Ore-&gt;PI'!U42</f>
        <v>1011.7674660019052</v>
      </c>
      <c r="M117" s="230">
        <f>'Ore-&gt;PI'!$AN$63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417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'Ore-&gt;PI'!AO126</f>
        <v>208.55560337725498</v>
      </c>
      <c r="O118" s="230">
        <f>'Ore-&gt;PI'!$AO$142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418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'Ore-&gt;PI'!$AO$206</f>
        <v>286.88405520213911</v>
      </c>
      <c r="Q119" s="230">
        <f>'Ore-&gt;PI'!$AO$227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567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'Ore-&gt;PI'!$BG$42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'Ore-&gt;PI'!$BH$126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545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'Ore-&gt;PI'!$BH$206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444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'Ore-&gt;PI'!$BZ$42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441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'Ore-&gt;PI'!$CA$126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459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'Ore-&gt;PI'!$CA$206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442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'Ore-&gt;PI'!$CV$126</f>
        <v>111.00813284002646</v>
      </c>
      <c r="Z126" s="230">
        <f>Kiln_SolidWaste</f>
        <v>4.9847525450981189</v>
      </c>
      <c r="AA126" s="230">
        <f>'Ore-&gt;PI'!$CV$138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437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'Ore-&gt;PI'!$CV$206</f>
        <v>198.80764502323905</v>
      </c>
      <c r="AC127" s="230">
        <f>'Ore-&gt;PI'!$CV$233</f>
        <v>69.582675758133661</v>
      </c>
      <c r="AD127" s="230">
        <f>Beneficiation_CoalWaste</f>
        <v>18.493734420766422</v>
      </c>
      <c r="AE127" s="230">
        <f>'Ore-&gt;PI'!$CV$250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457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'Ore-&gt;PI'!$DP$233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'Ore-&gt;PI'!$EL$126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428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'Ore-&gt;PI'!$FL$126</f>
        <v>616.23583583508366</v>
      </c>
      <c r="AI130" s="230">
        <f>'Ore-&gt;PI'!$FL$141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90" t="s">
        <v>420</v>
      </c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0"/>
      <c r="T131" s="390"/>
      <c r="U131" s="390"/>
      <c r="V131" s="390"/>
      <c r="W131" s="390"/>
      <c r="X131" s="390"/>
      <c r="Y131" s="390"/>
      <c r="Z131" s="390"/>
      <c r="AA131" s="390"/>
      <c r="AB131" s="390"/>
      <c r="AC131" s="390"/>
      <c r="AD131" s="390"/>
      <c r="AE131" s="390"/>
      <c r="AF131" s="390"/>
      <c r="AG131" s="390"/>
      <c r="AH131" s="390"/>
      <c r="AI131" s="390"/>
      <c r="AJ131" s="390"/>
      <c r="AK131" s="25" t="s">
        <v>466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90" t="s">
        <v>467</v>
      </c>
      <c r="D133" s="390"/>
      <c r="E133" s="390"/>
      <c r="F133" s="390"/>
      <c r="G133" s="390"/>
      <c r="H133" s="390"/>
      <c r="I133" s="390"/>
      <c r="J133" s="390"/>
      <c r="K133" s="390"/>
      <c r="L133" s="390"/>
      <c r="M133" s="390"/>
      <c r="N133" s="390"/>
      <c r="O133" s="390"/>
      <c r="P133" s="390"/>
      <c r="Q133" s="390"/>
      <c r="R133" s="390"/>
      <c r="S133" s="390"/>
      <c r="T133" s="390"/>
      <c r="U133" s="390"/>
      <c r="V133" s="390"/>
      <c r="W133" s="390"/>
      <c r="X133" s="390"/>
      <c r="Y133" s="390"/>
      <c r="Z133" s="390"/>
      <c r="AA133" s="390"/>
      <c r="AB133" s="390"/>
      <c r="AC133" s="390"/>
      <c r="AD133" s="390"/>
      <c r="AE133" s="390"/>
      <c r="AF133" s="390"/>
      <c r="AG133" s="390"/>
      <c r="AH133" s="390"/>
      <c r="AI133" s="390"/>
      <c r="AJ133" s="390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424</v>
      </c>
      <c r="D144" s="207" t="s">
        <v>426</v>
      </c>
      <c r="E144" s="207" t="s">
        <v>427</v>
      </c>
      <c r="F144" s="207" t="s">
        <v>448</v>
      </c>
      <c r="G144" s="207" t="s">
        <v>478</v>
      </c>
      <c r="H144" s="207" t="s">
        <v>516</v>
      </c>
      <c r="I144" s="207" t="s">
        <v>578</v>
      </c>
      <c r="J144" s="207" t="s">
        <v>579</v>
      </c>
      <c r="K144" s="207" t="s">
        <v>571</v>
      </c>
      <c r="L144" s="209" t="s">
        <v>553</v>
      </c>
      <c r="M144" s="207" t="s">
        <v>518</v>
      </c>
      <c r="N144" s="209" t="s">
        <v>521</v>
      </c>
      <c r="O144" s="207" t="s">
        <v>548</v>
      </c>
      <c r="P144" s="210" t="s">
        <v>540</v>
      </c>
      <c r="Q144" s="207" t="s">
        <v>525</v>
      </c>
      <c r="R144" s="209" t="s">
        <v>552</v>
      </c>
      <c r="S144" s="209" t="s">
        <v>547</v>
      </c>
      <c r="T144" s="209" t="s">
        <v>544</v>
      </c>
      <c r="U144" s="209" t="s">
        <v>550</v>
      </c>
      <c r="V144" s="210" t="s">
        <v>549</v>
      </c>
      <c r="W144" s="210" t="s">
        <v>533</v>
      </c>
      <c r="X144" s="210" t="s">
        <v>568</v>
      </c>
      <c r="Y144" s="210" t="s">
        <v>534</v>
      </c>
      <c r="Z144" s="210" t="s">
        <v>536</v>
      </c>
      <c r="AA144" s="210" t="s">
        <v>535</v>
      </c>
      <c r="AB144" s="210" t="s">
        <v>634</v>
      </c>
      <c r="AC144" s="232" t="s">
        <v>531</v>
      </c>
      <c r="AD144" s="210" t="s">
        <v>530</v>
      </c>
      <c r="AE144" s="207" t="s">
        <v>532</v>
      </c>
      <c r="AF144" s="210" t="s">
        <v>528</v>
      </c>
      <c r="AG144" s="210" t="s">
        <v>556</v>
      </c>
      <c r="AH144" s="210" t="s">
        <v>557</v>
      </c>
      <c r="AI144" s="210" t="s">
        <v>558</v>
      </c>
      <c r="AJ144" s="210" t="s">
        <v>569</v>
      </c>
      <c r="AK144" s="210"/>
      <c r="AL144" s="210"/>
    </row>
    <row r="145" spans="2:42" x14ac:dyDescent="0.2">
      <c r="B145" s="204" t="s">
        <v>423</v>
      </c>
      <c r="C145" s="244">
        <f>'Ore-&gt;PI'!U42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425</v>
      </c>
      <c r="C146" s="244"/>
      <c r="D146" s="244">
        <f>'Ore-&gt;PI'!U126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449</v>
      </c>
      <c r="C147" s="244"/>
      <c r="D147" s="244"/>
      <c r="E147" s="244">
        <f>'Ore-&gt;PI'!U206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484</v>
      </c>
      <c r="C148" s="244"/>
      <c r="D148" s="244"/>
      <c r="E148" s="244"/>
      <c r="F148" s="250">
        <f>'Ore-&gt;PI'!EL140+'Ore-&gt;PI'!CA140+'Ore-&gt;PI'!U163+'Ore-&gt;PI'!U72+'Ore-&gt;PI'!CA242+'Ore-&gt;PI'!U236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477</v>
      </c>
      <c r="C149" s="244"/>
      <c r="D149" s="244"/>
      <c r="E149" s="244"/>
      <c r="F149" s="244"/>
      <c r="G149" s="244">
        <f>'Ore-&gt;PI'!EL114+'Ore-&gt;PI'!CA152+'Ore-&gt;PI'!CA254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581</v>
      </c>
      <c r="C150" s="244"/>
      <c r="D150" s="244"/>
      <c r="E150" s="244"/>
      <c r="F150" s="244"/>
      <c r="G150" s="244"/>
      <c r="H150" s="244">
        <f>'Ore-&gt;PI'!U222+'Ore-&gt;PI'!U140+'Ore-&gt;PI'!U59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580</v>
      </c>
      <c r="C151" s="244"/>
      <c r="D151" s="244"/>
      <c r="E151" s="244"/>
      <c r="F151" s="244"/>
      <c r="G151" s="244"/>
      <c r="H151" s="244"/>
      <c r="I151" s="244">
        <f>'Ore-&gt;PI'!U151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519</v>
      </c>
      <c r="C152" s="244"/>
      <c r="D152" s="244"/>
      <c r="E152" s="244"/>
      <c r="F152" s="244"/>
      <c r="G152" s="244"/>
      <c r="H152" s="244"/>
      <c r="I152" s="244"/>
      <c r="J152" s="244">
        <f>'Ore-&gt;PI'!$EL$101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570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90" t="s">
        <v>57</v>
      </c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0"/>
      <c r="T154" s="390"/>
      <c r="U154" s="390"/>
      <c r="V154" s="390"/>
      <c r="W154" s="390"/>
      <c r="X154" s="390"/>
      <c r="Y154" s="390"/>
      <c r="Z154" s="390"/>
      <c r="AA154" s="390"/>
      <c r="AB154" s="390"/>
      <c r="AC154" s="390"/>
      <c r="AD154" s="390"/>
      <c r="AE154" s="390"/>
      <c r="AF154" s="390"/>
      <c r="AG154" s="390"/>
      <c r="AH154" s="390"/>
      <c r="AI154" s="390"/>
      <c r="AJ154" s="390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90" t="s">
        <v>468</v>
      </c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  <c r="AG156" s="390"/>
      <c r="AH156" s="390"/>
      <c r="AI156" s="390"/>
      <c r="AJ156" s="390"/>
      <c r="AK156" s="25"/>
      <c r="AL156" s="25"/>
    </row>
    <row r="160" spans="2:42" x14ac:dyDescent="0.2">
      <c r="C160" s="390" t="s">
        <v>465</v>
      </c>
      <c r="D160" s="390"/>
      <c r="E160" s="390"/>
      <c r="F160" s="390"/>
      <c r="G160" s="390"/>
      <c r="H160" s="390"/>
      <c r="I160" s="390"/>
      <c r="J160" s="390"/>
      <c r="K160" s="390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424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426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99">
        <f>C164+E164-G164-I164</f>
        <v>0</v>
      </c>
    </row>
    <row r="165" spans="2:11" x14ac:dyDescent="0.2">
      <c r="B165" s="204" t="s">
        <v>427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99">
        <f>C165+E165-G165-I165</f>
        <v>0</v>
      </c>
    </row>
    <row r="166" spans="2:11" x14ac:dyDescent="0.2">
      <c r="B166" s="204" t="s">
        <v>448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478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99">
        <f t="shared" ref="K167:K182" si="43">C167+E167-G167-I167</f>
        <v>0</v>
      </c>
    </row>
    <row r="168" spans="2:11" x14ac:dyDescent="0.2">
      <c r="B168" s="204" t="s">
        <v>516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299">
        <f t="shared" si="43"/>
        <v>4.4408920985006262E-16</v>
      </c>
    </row>
    <row r="169" spans="2:11" x14ac:dyDescent="0.2">
      <c r="B169" s="204" t="s">
        <v>517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99">
        <f t="shared" si="43"/>
        <v>0</v>
      </c>
    </row>
    <row r="170" spans="2:11" x14ac:dyDescent="0.2">
      <c r="B170" s="204" t="s">
        <v>520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99">
        <f t="shared" si="43"/>
        <v>0</v>
      </c>
    </row>
    <row r="171" spans="2:11" x14ac:dyDescent="0.2">
      <c r="B171" s="204" t="s">
        <v>571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99">
        <f t="shared" si="43"/>
        <v>0</v>
      </c>
    </row>
    <row r="172" spans="2:11" ht="16" x14ac:dyDescent="0.2">
      <c r="B172" s="205" t="s">
        <v>553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99">
        <f t="shared" si="43"/>
        <v>0</v>
      </c>
    </row>
    <row r="173" spans="2:11" x14ac:dyDescent="0.2">
      <c r="B173" s="204" t="s">
        <v>518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299">
        <f t="shared" si="43"/>
        <v>0</v>
      </c>
    </row>
    <row r="174" spans="2:11" ht="16" x14ac:dyDescent="0.2">
      <c r="B174" s="205" t="s">
        <v>521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99">
        <f t="shared" si="43"/>
        <v>0</v>
      </c>
    </row>
    <row r="175" spans="2:11" x14ac:dyDescent="0.2">
      <c r="B175" s="204" t="s">
        <v>548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299">
        <f t="shared" si="43"/>
        <v>0</v>
      </c>
    </row>
    <row r="176" spans="2:11" x14ac:dyDescent="0.2">
      <c r="B176" s="206" t="s">
        <v>540</v>
      </c>
      <c r="C176" s="252">
        <f>P155</f>
        <v>0</v>
      </c>
      <c r="D176" s="259" t="s">
        <v>472</v>
      </c>
      <c r="E176" s="252">
        <v>286.88405520213911</v>
      </c>
      <c r="F176" s="171" t="s">
        <v>474</v>
      </c>
      <c r="G176" s="252">
        <f t="shared" si="42"/>
        <v>286.88405520213911</v>
      </c>
      <c r="H176" s="171" t="s">
        <v>474</v>
      </c>
      <c r="I176" s="252">
        <v>0</v>
      </c>
      <c r="J176" s="259" t="s">
        <v>475</v>
      </c>
      <c r="K176" s="299">
        <f t="shared" si="43"/>
        <v>0</v>
      </c>
    </row>
    <row r="177" spans="2:18" x14ac:dyDescent="0.2">
      <c r="B177" s="204" t="s">
        <v>525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299">
        <f t="shared" si="43"/>
        <v>0</v>
      </c>
    </row>
    <row r="178" spans="2:18" ht="16" x14ac:dyDescent="0.2">
      <c r="B178" s="205" t="s">
        <v>552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99">
        <f t="shared" si="43"/>
        <v>0</v>
      </c>
    </row>
    <row r="179" spans="2:18" ht="16" x14ac:dyDescent="0.2">
      <c r="B179" s="205" t="s">
        <v>547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99">
        <f t="shared" si="43"/>
        <v>0</v>
      </c>
    </row>
    <row r="180" spans="2:18" ht="16" x14ac:dyDescent="0.2">
      <c r="B180" s="205" t="s">
        <v>544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99">
        <f t="shared" si="43"/>
        <v>0</v>
      </c>
    </row>
    <row r="181" spans="2:18" ht="16" x14ac:dyDescent="0.2">
      <c r="B181" s="205" t="s">
        <v>550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99">
        <f t="shared" si="43"/>
        <v>0</v>
      </c>
    </row>
    <row r="182" spans="2:18" x14ac:dyDescent="0.2">
      <c r="B182" s="206" t="s">
        <v>549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99">
        <f t="shared" si="43"/>
        <v>0</v>
      </c>
    </row>
    <row r="183" spans="2:18" x14ac:dyDescent="0.2">
      <c r="B183" s="206" t="s">
        <v>533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99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568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99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534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99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536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99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535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99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634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99">
        <f t="shared" si="45"/>
        <v>0</v>
      </c>
    </row>
    <row r="189" spans="2:18" ht="16" x14ac:dyDescent="0.2">
      <c r="B189" s="253" t="s">
        <v>531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99">
        <f t="shared" si="45"/>
        <v>0</v>
      </c>
    </row>
    <row r="190" spans="2:18" x14ac:dyDescent="0.2">
      <c r="B190" s="206" t="s">
        <v>530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99">
        <f t="shared" ref="K190:K196" si="46">C190+E190-G190-I190</f>
        <v>0</v>
      </c>
      <c r="L190" s="25"/>
    </row>
    <row r="191" spans="2:18" x14ac:dyDescent="0.2">
      <c r="B191" s="204" t="s">
        <v>532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99">
        <f t="shared" si="46"/>
        <v>0</v>
      </c>
    </row>
    <row r="192" spans="2:18" x14ac:dyDescent="0.2">
      <c r="B192" s="206" t="s">
        <v>528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99">
        <f t="shared" si="46"/>
        <v>0</v>
      </c>
    </row>
    <row r="193" spans="2:19" x14ac:dyDescent="0.2">
      <c r="B193" s="206" t="s">
        <v>556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99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557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99">
        <f t="shared" si="46"/>
        <v>0</v>
      </c>
    </row>
    <row r="195" spans="2:19" x14ac:dyDescent="0.2">
      <c r="B195" s="206" t="s">
        <v>558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99">
        <f t="shared" si="46"/>
        <v>0</v>
      </c>
    </row>
    <row r="196" spans="2:19" x14ac:dyDescent="0.2">
      <c r="B196" s="206" t="s">
        <v>569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99">
        <f t="shared" si="46"/>
        <v>0</v>
      </c>
    </row>
    <row r="197" spans="2:19" ht="17" x14ac:dyDescent="0.2">
      <c r="B197" s="206"/>
      <c r="C197" s="3" t="s">
        <v>471</v>
      </c>
      <c r="E197" s="3" t="s">
        <v>473</v>
      </c>
      <c r="G197" s="25" t="s">
        <v>470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90" t="s">
        <v>476</v>
      </c>
      <c r="D200" s="390"/>
      <c r="E200" s="390"/>
      <c r="F200" s="390"/>
      <c r="G200" s="390"/>
      <c r="L200" s="245"/>
      <c r="M200" s="245"/>
    </row>
    <row r="203" spans="2:19" x14ac:dyDescent="0.2">
      <c r="B203" s="204" t="s">
        <v>416</v>
      </c>
      <c r="C203" s="252">
        <f>AP114</f>
        <v>1043.9873925509492</v>
      </c>
      <c r="E203" s="252">
        <f>AK117</f>
        <v>1043.9873925509492</v>
      </c>
      <c r="G203" s="299">
        <f>C203-E203</f>
        <v>0</v>
      </c>
    </row>
    <row r="204" spans="2:19" x14ac:dyDescent="0.2">
      <c r="B204" s="204" t="s">
        <v>417</v>
      </c>
      <c r="C204" s="252">
        <f>AQ114</f>
        <v>208.65218594918355</v>
      </c>
      <c r="E204" s="252">
        <f t="shared" ref="E204:E216" si="47">AK118</f>
        <v>208.65218594918355</v>
      </c>
      <c r="G204" s="299">
        <f t="shared" ref="G204:G216" si="48">C204-E204</f>
        <v>0</v>
      </c>
      <c r="N204" s="245"/>
      <c r="O204" s="245"/>
    </row>
    <row r="205" spans="2:19" x14ac:dyDescent="0.2">
      <c r="B205" s="204" t="s">
        <v>418</v>
      </c>
      <c r="C205" s="252">
        <f>AR114</f>
        <v>294.54780251398768</v>
      </c>
      <c r="E205" s="252">
        <f t="shared" si="47"/>
        <v>294.54780251398768</v>
      </c>
      <c r="G205" s="299">
        <f t="shared" si="48"/>
        <v>0</v>
      </c>
    </row>
    <row r="206" spans="2:19" x14ac:dyDescent="0.2">
      <c r="B206" s="204" t="s">
        <v>567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99">
        <f t="shared" si="48"/>
        <v>0</v>
      </c>
    </row>
    <row r="207" spans="2:19" x14ac:dyDescent="0.2">
      <c r="B207" s="204" t="s">
        <v>546</v>
      </c>
      <c r="C207" s="252">
        <f>AT114</f>
        <v>208.55560337725498</v>
      </c>
      <c r="E207" s="252">
        <f t="shared" si="47"/>
        <v>208.55560337725498</v>
      </c>
      <c r="G207" s="299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545</v>
      </c>
      <c r="C208" s="252">
        <f>AU114</f>
        <v>286.88405520213911</v>
      </c>
      <c r="E208" s="252">
        <f t="shared" si="47"/>
        <v>286.88405520213911</v>
      </c>
      <c r="G208" s="299">
        <f t="shared" si="48"/>
        <v>0</v>
      </c>
    </row>
    <row r="209" spans="2:11" x14ac:dyDescent="0.2">
      <c r="B209" s="204" t="s">
        <v>444</v>
      </c>
      <c r="C209" s="252">
        <f>AV114</f>
        <v>1011.7674660019052</v>
      </c>
      <c r="E209" s="252">
        <f t="shared" si="47"/>
        <v>1011.7674660019052</v>
      </c>
      <c r="G209" s="299">
        <f t="shared" si="48"/>
        <v>0</v>
      </c>
    </row>
    <row r="210" spans="2:11" x14ac:dyDescent="0.2">
      <c r="B210" s="204" t="s">
        <v>441</v>
      </c>
      <c r="C210" s="252">
        <f>AW114</f>
        <v>208.55560337725498</v>
      </c>
      <c r="D210" s="171" t="s">
        <v>479</v>
      </c>
      <c r="E210" s="252">
        <f t="shared" si="47"/>
        <v>208.55560337725498</v>
      </c>
      <c r="F210" s="171" t="s">
        <v>475</v>
      </c>
      <c r="G210" s="299">
        <f t="shared" si="48"/>
        <v>0</v>
      </c>
    </row>
    <row r="211" spans="2:11" x14ac:dyDescent="0.2">
      <c r="B211" s="204" t="s">
        <v>459</v>
      </c>
      <c r="C211" s="252">
        <f>AX114</f>
        <v>286.88405520213911</v>
      </c>
      <c r="E211" s="252">
        <f t="shared" si="47"/>
        <v>286.88405520213911</v>
      </c>
      <c r="G211" s="299">
        <f t="shared" si="48"/>
        <v>0</v>
      </c>
    </row>
    <row r="212" spans="2:11" x14ac:dyDescent="0.2">
      <c r="B212" s="204" t="s">
        <v>442</v>
      </c>
      <c r="C212" s="252">
        <f>AY114</f>
        <v>22180.060594503899</v>
      </c>
      <c r="E212" s="252">
        <f t="shared" si="47"/>
        <v>22180.060594503899</v>
      </c>
      <c r="G212" s="299">
        <f t="shared" si="48"/>
        <v>0</v>
      </c>
    </row>
    <row r="213" spans="2:11" x14ac:dyDescent="0.2">
      <c r="B213" s="204" t="s">
        <v>437</v>
      </c>
      <c r="C213" s="252">
        <f>AZ114</f>
        <v>871.24978294618404</v>
      </c>
      <c r="E213" s="252">
        <f t="shared" si="47"/>
        <v>871.24978294618427</v>
      </c>
      <c r="G213" s="299">
        <f t="shared" si="48"/>
        <v>0</v>
      </c>
    </row>
    <row r="214" spans="2:11" x14ac:dyDescent="0.2">
      <c r="B214" s="204" t="s">
        <v>457</v>
      </c>
      <c r="C214" s="252">
        <f>BA114</f>
        <v>69.582675758133661</v>
      </c>
      <c r="E214" s="252">
        <f t="shared" si="47"/>
        <v>69.582675758133661</v>
      </c>
      <c r="G214" s="299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99">
        <f t="shared" si="48"/>
        <v>0</v>
      </c>
    </row>
    <row r="216" spans="2:11" x14ac:dyDescent="0.2">
      <c r="B216" s="204" t="s">
        <v>428</v>
      </c>
      <c r="C216" s="252">
        <f>BC114</f>
        <v>4279.0381493012774</v>
      </c>
      <c r="D216" s="171"/>
      <c r="E216" s="252">
        <f t="shared" si="47"/>
        <v>4279.0381493012765</v>
      </c>
      <c r="G216" s="299">
        <f t="shared" si="48"/>
        <v>0</v>
      </c>
    </row>
    <row r="217" spans="2:11" x14ac:dyDescent="0.2">
      <c r="B217" s="206"/>
      <c r="C217" s="171" t="s">
        <v>469</v>
      </c>
      <c r="D217" s="171"/>
      <c r="E217" s="171" t="s">
        <v>466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V224"/>
  <sheetViews>
    <sheetView topLeftCell="AQ1" zoomScale="87" workbookViewId="0">
      <selection activeCell="BH1" sqref="BH1:BV35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670</v>
      </c>
      <c r="AO1" s="260"/>
      <c r="AP1" s="207" t="s">
        <v>416</v>
      </c>
      <c r="AQ1" s="207" t="s">
        <v>417</v>
      </c>
      <c r="AR1" s="207" t="s">
        <v>418</v>
      </c>
      <c r="AS1" s="207" t="s">
        <v>567</v>
      </c>
      <c r="AT1" s="207" t="s">
        <v>546</v>
      </c>
      <c r="AU1" s="207" t="s">
        <v>545</v>
      </c>
      <c r="AV1" s="207" t="s">
        <v>444</v>
      </c>
      <c r="AW1" s="207" t="s">
        <v>441</v>
      </c>
      <c r="AX1" s="207" t="s">
        <v>459</v>
      </c>
      <c r="AY1" s="207" t="s">
        <v>442</v>
      </c>
      <c r="AZ1" s="207" t="s">
        <v>437</v>
      </c>
      <c r="BA1" s="207" t="s">
        <v>457</v>
      </c>
      <c r="BB1" s="207" t="s">
        <v>81</v>
      </c>
      <c r="BC1" s="207" t="s">
        <v>428</v>
      </c>
      <c r="BH1" s="260"/>
      <c r="BI1" s="207" t="s">
        <v>416</v>
      </c>
      <c r="BJ1" s="207" t="s">
        <v>417</v>
      </c>
      <c r="BK1" s="207" t="s">
        <v>418</v>
      </c>
      <c r="BL1" s="207" t="s">
        <v>567</v>
      </c>
      <c r="BM1" s="207" t="s">
        <v>546</v>
      </c>
      <c r="BN1" s="207" t="s">
        <v>545</v>
      </c>
      <c r="BO1" s="207" t="s">
        <v>444</v>
      </c>
      <c r="BP1" s="207" t="s">
        <v>441</v>
      </c>
      <c r="BQ1" s="207" t="s">
        <v>459</v>
      </c>
      <c r="BR1" s="207" t="s">
        <v>442</v>
      </c>
      <c r="BS1" s="207" t="s">
        <v>437</v>
      </c>
      <c r="BT1" s="207" t="s">
        <v>457</v>
      </c>
      <c r="BU1" s="207" t="s">
        <v>81</v>
      </c>
      <c r="BV1" s="207" t="s">
        <v>428</v>
      </c>
    </row>
    <row r="2" spans="2:74" x14ac:dyDescent="0.2">
      <c r="B2" s="204" t="s">
        <v>424</v>
      </c>
      <c r="C2" s="284">
        <v>1</v>
      </c>
      <c r="AO2" s="204" t="s">
        <v>424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424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426</v>
      </c>
      <c r="C3" s="284">
        <v>1</v>
      </c>
      <c r="AO3" s="204" t="s">
        <v>426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426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427</v>
      </c>
      <c r="C4" s="284">
        <v>1</v>
      </c>
      <c r="AO4" s="204" t="s">
        <v>427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427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448</v>
      </c>
      <c r="C5" s="284">
        <v>1</v>
      </c>
      <c r="AO5" s="204" t="s">
        <v>448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448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478</v>
      </c>
      <c r="C6" s="284">
        <v>1</v>
      </c>
      <c r="AO6" s="204" t="s">
        <v>478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478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578</v>
      </c>
      <c r="C7" s="284">
        <v>1</v>
      </c>
      <c r="AO7" s="204" t="s">
        <v>578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578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579</v>
      </c>
      <c r="C8" s="284">
        <v>1</v>
      </c>
      <c r="AO8" s="204" t="s">
        <v>579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579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520</v>
      </c>
      <c r="C9" s="284">
        <v>1</v>
      </c>
      <c r="AO9" s="204" t="s">
        <v>520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520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571</v>
      </c>
      <c r="C10" s="284">
        <v>1</v>
      </c>
      <c r="AO10" s="204" t="s">
        <v>571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571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553</v>
      </c>
      <c r="C11" s="284">
        <v>1</v>
      </c>
      <c r="AO11" s="205" t="s">
        <v>553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553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518</v>
      </c>
      <c r="C12" s="284">
        <v>1</v>
      </c>
      <c r="AO12" s="204" t="s">
        <v>518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518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521</v>
      </c>
      <c r="C13" s="284">
        <v>1</v>
      </c>
      <c r="AO13" s="205" t="s">
        <v>521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521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548</v>
      </c>
      <c r="C14" s="284">
        <v>1</v>
      </c>
      <c r="AO14" s="204" t="s">
        <v>548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548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540</v>
      </c>
      <c r="C15" s="284">
        <v>1</v>
      </c>
      <c r="AO15" s="206" t="s">
        <v>540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540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525</v>
      </c>
      <c r="C16" s="284">
        <v>1</v>
      </c>
      <c r="AO16" s="204" t="s">
        <v>525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525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552</v>
      </c>
      <c r="C17" s="284">
        <v>1</v>
      </c>
      <c r="AO17" s="205" t="s">
        <v>552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552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547</v>
      </c>
      <c r="C18" s="284">
        <v>1</v>
      </c>
      <c r="AO18" s="205" t="s">
        <v>547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547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544</v>
      </c>
      <c r="C19" s="284">
        <v>1</v>
      </c>
      <c r="AO19" s="205" t="s">
        <v>544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544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550</v>
      </c>
      <c r="C20" s="284">
        <v>1</v>
      </c>
      <c r="AO20" s="205" t="s">
        <v>550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550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549</v>
      </c>
      <c r="C21" s="284">
        <v>1</v>
      </c>
      <c r="AO21" s="206" t="s">
        <v>549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549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533</v>
      </c>
      <c r="C22" s="284">
        <v>1</v>
      </c>
      <c r="AO22" s="206" t="s">
        <v>533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533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568</v>
      </c>
      <c r="C23" s="284">
        <v>1</v>
      </c>
      <c r="AO23" s="206" t="s">
        <v>568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568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534</v>
      </c>
      <c r="C24" s="284">
        <v>1</v>
      </c>
      <c r="AO24" s="206" t="s">
        <v>534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534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536</v>
      </c>
      <c r="C25" s="284">
        <v>1</v>
      </c>
      <c r="AO25" s="206" t="s">
        <v>536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536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535</v>
      </c>
      <c r="C26" s="284">
        <v>1</v>
      </c>
      <c r="AO26" s="206" t="s">
        <v>535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535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634</v>
      </c>
      <c r="C27" s="284">
        <v>1</v>
      </c>
      <c r="AO27" s="206" t="s">
        <v>634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634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531</v>
      </c>
      <c r="C28" s="284">
        <v>1</v>
      </c>
      <c r="AO28" s="253" t="s">
        <v>531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531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530</v>
      </c>
      <c r="C29" s="284">
        <v>1</v>
      </c>
      <c r="AO29" s="206" t="s">
        <v>530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530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532</v>
      </c>
      <c r="C30" s="284">
        <v>1</v>
      </c>
      <c r="AO30" s="204" t="s">
        <v>532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532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528</v>
      </c>
      <c r="C31" s="284">
        <v>1</v>
      </c>
      <c r="AO31" s="206" t="s">
        <v>528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528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556</v>
      </c>
      <c r="C32" s="284">
        <v>1</v>
      </c>
      <c r="AO32" s="206" t="s">
        <v>556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556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557</v>
      </c>
      <c r="C33" s="284">
        <v>1</v>
      </c>
      <c r="AO33" s="206" t="s">
        <v>557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557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558</v>
      </c>
      <c r="C34" s="284">
        <v>1</v>
      </c>
      <c r="AO34" s="206" t="s">
        <v>558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558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569</v>
      </c>
      <c r="C35" s="284">
        <v>1</v>
      </c>
      <c r="AO35" s="206" t="s">
        <v>569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569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585</v>
      </c>
      <c r="AO36" s="206"/>
      <c r="AP36" s="390" t="s">
        <v>582</v>
      </c>
      <c r="AQ36" s="390"/>
      <c r="AR36" s="390"/>
      <c r="AS36" s="390"/>
      <c r="AT36" s="390"/>
      <c r="AU36" s="390"/>
      <c r="AV36" s="390"/>
      <c r="AW36" s="390"/>
      <c r="AX36" s="390"/>
      <c r="AY36" s="390"/>
      <c r="AZ36" s="390"/>
      <c r="BA36" s="390"/>
      <c r="BB36" s="390"/>
      <c r="BC36" s="390"/>
      <c r="BH36" s="206"/>
      <c r="BI36" s="390" t="s">
        <v>583</v>
      </c>
      <c r="BJ36" s="390"/>
      <c r="BK36" s="390"/>
      <c r="BL36" s="390"/>
      <c r="BM36" s="390"/>
      <c r="BN36" s="390"/>
      <c r="BO36" s="390"/>
      <c r="BP36" s="390"/>
      <c r="BQ36" s="390"/>
      <c r="BR36" s="390"/>
      <c r="BS36" s="390"/>
      <c r="BT36" s="390"/>
      <c r="BU36" s="390"/>
      <c r="BV36" s="390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416</v>
      </c>
      <c r="AQ39" s="207" t="s">
        <v>417</v>
      </c>
      <c r="AR39" s="207" t="s">
        <v>418</v>
      </c>
      <c r="AS39" s="207" t="s">
        <v>567</v>
      </c>
      <c r="AT39" s="207" t="s">
        <v>546</v>
      </c>
      <c r="AU39" s="207" t="s">
        <v>545</v>
      </c>
      <c r="AV39" s="207" t="s">
        <v>444</v>
      </c>
      <c r="AW39" s="207" t="s">
        <v>441</v>
      </c>
      <c r="AX39" s="207" t="s">
        <v>459</v>
      </c>
      <c r="AY39" s="207" t="s">
        <v>442</v>
      </c>
      <c r="AZ39" s="207" t="s">
        <v>437</v>
      </c>
      <c r="BA39" s="207" t="s">
        <v>457</v>
      </c>
      <c r="BB39" s="207" t="s">
        <v>81</v>
      </c>
      <c r="BC39" s="207" t="s">
        <v>428</v>
      </c>
    </row>
    <row r="40" spans="2:74" x14ac:dyDescent="0.2">
      <c r="AO40" s="204" t="s">
        <v>424</v>
      </c>
      <c r="AP40" s="284">
        <f>AP79</f>
        <v>-39777.560785767848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426</v>
      </c>
      <c r="AP41" s="284">
        <f t="shared" ref="AP41:BC56" si="1">AP80</f>
        <v>0</v>
      </c>
      <c r="AQ41" s="284">
        <f t="shared" si="1"/>
        <v>-25062.103433021839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427</v>
      </c>
      <c r="AP42" s="284">
        <f t="shared" si="1"/>
        <v>0</v>
      </c>
      <c r="AQ42" s="284">
        <f t="shared" si="1"/>
        <v>0</v>
      </c>
      <c r="AR42" s="284">
        <f t="shared" si="1"/>
        <v>-39604.193450553685</v>
      </c>
      <c r="AS42" s="284">
        <f t="shared" si="1"/>
        <v>0</v>
      </c>
      <c r="AT42" s="284">
        <f t="shared" si="1"/>
        <v>0</v>
      </c>
      <c r="AU42" s="284">
        <f t="shared" si="1"/>
        <v>0</v>
      </c>
      <c r="AV42" s="284">
        <f t="shared" si="1"/>
        <v>0</v>
      </c>
      <c r="AW42" s="284">
        <f t="shared" si="1"/>
        <v>0</v>
      </c>
      <c r="AX42" s="284">
        <f t="shared" si="1"/>
        <v>0</v>
      </c>
      <c r="AY42" s="284">
        <f t="shared" si="1"/>
        <v>0</v>
      </c>
      <c r="AZ42" s="284">
        <f t="shared" si="1"/>
        <v>0</v>
      </c>
      <c r="BA42" s="284">
        <f t="shared" si="1"/>
        <v>0</v>
      </c>
      <c r="BB42" s="284">
        <f t="shared" si="1"/>
        <v>0</v>
      </c>
      <c r="BC42" s="284">
        <f t="shared" si="1"/>
        <v>0</v>
      </c>
    </row>
    <row r="43" spans="2:74" x14ac:dyDescent="0.2">
      <c r="AO43" s="204" t="s">
        <v>448</v>
      </c>
      <c r="AP43" s="284">
        <f t="shared" si="1"/>
        <v>0</v>
      </c>
      <c r="AQ43" s="284">
        <f t="shared" si="1"/>
        <v>0</v>
      </c>
      <c r="AR43" s="284">
        <f t="shared" si="1"/>
        <v>0</v>
      </c>
      <c r="AS43" s="284">
        <f t="shared" si="1"/>
        <v>0</v>
      </c>
      <c r="AT43" s="284">
        <f t="shared" si="1"/>
        <v>0</v>
      </c>
      <c r="AU43" s="284">
        <f t="shared" si="1"/>
        <v>0</v>
      </c>
      <c r="AV43" s="284">
        <f t="shared" si="1"/>
        <v>0</v>
      </c>
      <c r="AW43" s="284">
        <f t="shared" si="1"/>
        <v>0</v>
      </c>
      <c r="AX43" s="284">
        <f t="shared" si="1"/>
        <v>0</v>
      </c>
      <c r="AY43" s="284">
        <f t="shared" si="1"/>
        <v>0</v>
      </c>
      <c r="AZ43" s="284">
        <f t="shared" si="1"/>
        <v>0</v>
      </c>
      <c r="BA43" s="284">
        <f t="shared" si="1"/>
        <v>0</v>
      </c>
      <c r="BB43" s="284">
        <f t="shared" si="1"/>
        <v>0</v>
      </c>
      <c r="BC43" s="284">
        <f t="shared" si="1"/>
        <v>0</v>
      </c>
    </row>
    <row r="44" spans="2:74" x14ac:dyDescent="0.2">
      <c r="AO44" s="204" t="s">
        <v>478</v>
      </c>
      <c r="AP44" s="284">
        <f t="shared" si="1"/>
        <v>0</v>
      </c>
      <c r="AQ44" s="284">
        <f t="shared" si="1"/>
        <v>0</v>
      </c>
      <c r="AR44" s="284">
        <f t="shared" si="1"/>
        <v>0</v>
      </c>
      <c r="AS44" s="284">
        <f t="shared" si="1"/>
        <v>0</v>
      </c>
      <c r="AT44" s="284">
        <f t="shared" si="1"/>
        <v>0</v>
      </c>
      <c r="AU44" s="284">
        <f t="shared" si="1"/>
        <v>0</v>
      </c>
      <c r="AV44" s="284">
        <f t="shared" si="1"/>
        <v>0</v>
      </c>
      <c r="AW44" s="284">
        <f t="shared" si="1"/>
        <v>0</v>
      </c>
      <c r="AX44" s="284">
        <f t="shared" si="1"/>
        <v>0</v>
      </c>
      <c r="AY44" s="284">
        <f t="shared" si="1"/>
        <v>1.604276E-2</v>
      </c>
      <c r="AZ44" s="284">
        <f t="shared" si="1"/>
        <v>1.604276E-2</v>
      </c>
      <c r="BA44" s="284">
        <f t="shared" si="1"/>
        <v>0</v>
      </c>
      <c r="BB44" s="284">
        <f t="shared" si="1"/>
        <v>0</v>
      </c>
      <c r="BC44" s="284">
        <f t="shared" si="1"/>
        <v>1.604276E-2</v>
      </c>
    </row>
    <row r="45" spans="2:74" x14ac:dyDescent="0.2">
      <c r="AO45" s="204" t="s">
        <v>578</v>
      </c>
      <c r="AP45" s="284">
        <f t="shared" si="1"/>
        <v>42600</v>
      </c>
      <c r="AQ45" s="284">
        <f t="shared" si="1"/>
        <v>42600</v>
      </c>
      <c r="AR45" s="284">
        <f t="shared" si="1"/>
        <v>42600</v>
      </c>
      <c r="AS45" s="284">
        <f t="shared" si="1"/>
        <v>0</v>
      </c>
      <c r="AT45" s="284">
        <f t="shared" si="1"/>
        <v>0</v>
      </c>
      <c r="AU45" s="284">
        <f t="shared" si="1"/>
        <v>0</v>
      </c>
      <c r="AV45" s="284">
        <f t="shared" si="1"/>
        <v>0</v>
      </c>
      <c r="AW45" s="284">
        <f t="shared" si="1"/>
        <v>0</v>
      </c>
      <c r="AX45" s="284">
        <f t="shared" si="1"/>
        <v>0</v>
      </c>
      <c r="AY45" s="284">
        <f t="shared" si="1"/>
        <v>0</v>
      </c>
      <c r="AZ45" s="284">
        <f t="shared" si="1"/>
        <v>0</v>
      </c>
      <c r="BA45" s="284">
        <f t="shared" si="1"/>
        <v>0</v>
      </c>
      <c r="BB45" s="284">
        <f t="shared" si="1"/>
        <v>0</v>
      </c>
      <c r="BC45" s="284">
        <f t="shared" si="1"/>
        <v>0</v>
      </c>
    </row>
    <row r="46" spans="2:74" x14ac:dyDescent="0.2">
      <c r="AO46" s="204" t="s">
        <v>579</v>
      </c>
      <c r="AP46" s="284">
        <f t="shared" si="1"/>
        <v>0</v>
      </c>
      <c r="AQ46" s="284">
        <f t="shared" si="1"/>
        <v>-2189.4247196818515</v>
      </c>
      <c r="AR46" s="284">
        <f t="shared" si="1"/>
        <v>0</v>
      </c>
      <c r="AS46" s="284">
        <f t="shared" si="1"/>
        <v>0</v>
      </c>
      <c r="AT46" s="284">
        <f t="shared" si="1"/>
        <v>0</v>
      </c>
      <c r="AU46" s="284">
        <f t="shared" si="1"/>
        <v>0</v>
      </c>
      <c r="AV46" s="284">
        <f t="shared" si="1"/>
        <v>0</v>
      </c>
      <c r="AW46" s="284">
        <f t="shared" si="1"/>
        <v>0</v>
      </c>
      <c r="AX46" s="284">
        <f t="shared" si="1"/>
        <v>0</v>
      </c>
      <c r="AY46" s="284">
        <f t="shared" si="1"/>
        <v>0</v>
      </c>
      <c r="AZ46" s="284">
        <f t="shared" si="1"/>
        <v>0</v>
      </c>
      <c r="BA46" s="284">
        <f t="shared" si="1"/>
        <v>0</v>
      </c>
      <c r="BB46" s="284">
        <f t="shared" si="1"/>
        <v>0</v>
      </c>
      <c r="BC46" s="284">
        <f t="shared" si="1"/>
        <v>0</v>
      </c>
    </row>
    <row r="47" spans="2:74" x14ac:dyDescent="0.2">
      <c r="AO47" s="204" t="s">
        <v>520</v>
      </c>
      <c r="AP47" s="284">
        <f t="shared" si="1"/>
        <v>0</v>
      </c>
      <c r="AQ47" s="284">
        <f t="shared" si="1"/>
        <v>0</v>
      </c>
      <c r="AR47" s="284">
        <f t="shared" si="1"/>
        <v>0</v>
      </c>
      <c r="AS47" s="284">
        <f t="shared" si="1"/>
        <v>0</v>
      </c>
      <c r="AT47" s="284">
        <f t="shared" si="1"/>
        <v>0</v>
      </c>
      <c r="AU47" s="284">
        <f t="shared" si="1"/>
        <v>0</v>
      </c>
      <c r="AV47" s="284">
        <f t="shared" si="1"/>
        <v>0</v>
      </c>
      <c r="AW47" s="284">
        <f t="shared" si="1"/>
        <v>0</v>
      </c>
      <c r="AX47" s="284">
        <f t="shared" si="1"/>
        <v>0</v>
      </c>
      <c r="AY47" s="284">
        <f t="shared" si="1"/>
        <v>0</v>
      </c>
      <c r="AZ47" s="284">
        <f t="shared" si="1"/>
        <v>0</v>
      </c>
      <c r="BA47" s="284">
        <f t="shared" si="1"/>
        <v>0</v>
      </c>
      <c r="BB47" s="284">
        <f t="shared" si="1"/>
        <v>0</v>
      </c>
      <c r="BC47" s="284">
        <f t="shared" si="1"/>
        <v>39500</v>
      </c>
    </row>
    <row r="48" spans="2:74" x14ac:dyDescent="0.2">
      <c r="AO48" s="204" t="s">
        <v>571</v>
      </c>
      <c r="AP48" s="284">
        <f t="shared" si="1"/>
        <v>0</v>
      </c>
      <c r="AQ48" s="284">
        <f t="shared" si="1"/>
        <v>0</v>
      </c>
      <c r="AR48" s="284">
        <f t="shared" si="1"/>
        <v>0</v>
      </c>
      <c r="AS48" s="284">
        <f t="shared" si="1"/>
        <v>0</v>
      </c>
      <c r="AT48" s="284">
        <f t="shared" si="1"/>
        <v>0</v>
      </c>
      <c r="AU48" s="284">
        <f t="shared" si="1"/>
        <v>0</v>
      </c>
      <c r="AV48" s="284">
        <f t="shared" si="1"/>
        <v>0</v>
      </c>
      <c r="AW48" s="284">
        <f t="shared" si="1"/>
        <v>0</v>
      </c>
      <c r="AX48" s="284">
        <f t="shared" si="1"/>
        <v>0</v>
      </c>
      <c r="AY48" s="284">
        <f t="shared" si="1"/>
        <v>0</v>
      </c>
      <c r="AZ48" s="284">
        <f t="shared" si="1"/>
        <v>0</v>
      </c>
      <c r="BA48" s="284">
        <f t="shared" si="1"/>
        <v>0</v>
      </c>
      <c r="BB48" s="284">
        <f t="shared" si="1"/>
        <v>0</v>
      </c>
      <c r="BC48" s="284">
        <f t="shared" si="1"/>
        <v>0</v>
      </c>
    </row>
    <row r="49" spans="41:55" ht="16" x14ac:dyDescent="0.2">
      <c r="AO49" s="205" t="s">
        <v>553</v>
      </c>
      <c r="AP49" s="284">
        <f t="shared" si="1"/>
        <v>0</v>
      </c>
      <c r="AQ49" s="284">
        <f t="shared" si="1"/>
        <v>0</v>
      </c>
      <c r="AR49" s="284">
        <f t="shared" si="1"/>
        <v>0</v>
      </c>
      <c r="AS49" s="284">
        <f t="shared" si="1"/>
        <v>-39777.560785767848</v>
      </c>
      <c r="AT49" s="284">
        <f t="shared" si="1"/>
        <v>0</v>
      </c>
      <c r="AU49" s="284">
        <f t="shared" si="1"/>
        <v>0</v>
      </c>
      <c r="AV49" s="284">
        <f t="shared" si="1"/>
        <v>0</v>
      </c>
      <c r="AW49" s="284">
        <f t="shared" si="1"/>
        <v>0</v>
      </c>
      <c r="AX49" s="284">
        <f t="shared" si="1"/>
        <v>0</v>
      </c>
      <c r="AY49" s="284">
        <f t="shared" si="1"/>
        <v>0</v>
      </c>
      <c r="AZ49" s="284">
        <f t="shared" si="1"/>
        <v>0</v>
      </c>
      <c r="BA49" s="284">
        <f t="shared" si="1"/>
        <v>0</v>
      </c>
      <c r="BB49" s="284">
        <f t="shared" si="1"/>
        <v>0</v>
      </c>
      <c r="BC49" s="284">
        <f t="shared" si="1"/>
        <v>0</v>
      </c>
    </row>
    <row r="50" spans="41:55" x14ac:dyDescent="0.2">
      <c r="AO50" s="204" t="s">
        <v>518</v>
      </c>
      <c r="AP50" s="284">
        <f t="shared" si="1"/>
        <v>0</v>
      </c>
      <c r="AQ50" s="284">
        <f t="shared" si="1"/>
        <v>0</v>
      </c>
      <c r="AR50" s="284">
        <f t="shared" si="1"/>
        <v>0</v>
      </c>
      <c r="AS50" s="284">
        <f t="shared" si="1"/>
        <v>0</v>
      </c>
      <c r="AT50" s="284">
        <f t="shared" si="1"/>
        <v>0</v>
      </c>
      <c r="AU50" s="284">
        <f t="shared" si="1"/>
        <v>0</v>
      </c>
      <c r="AV50" s="284">
        <f t="shared" si="1"/>
        <v>0</v>
      </c>
      <c r="AW50" s="284">
        <f t="shared" si="1"/>
        <v>0</v>
      </c>
      <c r="AX50" s="284">
        <f t="shared" si="1"/>
        <v>0</v>
      </c>
      <c r="AY50" s="284">
        <f t="shared" si="1"/>
        <v>0</v>
      </c>
      <c r="AZ50" s="284">
        <f t="shared" si="1"/>
        <v>0</v>
      </c>
      <c r="BA50" s="284">
        <f t="shared" si="1"/>
        <v>0</v>
      </c>
      <c r="BB50" s="284">
        <f t="shared" si="1"/>
        <v>0</v>
      </c>
      <c r="BC50" s="284">
        <f t="shared" si="1"/>
        <v>0</v>
      </c>
    </row>
    <row r="51" spans="41:55" ht="16" x14ac:dyDescent="0.2">
      <c r="AO51" s="205" t="s">
        <v>521</v>
      </c>
      <c r="AP51" s="284">
        <f t="shared" si="1"/>
        <v>0</v>
      </c>
      <c r="AQ51" s="284">
        <f t="shared" si="1"/>
        <v>0</v>
      </c>
      <c r="AR51" s="284">
        <f t="shared" si="1"/>
        <v>0</v>
      </c>
      <c r="AS51" s="284">
        <f t="shared" si="1"/>
        <v>0</v>
      </c>
      <c r="AT51" s="284">
        <f t="shared" si="1"/>
        <v>-25062.103433021839</v>
      </c>
      <c r="AU51" s="284">
        <f t="shared" si="1"/>
        <v>0</v>
      </c>
      <c r="AV51" s="284">
        <f t="shared" si="1"/>
        <v>0</v>
      </c>
      <c r="AW51" s="284">
        <f t="shared" si="1"/>
        <v>0</v>
      </c>
      <c r="AX51" s="284">
        <f t="shared" si="1"/>
        <v>0</v>
      </c>
      <c r="AY51" s="284">
        <f t="shared" si="1"/>
        <v>0</v>
      </c>
      <c r="AZ51" s="284">
        <f t="shared" si="1"/>
        <v>0</v>
      </c>
      <c r="BA51" s="284">
        <f t="shared" si="1"/>
        <v>0</v>
      </c>
      <c r="BB51" s="284">
        <f t="shared" si="1"/>
        <v>0</v>
      </c>
      <c r="BC51" s="284">
        <f t="shared" si="1"/>
        <v>0</v>
      </c>
    </row>
    <row r="52" spans="41:55" x14ac:dyDescent="0.2">
      <c r="AO52" s="204" t="s">
        <v>548</v>
      </c>
      <c r="AP52" s="284">
        <f t="shared" si="1"/>
        <v>0</v>
      </c>
      <c r="AQ52" s="284">
        <f t="shared" si="1"/>
        <v>0</v>
      </c>
      <c r="AR52" s="284">
        <f t="shared" si="1"/>
        <v>0</v>
      </c>
      <c r="AS52" s="284">
        <f t="shared" si="1"/>
        <v>0</v>
      </c>
      <c r="AT52" s="284">
        <f t="shared" si="1"/>
        <v>0</v>
      </c>
      <c r="AU52" s="284">
        <f t="shared" si="1"/>
        <v>0</v>
      </c>
      <c r="AV52" s="284">
        <f t="shared" si="1"/>
        <v>0</v>
      </c>
      <c r="AW52" s="284">
        <f t="shared" si="1"/>
        <v>0</v>
      </c>
      <c r="AX52" s="284">
        <f t="shared" si="1"/>
        <v>0</v>
      </c>
      <c r="AY52" s="284">
        <f t="shared" si="1"/>
        <v>0</v>
      </c>
      <c r="AZ52" s="284">
        <f t="shared" si="1"/>
        <v>0</v>
      </c>
      <c r="BA52" s="284">
        <f t="shared" si="1"/>
        <v>0</v>
      </c>
      <c r="BB52" s="284">
        <f t="shared" si="1"/>
        <v>0</v>
      </c>
      <c r="BC52" s="284">
        <f t="shared" si="1"/>
        <v>0</v>
      </c>
    </row>
    <row r="53" spans="41:55" x14ac:dyDescent="0.2">
      <c r="AO53" s="206" t="s">
        <v>540</v>
      </c>
      <c r="AP53" s="284">
        <f t="shared" si="1"/>
        <v>0</v>
      </c>
      <c r="AQ53" s="284">
        <f t="shared" si="1"/>
        <v>0</v>
      </c>
      <c r="AR53" s="284">
        <f t="shared" si="1"/>
        <v>0</v>
      </c>
      <c r="AS53" s="284">
        <f t="shared" si="1"/>
        <v>0</v>
      </c>
      <c r="AT53" s="284">
        <f t="shared" si="1"/>
        <v>0</v>
      </c>
      <c r="AU53" s="284">
        <f t="shared" si="1"/>
        <v>-39604.193450553685</v>
      </c>
      <c r="AV53" s="284">
        <f t="shared" si="1"/>
        <v>0</v>
      </c>
      <c r="AW53" s="284">
        <f t="shared" si="1"/>
        <v>0</v>
      </c>
      <c r="AX53" s="284">
        <f t="shared" si="1"/>
        <v>0</v>
      </c>
      <c r="AY53" s="284">
        <f t="shared" si="1"/>
        <v>0</v>
      </c>
      <c r="AZ53" s="284">
        <f t="shared" si="1"/>
        <v>0</v>
      </c>
      <c r="BA53" s="284">
        <f t="shared" si="1"/>
        <v>0</v>
      </c>
      <c r="BB53" s="284">
        <f t="shared" si="1"/>
        <v>0</v>
      </c>
      <c r="BC53" s="284">
        <f t="shared" si="1"/>
        <v>0</v>
      </c>
    </row>
    <row r="54" spans="41:55" x14ac:dyDescent="0.2">
      <c r="AO54" s="204" t="s">
        <v>525</v>
      </c>
      <c r="AP54" s="284">
        <f t="shared" si="1"/>
        <v>0</v>
      </c>
      <c r="AQ54" s="284">
        <f t="shared" si="1"/>
        <v>0</v>
      </c>
      <c r="AR54" s="284">
        <f t="shared" si="1"/>
        <v>0</v>
      </c>
      <c r="AS54" s="284">
        <f t="shared" si="1"/>
        <v>0</v>
      </c>
      <c r="AT54" s="284">
        <f t="shared" si="1"/>
        <v>0</v>
      </c>
      <c r="AU54" s="284">
        <f t="shared" si="1"/>
        <v>0</v>
      </c>
      <c r="AV54" s="284">
        <f t="shared" si="1"/>
        <v>0</v>
      </c>
      <c r="AW54" s="284">
        <f t="shared" si="1"/>
        <v>0</v>
      </c>
      <c r="AX54" s="284">
        <f t="shared" si="1"/>
        <v>0</v>
      </c>
      <c r="AY54" s="284">
        <f t="shared" si="1"/>
        <v>0</v>
      </c>
      <c r="AZ54" s="284">
        <f t="shared" si="1"/>
        <v>0</v>
      </c>
      <c r="BA54" s="284">
        <f t="shared" si="1"/>
        <v>0</v>
      </c>
      <c r="BB54" s="284">
        <f t="shared" si="1"/>
        <v>0</v>
      </c>
      <c r="BC54" s="284">
        <f t="shared" si="1"/>
        <v>0</v>
      </c>
    </row>
    <row r="55" spans="41:55" ht="16" x14ac:dyDescent="0.2">
      <c r="AO55" s="205" t="s">
        <v>552</v>
      </c>
      <c r="AP55" s="284">
        <f t="shared" si="1"/>
        <v>0</v>
      </c>
      <c r="AQ55" s="284">
        <f t="shared" si="1"/>
        <v>0</v>
      </c>
      <c r="AR55" s="284">
        <f t="shared" si="1"/>
        <v>0</v>
      </c>
      <c r="AS55" s="284">
        <f t="shared" si="1"/>
        <v>0</v>
      </c>
      <c r="AT55" s="284">
        <f t="shared" si="1"/>
        <v>0</v>
      </c>
      <c r="AU55" s="284">
        <f t="shared" si="1"/>
        <v>0</v>
      </c>
      <c r="AV55" s="284">
        <f t="shared" si="1"/>
        <v>-39777.560785767848</v>
      </c>
      <c r="AW55" s="284">
        <f t="shared" si="1"/>
        <v>0</v>
      </c>
      <c r="AX55" s="284">
        <f t="shared" si="1"/>
        <v>0</v>
      </c>
      <c r="AY55" s="284">
        <f t="shared" si="1"/>
        <v>0</v>
      </c>
      <c r="AZ55" s="284">
        <f t="shared" si="1"/>
        <v>0</v>
      </c>
      <c r="BA55" s="284">
        <f t="shared" si="1"/>
        <v>0</v>
      </c>
      <c r="BB55" s="284">
        <f t="shared" si="1"/>
        <v>0</v>
      </c>
      <c r="BC55" s="284">
        <f t="shared" si="1"/>
        <v>0</v>
      </c>
    </row>
    <row r="56" spans="41:55" ht="16" x14ac:dyDescent="0.2">
      <c r="AO56" s="205" t="s">
        <v>547</v>
      </c>
      <c r="AP56" s="284">
        <f t="shared" si="1"/>
        <v>0</v>
      </c>
      <c r="AQ56" s="284">
        <f t="shared" si="1"/>
        <v>0</v>
      </c>
      <c r="AR56" s="284">
        <f t="shared" si="1"/>
        <v>0</v>
      </c>
      <c r="AS56" s="284">
        <f t="shared" si="1"/>
        <v>0</v>
      </c>
      <c r="AT56" s="284">
        <f t="shared" si="1"/>
        <v>0</v>
      </c>
      <c r="AU56" s="284">
        <f t="shared" si="1"/>
        <v>0</v>
      </c>
      <c r="AV56" s="284">
        <f t="shared" si="1"/>
        <v>0</v>
      </c>
      <c r="AW56" s="284">
        <f t="shared" si="1"/>
        <v>-25062.103433021839</v>
      </c>
      <c r="AX56" s="284">
        <f t="shared" si="1"/>
        <v>0</v>
      </c>
      <c r="AY56" s="284">
        <f t="shared" si="1"/>
        <v>0</v>
      </c>
      <c r="AZ56" s="284">
        <f t="shared" si="1"/>
        <v>0</v>
      </c>
      <c r="BA56" s="284">
        <f t="shared" si="1"/>
        <v>0</v>
      </c>
      <c r="BB56" s="284">
        <f t="shared" si="1"/>
        <v>0</v>
      </c>
      <c r="BC56" s="284">
        <f t="shared" si="1"/>
        <v>0</v>
      </c>
    </row>
    <row r="57" spans="41:55" ht="16" x14ac:dyDescent="0.2">
      <c r="AO57" s="205" t="s">
        <v>544</v>
      </c>
      <c r="AP57" s="284">
        <f t="shared" ref="AP57:BC72" si="2">AP96</f>
        <v>0</v>
      </c>
      <c r="AQ57" s="284">
        <f t="shared" si="2"/>
        <v>0</v>
      </c>
      <c r="AR57" s="284">
        <f t="shared" si="2"/>
        <v>0</v>
      </c>
      <c r="AS57" s="284">
        <f t="shared" si="2"/>
        <v>0</v>
      </c>
      <c r="AT57" s="284">
        <f t="shared" si="2"/>
        <v>0</v>
      </c>
      <c r="AU57" s="284">
        <f t="shared" si="2"/>
        <v>0</v>
      </c>
      <c r="AV57" s="284">
        <f t="shared" si="2"/>
        <v>0</v>
      </c>
      <c r="AW57" s="284">
        <f t="shared" si="2"/>
        <v>0</v>
      </c>
      <c r="AX57" s="284">
        <f t="shared" si="2"/>
        <v>-39604.193450553685</v>
      </c>
      <c r="AY57" s="284">
        <f t="shared" si="2"/>
        <v>0</v>
      </c>
      <c r="AZ57" s="284">
        <f t="shared" si="2"/>
        <v>0</v>
      </c>
      <c r="BA57" s="284">
        <f t="shared" si="2"/>
        <v>0</v>
      </c>
      <c r="BB57" s="284">
        <f t="shared" si="2"/>
        <v>0</v>
      </c>
      <c r="BC57" s="284">
        <f t="shared" si="2"/>
        <v>0</v>
      </c>
    </row>
    <row r="58" spans="41:55" ht="16" x14ac:dyDescent="0.2">
      <c r="AO58" s="205" t="s">
        <v>550</v>
      </c>
      <c r="AP58" s="284">
        <f t="shared" si="2"/>
        <v>0</v>
      </c>
      <c r="AQ58" s="284">
        <f t="shared" si="2"/>
        <v>0</v>
      </c>
      <c r="AR58" s="284">
        <f t="shared" si="2"/>
        <v>0</v>
      </c>
      <c r="AS58" s="284">
        <f t="shared" si="2"/>
        <v>0</v>
      </c>
      <c r="AT58" s="284">
        <f t="shared" si="2"/>
        <v>0</v>
      </c>
      <c r="AU58" s="284">
        <f t="shared" si="2"/>
        <v>0</v>
      </c>
      <c r="AV58" s="284">
        <f t="shared" si="2"/>
        <v>0</v>
      </c>
      <c r="AW58" s="284">
        <f t="shared" si="2"/>
        <v>0</v>
      </c>
      <c r="AX58" s="284">
        <f t="shared" si="2"/>
        <v>0</v>
      </c>
      <c r="AY58" s="284">
        <f t="shared" si="2"/>
        <v>0</v>
      </c>
      <c r="AZ58" s="284">
        <f t="shared" si="2"/>
        <v>0</v>
      </c>
      <c r="BA58" s="284">
        <f t="shared" si="2"/>
        <v>0</v>
      </c>
      <c r="BB58" s="284">
        <f t="shared" si="2"/>
        <v>-20318.34579452957</v>
      </c>
      <c r="BC58" s="284">
        <f t="shared" si="2"/>
        <v>0</v>
      </c>
    </row>
    <row r="59" spans="41:55" x14ac:dyDescent="0.2">
      <c r="AO59" s="206" t="s">
        <v>549</v>
      </c>
      <c r="AP59" s="284">
        <f t="shared" si="2"/>
        <v>0</v>
      </c>
      <c r="AQ59" s="284">
        <f t="shared" si="2"/>
        <v>0</v>
      </c>
      <c r="AR59" s="284">
        <f t="shared" si="2"/>
        <v>0</v>
      </c>
      <c r="AS59" s="284">
        <f t="shared" si="2"/>
        <v>0</v>
      </c>
      <c r="AT59" s="284">
        <f t="shared" si="2"/>
        <v>0</v>
      </c>
      <c r="AU59" s="284">
        <f t="shared" si="2"/>
        <v>0</v>
      </c>
      <c r="AV59" s="284">
        <f t="shared" si="2"/>
        <v>0</v>
      </c>
      <c r="AW59" s="284">
        <f t="shared" si="2"/>
        <v>0</v>
      </c>
      <c r="AX59" s="284">
        <f t="shared" si="2"/>
        <v>0</v>
      </c>
      <c r="AY59" s="284">
        <f t="shared" si="2"/>
        <v>0</v>
      </c>
      <c r="AZ59" s="284">
        <f t="shared" si="2"/>
        <v>0</v>
      </c>
      <c r="BA59" s="284">
        <f t="shared" si="2"/>
        <v>0</v>
      </c>
      <c r="BB59" s="284">
        <f t="shared" si="2"/>
        <v>0</v>
      </c>
      <c r="BC59" s="284">
        <f t="shared" si="2"/>
        <v>0</v>
      </c>
    </row>
    <row r="60" spans="41:55" x14ac:dyDescent="0.2">
      <c r="AO60" s="206" t="s">
        <v>533</v>
      </c>
      <c r="AP60" s="284">
        <f t="shared" si="2"/>
        <v>0</v>
      </c>
      <c r="AQ60" s="284">
        <f t="shared" si="2"/>
        <v>0</v>
      </c>
      <c r="AR60" s="284">
        <f t="shared" si="2"/>
        <v>0</v>
      </c>
      <c r="AS60" s="284">
        <f t="shared" si="2"/>
        <v>0</v>
      </c>
      <c r="AT60" s="284">
        <f t="shared" si="2"/>
        <v>0</v>
      </c>
      <c r="AU60" s="284">
        <f t="shared" si="2"/>
        <v>0</v>
      </c>
      <c r="AV60" s="284">
        <f t="shared" si="2"/>
        <v>0</v>
      </c>
      <c r="AW60" s="284">
        <f t="shared" si="2"/>
        <v>0</v>
      </c>
      <c r="AX60" s="284">
        <f t="shared" si="2"/>
        <v>0</v>
      </c>
      <c r="AY60" s="284">
        <f t="shared" si="2"/>
        <v>-25062.103433021839</v>
      </c>
      <c r="AZ60" s="284">
        <f t="shared" si="2"/>
        <v>0</v>
      </c>
      <c r="BA60" s="284">
        <f t="shared" si="2"/>
        <v>0</v>
      </c>
      <c r="BB60" s="284">
        <f t="shared" si="2"/>
        <v>0</v>
      </c>
      <c r="BC60" s="284">
        <f t="shared" si="2"/>
        <v>0</v>
      </c>
    </row>
    <row r="61" spans="41:55" x14ac:dyDescent="0.2">
      <c r="AO61" s="206" t="s">
        <v>568</v>
      </c>
      <c r="AP61" s="284">
        <f t="shared" si="2"/>
        <v>0</v>
      </c>
      <c r="AQ61" s="284">
        <f t="shared" si="2"/>
        <v>0</v>
      </c>
      <c r="AR61" s="284">
        <f t="shared" si="2"/>
        <v>0</v>
      </c>
      <c r="AS61" s="284">
        <f t="shared" si="2"/>
        <v>0</v>
      </c>
      <c r="AT61" s="284">
        <f t="shared" si="2"/>
        <v>0</v>
      </c>
      <c r="AU61" s="284">
        <f t="shared" si="2"/>
        <v>0</v>
      </c>
      <c r="AV61" s="284">
        <f t="shared" si="2"/>
        <v>0</v>
      </c>
      <c r="AW61" s="284">
        <f t="shared" si="2"/>
        <v>0</v>
      </c>
      <c r="AX61" s="284">
        <f t="shared" si="2"/>
        <v>0</v>
      </c>
      <c r="AY61" s="284">
        <f t="shared" si="2"/>
        <v>0</v>
      </c>
      <c r="AZ61" s="284">
        <f t="shared" si="2"/>
        <v>-39604.193450553685</v>
      </c>
      <c r="BA61" s="284">
        <f t="shared" si="2"/>
        <v>0</v>
      </c>
      <c r="BB61" s="284">
        <f t="shared" si="2"/>
        <v>0</v>
      </c>
      <c r="BC61" s="284">
        <f t="shared" si="2"/>
        <v>0</v>
      </c>
    </row>
    <row r="62" spans="41:55" x14ac:dyDescent="0.2">
      <c r="AO62" s="206" t="s">
        <v>534</v>
      </c>
      <c r="AP62" s="284">
        <f t="shared" si="2"/>
        <v>0</v>
      </c>
      <c r="AQ62" s="284">
        <f t="shared" si="2"/>
        <v>0</v>
      </c>
      <c r="AR62" s="284">
        <f t="shared" si="2"/>
        <v>0</v>
      </c>
      <c r="AS62" s="284">
        <f t="shared" si="2"/>
        <v>0</v>
      </c>
      <c r="AT62" s="284">
        <f t="shared" si="2"/>
        <v>0</v>
      </c>
      <c r="AU62" s="284">
        <f t="shared" si="2"/>
        <v>0</v>
      </c>
      <c r="AV62" s="284">
        <f t="shared" si="2"/>
        <v>0</v>
      </c>
      <c r="AW62" s="284">
        <f t="shared" si="2"/>
        <v>0</v>
      </c>
      <c r="AX62" s="284">
        <f t="shared" si="2"/>
        <v>0</v>
      </c>
      <c r="AY62" s="284">
        <f t="shared" si="2"/>
        <v>0</v>
      </c>
      <c r="AZ62" s="284">
        <f t="shared" si="2"/>
        <v>0</v>
      </c>
      <c r="BA62" s="284">
        <f t="shared" si="2"/>
        <v>0</v>
      </c>
      <c r="BB62" s="284">
        <f t="shared" si="2"/>
        <v>-11321.85158370395</v>
      </c>
      <c r="BC62" s="284">
        <f t="shared" si="2"/>
        <v>0</v>
      </c>
    </row>
    <row r="63" spans="41:55" x14ac:dyDescent="0.2">
      <c r="AO63" s="206" t="s">
        <v>536</v>
      </c>
      <c r="AP63" s="284">
        <f t="shared" si="2"/>
        <v>0</v>
      </c>
      <c r="AQ63" s="284">
        <f t="shared" si="2"/>
        <v>0</v>
      </c>
      <c r="AR63" s="284">
        <f t="shared" si="2"/>
        <v>0</v>
      </c>
      <c r="AS63" s="284">
        <f t="shared" si="2"/>
        <v>0</v>
      </c>
      <c r="AT63" s="284">
        <f t="shared" si="2"/>
        <v>0</v>
      </c>
      <c r="AU63" s="284">
        <f t="shared" si="2"/>
        <v>0</v>
      </c>
      <c r="AV63" s="284">
        <f t="shared" si="2"/>
        <v>0</v>
      </c>
      <c r="AW63" s="284">
        <f t="shared" si="2"/>
        <v>0</v>
      </c>
      <c r="AX63" s="284">
        <f t="shared" si="2"/>
        <v>0</v>
      </c>
      <c r="AY63" s="284">
        <f t="shared" si="2"/>
        <v>0</v>
      </c>
      <c r="AZ63" s="284">
        <f t="shared" si="2"/>
        <v>0</v>
      </c>
      <c r="BA63" s="284">
        <f t="shared" si="2"/>
        <v>0</v>
      </c>
      <c r="BB63" s="284">
        <f t="shared" si="2"/>
        <v>0</v>
      </c>
      <c r="BC63" s="284">
        <f t="shared" si="2"/>
        <v>0</v>
      </c>
    </row>
    <row r="64" spans="41:55" x14ac:dyDescent="0.2">
      <c r="AO64" s="206" t="s">
        <v>535</v>
      </c>
      <c r="AP64" s="284">
        <f t="shared" si="2"/>
        <v>0</v>
      </c>
      <c r="AQ64" s="284">
        <f t="shared" si="2"/>
        <v>0</v>
      </c>
      <c r="AR64" s="284">
        <f t="shared" si="2"/>
        <v>0</v>
      </c>
      <c r="AS64" s="284">
        <f t="shared" si="2"/>
        <v>0</v>
      </c>
      <c r="AT64" s="284">
        <f t="shared" si="2"/>
        <v>0</v>
      </c>
      <c r="AU64" s="284">
        <f t="shared" si="2"/>
        <v>0</v>
      </c>
      <c r="AV64" s="284">
        <f t="shared" si="2"/>
        <v>0</v>
      </c>
      <c r="AW64" s="284">
        <f t="shared" si="2"/>
        <v>0</v>
      </c>
      <c r="AX64" s="284">
        <f t="shared" si="2"/>
        <v>0</v>
      </c>
      <c r="AY64" s="284">
        <f t="shared" si="2"/>
        <v>0</v>
      </c>
      <c r="AZ64" s="284">
        <f t="shared" si="2"/>
        <v>0</v>
      </c>
      <c r="BA64" s="284">
        <f t="shared" si="2"/>
        <v>0</v>
      </c>
      <c r="BB64" s="284">
        <f t="shared" si="2"/>
        <v>0</v>
      </c>
      <c r="BC64" s="284">
        <f t="shared" si="2"/>
        <v>0</v>
      </c>
    </row>
    <row r="65" spans="32:63" x14ac:dyDescent="0.2">
      <c r="AO65" s="206" t="s">
        <v>634</v>
      </c>
      <c r="AP65" s="284">
        <f t="shared" si="2"/>
        <v>0</v>
      </c>
      <c r="AQ65" s="284">
        <f t="shared" si="2"/>
        <v>0</v>
      </c>
      <c r="AR65" s="284">
        <f t="shared" si="2"/>
        <v>0</v>
      </c>
      <c r="AS65" s="284">
        <f t="shared" si="2"/>
        <v>0</v>
      </c>
      <c r="AT65" s="284">
        <f t="shared" si="2"/>
        <v>0</v>
      </c>
      <c r="AU65" s="284">
        <f t="shared" si="2"/>
        <v>0</v>
      </c>
      <c r="AV65" s="284">
        <f t="shared" si="2"/>
        <v>0</v>
      </c>
      <c r="AW65" s="284">
        <f t="shared" si="2"/>
        <v>0</v>
      </c>
      <c r="AX65" s="284">
        <f t="shared" si="2"/>
        <v>0</v>
      </c>
      <c r="AY65" s="284">
        <f t="shared" si="2"/>
        <v>0</v>
      </c>
      <c r="AZ65" s="284">
        <f t="shared" si="2"/>
        <v>0</v>
      </c>
      <c r="BA65" s="284">
        <f t="shared" si="2"/>
        <v>0</v>
      </c>
      <c r="BB65" s="284">
        <f t="shared" si="2"/>
        <v>0</v>
      </c>
      <c r="BC65" s="284">
        <f t="shared" si="2"/>
        <v>0</v>
      </c>
    </row>
    <row r="66" spans="32:63" ht="16" x14ac:dyDescent="0.2">
      <c r="AO66" s="253" t="s">
        <v>531</v>
      </c>
      <c r="AP66" s="284">
        <f t="shared" si="2"/>
        <v>0</v>
      </c>
      <c r="AQ66" s="284">
        <f t="shared" si="2"/>
        <v>0</v>
      </c>
      <c r="AR66" s="284">
        <f t="shared" si="2"/>
        <v>0</v>
      </c>
      <c r="AS66" s="284">
        <f t="shared" si="2"/>
        <v>0</v>
      </c>
      <c r="AT66" s="284">
        <f t="shared" si="2"/>
        <v>0</v>
      </c>
      <c r="AU66" s="284">
        <f t="shared" si="2"/>
        <v>0</v>
      </c>
      <c r="AV66" s="284">
        <f t="shared" si="2"/>
        <v>0</v>
      </c>
      <c r="AW66" s="284">
        <f t="shared" si="2"/>
        <v>0</v>
      </c>
      <c r="AX66" s="284">
        <f t="shared" si="2"/>
        <v>0</v>
      </c>
      <c r="AY66" s="284">
        <f t="shared" si="2"/>
        <v>0</v>
      </c>
      <c r="AZ66" s="284">
        <f t="shared" si="2"/>
        <v>0</v>
      </c>
      <c r="BA66" s="284">
        <f t="shared" si="2"/>
        <v>-11018.295313636119</v>
      </c>
      <c r="BB66" s="284">
        <f t="shared" si="2"/>
        <v>0</v>
      </c>
      <c r="BC66" s="284">
        <f t="shared" si="2"/>
        <v>0</v>
      </c>
    </row>
    <row r="67" spans="32:63" x14ac:dyDescent="0.2">
      <c r="AO67" s="206" t="s">
        <v>530</v>
      </c>
      <c r="AP67" s="284">
        <f t="shared" si="2"/>
        <v>0</v>
      </c>
      <c r="AQ67" s="284">
        <f t="shared" si="2"/>
        <v>0</v>
      </c>
      <c r="AR67" s="284">
        <f t="shared" si="2"/>
        <v>0</v>
      </c>
      <c r="AS67" s="284">
        <f t="shared" si="2"/>
        <v>0</v>
      </c>
      <c r="AT67" s="284">
        <f t="shared" si="2"/>
        <v>0</v>
      </c>
      <c r="AU67" s="284">
        <f t="shared" si="2"/>
        <v>0</v>
      </c>
      <c r="AV67" s="284">
        <f t="shared" si="2"/>
        <v>0</v>
      </c>
      <c r="AW67" s="284">
        <f t="shared" si="2"/>
        <v>0</v>
      </c>
      <c r="AX67" s="284">
        <f t="shared" si="2"/>
        <v>0</v>
      </c>
      <c r="AY67" s="284">
        <f t="shared" si="2"/>
        <v>0</v>
      </c>
      <c r="AZ67" s="284">
        <f t="shared" si="2"/>
        <v>0</v>
      </c>
      <c r="BA67" s="284">
        <f t="shared" si="2"/>
        <v>0</v>
      </c>
      <c r="BB67" s="284">
        <f t="shared" si="2"/>
        <v>0</v>
      </c>
      <c r="BC67" s="284">
        <f t="shared" si="2"/>
        <v>0</v>
      </c>
    </row>
    <row r="68" spans="32:63" x14ac:dyDescent="0.2">
      <c r="AO68" s="204" t="s">
        <v>532</v>
      </c>
      <c r="AP68" s="284">
        <f t="shared" si="2"/>
        <v>0</v>
      </c>
      <c r="AQ68" s="284">
        <f t="shared" si="2"/>
        <v>0</v>
      </c>
      <c r="AR68" s="284">
        <f t="shared" si="2"/>
        <v>0</v>
      </c>
      <c r="AS68" s="284">
        <f t="shared" si="2"/>
        <v>0</v>
      </c>
      <c r="AT68" s="284">
        <f t="shared" si="2"/>
        <v>0</v>
      </c>
      <c r="AU68" s="284">
        <f t="shared" si="2"/>
        <v>0</v>
      </c>
      <c r="AV68" s="284">
        <f t="shared" si="2"/>
        <v>0</v>
      </c>
      <c r="AW68" s="284">
        <f t="shared" si="2"/>
        <v>0</v>
      </c>
      <c r="AX68" s="284">
        <f t="shared" si="2"/>
        <v>0</v>
      </c>
      <c r="AY68" s="284">
        <f t="shared" si="2"/>
        <v>0</v>
      </c>
      <c r="AZ68" s="284">
        <f t="shared" si="2"/>
        <v>0</v>
      </c>
      <c r="BA68" s="284">
        <f t="shared" si="2"/>
        <v>0</v>
      </c>
      <c r="BB68" s="284">
        <f t="shared" si="2"/>
        <v>0</v>
      </c>
      <c r="BC68" s="284">
        <f t="shared" si="2"/>
        <v>0</v>
      </c>
    </row>
    <row r="69" spans="32:63" x14ac:dyDescent="0.2">
      <c r="AO69" s="206" t="s">
        <v>528</v>
      </c>
      <c r="AP69" s="284">
        <f t="shared" si="2"/>
        <v>0</v>
      </c>
      <c r="AQ69" s="284">
        <f t="shared" si="2"/>
        <v>0</v>
      </c>
      <c r="AR69" s="284">
        <f t="shared" si="2"/>
        <v>0</v>
      </c>
      <c r="AS69" s="284">
        <f t="shared" si="2"/>
        <v>0</v>
      </c>
      <c r="AT69" s="284">
        <f t="shared" si="2"/>
        <v>0</v>
      </c>
      <c r="AU69" s="284">
        <f t="shared" si="2"/>
        <v>0</v>
      </c>
      <c r="AV69" s="284">
        <f t="shared" si="2"/>
        <v>0</v>
      </c>
      <c r="AW69" s="284">
        <f t="shared" si="2"/>
        <v>0</v>
      </c>
      <c r="AX69" s="284">
        <f t="shared" si="2"/>
        <v>0</v>
      </c>
      <c r="AY69" s="284">
        <f t="shared" si="2"/>
        <v>0</v>
      </c>
      <c r="AZ69" s="284">
        <f t="shared" si="2"/>
        <v>1.604276E-2</v>
      </c>
      <c r="BA69" s="284">
        <f t="shared" si="2"/>
        <v>0</v>
      </c>
      <c r="BB69" s="284">
        <f t="shared" si="2"/>
        <v>0</v>
      </c>
      <c r="BC69" s="284">
        <f t="shared" si="2"/>
        <v>1.604276E-2</v>
      </c>
    </row>
    <row r="70" spans="32:63" x14ac:dyDescent="0.2">
      <c r="AO70" s="206" t="s">
        <v>556</v>
      </c>
      <c r="AP70" s="284">
        <f t="shared" si="2"/>
        <v>0</v>
      </c>
      <c r="AQ70" s="284">
        <f t="shared" si="2"/>
        <v>0</v>
      </c>
      <c r="AR70" s="284">
        <f t="shared" si="2"/>
        <v>0</v>
      </c>
      <c r="AS70" s="284">
        <f t="shared" si="2"/>
        <v>0</v>
      </c>
      <c r="AT70" s="284">
        <f t="shared" si="2"/>
        <v>0</v>
      </c>
      <c r="AU70" s="284">
        <f t="shared" si="2"/>
        <v>0</v>
      </c>
      <c r="AV70" s="284">
        <f t="shared" si="2"/>
        <v>0</v>
      </c>
      <c r="AW70" s="284">
        <f t="shared" si="2"/>
        <v>0</v>
      </c>
      <c r="AX70" s="284">
        <f t="shared" si="2"/>
        <v>0</v>
      </c>
      <c r="AY70" s="284">
        <f t="shared" si="2"/>
        <v>0</v>
      </c>
      <c r="AZ70" s="284">
        <f t="shared" si="2"/>
        <v>0</v>
      </c>
      <c r="BA70" s="284">
        <f t="shared" si="2"/>
        <v>0</v>
      </c>
      <c r="BB70" s="284">
        <f t="shared" si="2"/>
        <v>0</v>
      </c>
      <c r="BC70" s="284">
        <f t="shared" si="2"/>
        <v>-31640.197378233519</v>
      </c>
    </row>
    <row r="71" spans="32:63" x14ac:dyDescent="0.2">
      <c r="AO71" s="206" t="s">
        <v>557</v>
      </c>
      <c r="AP71" s="284">
        <f t="shared" si="2"/>
        <v>0</v>
      </c>
      <c r="AQ71" s="284">
        <f t="shared" si="2"/>
        <v>0</v>
      </c>
      <c r="AR71" s="284">
        <f t="shared" si="2"/>
        <v>0</v>
      </c>
      <c r="AS71" s="284">
        <f t="shared" si="2"/>
        <v>0</v>
      </c>
      <c r="AT71" s="284">
        <f t="shared" si="2"/>
        <v>0</v>
      </c>
      <c r="AU71" s="284">
        <f t="shared" si="2"/>
        <v>0</v>
      </c>
      <c r="AV71" s="284">
        <f t="shared" si="2"/>
        <v>0</v>
      </c>
      <c r="AW71" s="284">
        <f t="shared" si="2"/>
        <v>0</v>
      </c>
      <c r="AX71" s="284">
        <f t="shared" si="2"/>
        <v>0</v>
      </c>
      <c r="AY71" s="284">
        <f t="shared" si="2"/>
        <v>0</v>
      </c>
      <c r="AZ71" s="284">
        <f t="shared" si="2"/>
        <v>0</v>
      </c>
      <c r="BA71" s="284">
        <f t="shared" si="2"/>
        <v>0</v>
      </c>
      <c r="BB71" s="284">
        <f t="shared" si="2"/>
        <v>0</v>
      </c>
      <c r="BC71" s="284">
        <f t="shared" si="2"/>
        <v>0</v>
      </c>
    </row>
    <row r="72" spans="32:63" x14ac:dyDescent="0.2">
      <c r="AO72" s="206" t="s">
        <v>558</v>
      </c>
      <c r="AP72" s="284">
        <f t="shared" si="2"/>
        <v>0</v>
      </c>
      <c r="AQ72" s="284">
        <f t="shared" si="2"/>
        <v>0</v>
      </c>
      <c r="AR72" s="284">
        <f t="shared" si="2"/>
        <v>0</v>
      </c>
      <c r="AS72" s="284">
        <f t="shared" si="2"/>
        <v>0</v>
      </c>
      <c r="AT72" s="284">
        <f t="shared" si="2"/>
        <v>0</v>
      </c>
      <c r="AU72" s="284">
        <f t="shared" si="2"/>
        <v>0</v>
      </c>
      <c r="AV72" s="284">
        <f t="shared" si="2"/>
        <v>0</v>
      </c>
      <c r="AW72" s="284">
        <f t="shared" si="2"/>
        <v>0</v>
      </c>
      <c r="AX72" s="284">
        <f t="shared" si="2"/>
        <v>0</v>
      </c>
      <c r="AY72" s="284">
        <f t="shared" si="2"/>
        <v>0</v>
      </c>
      <c r="AZ72" s="284">
        <f t="shared" si="2"/>
        <v>0</v>
      </c>
      <c r="BA72" s="284">
        <f t="shared" si="2"/>
        <v>0</v>
      </c>
      <c r="BB72" s="284">
        <f t="shared" si="2"/>
        <v>0</v>
      </c>
      <c r="BC72" s="284">
        <f t="shared" si="2"/>
        <v>0</v>
      </c>
    </row>
    <row r="73" spans="32:63" x14ac:dyDescent="0.2">
      <c r="AO73" s="206" t="s">
        <v>569</v>
      </c>
      <c r="AP73" s="284">
        <f t="shared" ref="AP73:BC73" si="3">AP112</f>
        <v>0</v>
      </c>
      <c r="AQ73" s="284">
        <f t="shared" si="3"/>
        <v>0</v>
      </c>
      <c r="AR73" s="284">
        <f t="shared" si="3"/>
        <v>0</v>
      </c>
      <c r="AS73" s="284">
        <f t="shared" si="3"/>
        <v>0</v>
      </c>
      <c r="AT73" s="284">
        <f t="shared" si="3"/>
        <v>0</v>
      </c>
      <c r="AU73" s="284">
        <f t="shared" si="3"/>
        <v>0</v>
      </c>
      <c r="AV73" s="284">
        <f t="shared" si="3"/>
        <v>0</v>
      </c>
      <c r="AW73" s="284">
        <f t="shared" si="3"/>
        <v>0</v>
      </c>
      <c r="AX73" s="284">
        <f t="shared" si="3"/>
        <v>0</v>
      </c>
      <c r="AY73" s="284">
        <f t="shared" si="3"/>
        <v>0</v>
      </c>
      <c r="AZ73" s="284">
        <f t="shared" si="3"/>
        <v>0</v>
      </c>
      <c r="BA73" s="284">
        <f t="shared" si="3"/>
        <v>0</v>
      </c>
      <c r="BB73" s="284">
        <f t="shared" si="3"/>
        <v>0</v>
      </c>
      <c r="BC73" s="284">
        <f t="shared" si="3"/>
        <v>0</v>
      </c>
    </row>
    <row r="74" spans="32:63" x14ac:dyDescent="0.2">
      <c r="AO74" s="206"/>
      <c r="AP74" s="390" t="s">
        <v>584</v>
      </c>
      <c r="AQ74" s="390"/>
      <c r="AR74" s="390"/>
      <c r="AS74" s="390"/>
      <c r="AT74" s="390"/>
      <c r="AU74" s="390"/>
      <c r="AV74" s="390"/>
      <c r="AW74" s="390"/>
      <c r="AX74" s="390"/>
      <c r="AY74" s="390"/>
      <c r="AZ74" s="390"/>
      <c r="BA74" s="390"/>
      <c r="BB74" s="390"/>
      <c r="BC74" s="390"/>
    </row>
    <row r="78" spans="32:63" ht="112" x14ac:dyDescent="0.2">
      <c r="AO78" s="260"/>
      <c r="AP78" s="207" t="s">
        <v>416</v>
      </c>
      <c r="AQ78" s="207" t="s">
        <v>417</v>
      </c>
      <c r="AR78" s="207" t="s">
        <v>418</v>
      </c>
      <c r="AS78" s="207" t="s">
        <v>567</v>
      </c>
      <c r="AT78" s="207" t="s">
        <v>546</v>
      </c>
      <c r="AU78" s="207" t="s">
        <v>545</v>
      </c>
      <c r="AV78" s="207" t="s">
        <v>444</v>
      </c>
      <c r="AW78" s="207" t="s">
        <v>441</v>
      </c>
      <c r="AX78" s="207" t="s">
        <v>459</v>
      </c>
      <c r="AY78" s="207" t="s">
        <v>442</v>
      </c>
      <c r="AZ78" s="207" t="s">
        <v>437</v>
      </c>
      <c r="BA78" s="207" t="s">
        <v>457</v>
      </c>
      <c r="BB78" s="207" t="s">
        <v>81</v>
      </c>
      <c r="BC78" s="207" t="s">
        <v>428</v>
      </c>
      <c r="BH78" s="207"/>
      <c r="BI78" s="207" t="s">
        <v>422</v>
      </c>
      <c r="BJ78" s="207" t="s">
        <v>356</v>
      </c>
    </row>
    <row r="79" spans="32:63" x14ac:dyDescent="0.2">
      <c r="AF79" s="204"/>
      <c r="AO79" s="204" t="s">
        <v>424</v>
      </c>
      <c r="AP79" s="230">
        <f>'Ore-&gt;PI'!O52</f>
        <v>-39777.560785767848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-39777.560785767848</v>
      </c>
      <c r="BH79" s="204" t="s">
        <v>424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426</v>
      </c>
      <c r="AP80" s="230"/>
      <c r="AQ80" s="230">
        <f>'Ore-&gt;PI'!O132</f>
        <v>-25062.103433021839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-25062.103433021839</v>
      </c>
      <c r="BH80" s="204" t="s">
        <v>426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427</v>
      </c>
      <c r="AP81" s="230"/>
      <c r="AQ81" s="230"/>
      <c r="AR81" s="230">
        <f>'Ore-&gt;PI'!O217</f>
        <v>-39604.193450553685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4">SUM(AP81:BC81)</f>
        <v>-39604.193450553685</v>
      </c>
      <c r="BH81" s="204" t="s">
        <v>427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448</v>
      </c>
      <c r="AP82" s="230">
        <f>'Ore-&gt;PI'!O78</f>
        <v>0</v>
      </c>
      <c r="AQ82" s="230">
        <f>'Ore-&gt;PI'!O169</f>
        <v>0</v>
      </c>
      <c r="AR82" s="230">
        <f>'Ore-&gt;PI'!O242</f>
        <v>0</v>
      </c>
      <c r="AS82" s="230"/>
      <c r="AT82" s="230"/>
      <c r="AU82" s="230"/>
      <c r="AV82" s="230"/>
      <c r="AW82" s="230"/>
      <c r="AX82" s="230"/>
      <c r="AY82" s="230">
        <f>'Ore-&gt;PI'!BU146</f>
        <v>0</v>
      </c>
      <c r="AZ82" s="230">
        <f>'Ore-&gt;PI'!BU248</f>
        <v>0</v>
      </c>
      <c r="BA82" s="230"/>
      <c r="BB82" s="230"/>
      <c r="BC82" s="243">
        <f>'Ore-&gt;PI'!EF146</f>
        <v>0</v>
      </c>
      <c r="BD82" s="252">
        <f t="shared" si="4"/>
        <v>0</v>
      </c>
      <c r="BH82" s="204" t="s">
        <v>448</v>
      </c>
      <c r="BI82" s="244"/>
      <c r="BJ82" s="244"/>
      <c r="BK82" s="252">
        <f t="shared" ref="BK82:BK112" si="5">SUM(BI82:BJ82)</f>
        <v>0</v>
      </c>
    </row>
    <row r="83" spans="32:68" x14ac:dyDescent="0.2">
      <c r="AF83" s="204"/>
      <c r="AO83" s="204" t="s">
        <v>478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'Ore-&gt;PI'!BU157</f>
        <v>1.604276E-2</v>
      </c>
      <c r="AZ83" s="230">
        <f>'Ore-&gt;PI'!BU259</f>
        <v>1.604276E-2</v>
      </c>
      <c r="BA83" s="230"/>
      <c r="BB83" s="230"/>
      <c r="BC83" s="230">
        <f>'Ore-&gt;PI'!EF119</f>
        <v>1.604276E-2</v>
      </c>
      <c r="BD83" s="252">
        <f t="shared" si="4"/>
        <v>4.8128279999999996E-2</v>
      </c>
      <c r="BH83" s="204" t="s">
        <v>478</v>
      </c>
      <c r="BI83" s="244"/>
      <c r="BJ83" s="244"/>
      <c r="BK83" s="252">
        <f t="shared" si="5"/>
        <v>0</v>
      </c>
    </row>
    <row r="84" spans="32:68" x14ac:dyDescent="0.2">
      <c r="AF84" s="204"/>
      <c r="AO84" s="204" t="s">
        <v>578</v>
      </c>
      <c r="AP84" s="230">
        <f>'Ore-&gt;PI'!O64</f>
        <v>42600</v>
      </c>
      <c r="AQ84" s="230">
        <f>'Ore-&gt;PI'!O145</f>
        <v>42600</v>
      </c>
      <c r="AR84" s="230">
        <f>'Ore-&gt;PI'!O227</f>
        <v>42600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4"/>
        <v>127800</v>
      </c>
      <c r="BH84" s="204" t="s">
        <v>578</v>
      </c>
      <c r="BI84" s="244"/>
      <c r="BJ84" s="244"/>
      <c r="BK84" s="252">
        <f t="shared" si="5"/>
        <v>0</v>
      </c>
    </row>
    <row r="85" spans="32:68" x14ac:dyDescent="0.2">
      <c r="AF85" s="204"/>
      <c r="AO85" s="204" t="s">
        <v>579</v>
      </c>
      <c r="AP85" s="230"/>
      <c r="AQ85" s="230">
        <f>'Ore-&gt;PI'!O156</f>
        <v>-2189.4247196818515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4"/>
        <v>-2189.4247196818515</v>
      </c>
      <c r="BH85" s="204" t="s">
        <v>579</v>
      </c>
      <c r="BI85" s="244"/>
      <c r="BJ85" s="244"/>
      <c r="BK85" s="252">
        <f t="shared" si="5"/>
        <v>0</v>
      </c>
    </row>
    <row r="86" spans="32:68" x14ac:dyDescent="0.2">
      <c r="AF86" s="204"/>
      <c r="AO86" s="204" t="s">
        <v>520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'Ore-&gt;PI'!EF106</f>
        <v>39500</v>
      </c>
      <c r="BD86" s="252">
        <f t="shared" si="4"/>
        <v>39500</v>
      </c>
      <c r="BH86" s="204" t="s">
        <v>520</v>
      </c>
      <c r="BI86" s="244"/>
      <c r="BJ86" s="244"/>
      <c r="BK86" s="252">
        <f t="shared" si="5"/>
        <v>0</v>
      </c>
    </row>
    <row r="87" spans="32:68" x14ac:dyDescent="0.2">
      <c r="AF87" s="204"/>
      <c r="AO87" s="204" t="s">
        <v>571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4"/>
        <v>0</v>
      </c>
      <c r="BH87" s="204" t="s">
        <v>571</v>
      </c>
      <c r="BI87" s="244"/>
      <c r="BJ87" s="244"/>
      <c r="BK87" s="252">
        <f t="shared" si="5"/>
        <v>0</v>
      </c>
    </row>
    <row r="88" spans="32:68" ht="16" x14ac:dyDescent="0.2">
      <c r="AF88" s="246"/>
      <c r="AO88" s="205" t="s">
        <v>553</v>
      </c>
      <c r="AP88" s="230"/>
      <c r="AQ88" s="230"/>
      <c r="AR88" s="230"/>
      <c r="AS88" s="230">
        <f>'Ore-&gt;PI'!AH52</f>
        <v>-39777.560785767848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4"/>
        <v>-39777.560785767848</v>
      </c>
      <c r="BH88" s="205" t="s">
        <v>553</v>
      </c>
      <c r="BI88" s="244"/>
      <c r="BJ88" s="244"/>
      <c r="BK88" s="252">
        <f t="shared" si="5"/>
        <v>0</v>
      </c>
    </row>
    <row r="89" spans="32:68" ht="16" x14ac:dyDescent="0.2">
      <c r="AF89" s="205"/>
      <c r="AO89" s="204" t="s">
        <v>518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4"/>
        <v>0</v>
      </c>
      <c r="BH89" s="204" t="s">
        <v>518</v>
      </c>
      <c r="BI89" s="244"/>
      <c r="BJ89" s="244">
        <f>'Ore-&gt;PI'!AH70</f>
        <v>-22363.1299691768</v>
      </c>
      <c r="BK89" s="252">
        <f t="shared" si="5"/>
        <v>-22363.1299691768</v>
      </c>
    </row>
    <row r="90" spans="32:68" ht="16" x14ac:dyDescent="0.2">
      <c r="AF90" s="206"/>
      <c r="AO90" s="205" t="s">
        <v>521</v>
      </c>
      <c r="AP90" s="230"/>
      <c r="AQ90" s="230"/>
      <c r="AR90" s="230"/>
      <c r="AS90" s="230"/>
      <c r="AT90" s="230">
        <f>'Ore-&gt;PI'!AI132</f>
        <v>-25062.103433021839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4"/>
        <v>-25062.103433021839</v>
      </c>
      <c r="BH90" s="205" t="s">
        <v>521</v>
      </c>
      <c r="BI90" s="244"/>
      <c r="BJ90" s="248"/>
      <c r="BK90" s="252">
        <f t="shared" si="5"/>
        <v>0</v>
      </c>
    </row>
    <row r="91" spans="32:68" x14ac:dyDescent="0.2">
      <c r="AF91" s="206"/>
      <c r="AO91" s="204" t="s">
        <v>548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4"/>
        <v>0</v>
      </c>
      <c r="BH91" s="204" t="s">
        <v>548</v>
      </c>
      <c r="BI91" s="244"/>
      <c r="BJ91" s="244">
        <f>'Ore-&gt;PI'!AI149</f>
        <v>-22363.1299691768</v>
      </c>
      <c r="BK91" s="252">
        <f t="shared" si="5"/>
        <v>-22363.1299691768</v>
      </c>
    </row>
    <row r="92" spans="32:68" x14ac:dyDescent="0.2">
      <c r="AF92" s="206"/>
      <c r="AO92" s="206" t="s">
        <v>540</v>
      </c>
      <c r="AP92" s="230"/>
      <c r="AQ92" s="230"/>
      <c r="AR92" s="230"/>
      <c r="AS92" s="230"/>
      <c r="AT92" s="230"/>
      <c r="AU92" s="230">
        <f>'Ore-&gt;PI'!AI217</f>
        <v>-39604.193450553685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4"/>
        <v>-39604.193450553685</v>
      </c>
      <c r="BH92" s="206" t="s">
        <v>540</v>
      </c>
      <c r="BI92" s="244"/>
      <c r="BJ92" s="244"/>
      <c r="BK92" s="252">
        <f t="shared" si="5"/>
        <v>0</v>
      </c>
    </row>
    <row r="93" spans="32:68" x14ac:dyDescent="0.2">
      <c r="AF93" s="206"/>
      <c r="AO93" s="204" t="s">
        <v>525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4"/>
        <v>0</v>
      </c>
      <c r="BH93" s="204" t="s">
        <v>525</v>
      </c>
      <c r="BI93" s="244"/>
      <c r="BJ93" s="244">
        <f>'Ore-&gt;PI'!AI234</f>
        <v>-22363.1299691768</v>
      </c>
      <c r="BK93" s="252">
        <f t="shared" si="5"/>
        <v>-22363.1299691768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552</v>
      </c>
      <c r="AP94" s="230"/>
      <c r="AQ94" s="230"/>
      <c r="AR94" s="230"/>
      <c r="AS94" s="230"/>
      <c r="AT94" s="230"/>
      <c r="AU94" s="230"/>
      <c r="AV94" s="230">
        <f>'Ore-&gt;PI'!BA52</f>
        <v>-39777.560785767848</v>
      </c>
      <c r="AW94" s="230"/>
      <c r="AX94" s="230"/>
      <c r="AY94" s="230"/>
      <c r="AZ94" s="230"/>
      <c r="BA94" s="230"/>
      <c r="BB94" s="230"/>
      <c r="BC94" s="230"/>
      <c r="BD94" s="252">
        <f t="shared" si="4"/>
        <v>-39777.560785767848</v>
      </c>
      <c r="BH94" s="205" t="s">
        <v>552</v>
      </c>
      <c r="BI94" s="244"/>
      <c r="BJ94" s="244"/>
      <c r="BK94" s="252">
        <f t="shared" si="5"/>
        <v>0</v>
      </c>
    </row>
    <row r="95" spans="32:68" ht="16" x14ac:dyDescent="0.2">
      <c r="AF95" s="206"/>
      <c r="AO95" s="205" t="s">
        <v>547</v>
      </c>
      <c r="AP95" s="230"/>
      <c r="AQ95" s="230"/>
      <c r="AR95" s="230"/>
      <c r="AS95" s="230"/>
      <c r="AT95" s="230"/>
      <c r="AU95" s="230"/>
      <c r="AV95" s="230"/>
      <c r="AW95" s="230">
        <f>'Ore-&gt;PI'!BB132</f>
        <v>-25062.103433021839</v>
      </c>
      <c r="AX95" s="230"/>
      <c r="AY95" s="230"/>
      <c r="AZ95" s="230"/>
      <c r="BA95" s="230"/>
      <c r="BB95" s="230"/>
      <c r="BC95" s="230"/>
      <c r="BD95" s="252">
        <f t="shared" si="4"/>
        <v>-25062.103433021839</v>
      </c>
      <c r="BH95" s="205" t="s">
        <v>547</v>
      </c>
      <c r="BI95" s="244"/>
      <c r="BJ95" s="244"/>
      <c r="BK95" s="252">
        <f t="shared" si="5"/>
        <v>0</v>
      </c>
    </row>
    <row r="96" spans="32:68" ht="16" x14ac:dyDescent="0.2">
      <c r="AF96" s="206"/>
      <c r="AO96" s="205" t="s">
        <v>544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'Ore-&gt;PI'!BB217</f>
        <v>-39604.193450553685</v>
      </c>
      <c r="AY96" s="230"/>
      <c r="AZ96" s="230"/>
      <c r="BA96" s="230"/>
      <c r="BB96" s="230"/>
      <c r="BC96" s="230"/>
      <c r="BD96" s="252">
        <f t="shared" si="4"/>
        <v>-39604.193450553685</v>
      </c>
      <c r="BH96" s="205" t="s">
        <v>544</v>
      </c>
      <c r="BI96" s="244"/>
      <c r="BJ96" s="244"/>
      <c r="BK96" s="252">
        <f t="shared" si="5"/>
        <v>0</v>
      </c>
    </row>
    <row r="97" spans="32:63" ht="16" x14ac:dyDescent="0.2">
      <c r="AF97" s="253"/>
      <c r="AO97" s="205" t="s">
        <v>550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'Ore-&gt;PI'!BT48</f>
        <v>-20318.34579452957</v>
      </c>
      <c r="BC97" s="230"/>
      <c r="BD97" s="252">
        <f t="shared" si="4"/>
        <v>-20318.34579452957</v>
      </c>
      <c r="BH97" s="205" t="s">
        <v>550</v>
      </c>
      <c r="BI97" s="244"/>
      <c r="BJ97" s="244"/>
      <c r="BK97" s="252">
        <f t="shared" si="5"/>
        <v>0</v>
      </c>
    </row>
    <row r="98" spans="32:63" x14ac:dyDescent="0.2">
      <c r="AF98" s="206"/>
      <c r="AO98" s="206" t="s">
        <v>549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4"/>
        <v>0</v>
      </c>
      <c r="BE98" s="25"/>
      <c r="BF98" s="25"/>
      <c r="BH98" s="206" t="s">
        <v>549</v>
      </c>
      <c r="BI98" s="244"/>
      <c r="BJ98" s="244">
        <f>'Ore-&gt;PI'!BT63</f>
        <v>-19459.214991238277</v>
      </c>
      <c r="BK98" s="252">
        <f t="shared" si="5"/>
        <v>-19459.214991238277</v>
      </c>
    </row>
    <row r="99" spans="32:63" x14ac:dyDescent="0.2">
      <c r="AF99" s="206"/>
      <c r="AO99" s="206" t="s">
        <v>533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'Ore-&gt;PI'!BU132</f>
        <v>-25062.103433021839</v>
      </c>
      <c r="AZ99" s="230"/>
      <c r="BA99" s="230"/>
      <c r="BB99" s="230"/>
      <c r="BC99" s="230"/>
      <c r="BD99" s="252">
        <f t="shared" si="4"/>
        <v>-25062.103433021839</v>
      </c>
      <c r="BH99" s="206" t="s">
        <v>533</v>
      </c>
      <c r="BI99" s="244"/>
      <c r="BJ99" s="244"/>
      <c r="BK99" s="252">
        <f t="shared" si="5"/>
        <v>0</v>
      </c>
    </row>
    <row r="100" spans="32:63" x14ac:dyDescent="0.2">
      <c r="AF100" s="206"/>
      <c r="AO100" s="206" t="s">
        <v>568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'Ore-&gt;PI'!BU217</f>
        <v>-39604.193450553685</v>
      </c>
      <c r="BA100" s="230"/>
      <c r="BB100" s="230"/>
      <c r="BC100" s="230"/>
      <c r="BD100" s="252">
        <f t="shared" si="4"/>
        <v>-39604.193450553685</v>
      </c>
      <c r="BH100" s="206" t="s">
        <v>568</v>
      </c>
      <c r="BI100" s="244"/>
      <c r="BJ100" s="244"/>
      <c r="BK100" s="252">
        <f t="shared" si="5"/>
        <v>0</v>
      </c>
    </row>
    <row r="101" spans="32:63" x14ac:dyDescent="0.2">
      <c r="AF101" s="206"/>
      <c r="AO101" s="206" t="s">
        <v>534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'Ore-&gt;PI'!CP131</f>
        <v>-11321.85158370395</v>
      </c>
      <c r="BC101" s="230"/>
      <c r="BD101" s="252">
        <f t="shared" si="4"/>
        <v>-11321.85158370395</v>
      </c>
      <c r="BH101" s="206" t="s">
        <v>534</v>
      </c>
      <c r="BI101" s="244"/>
      <c r="BJ101" s="244"/>
      <c r="BK101" s="252">
        <f t="shared" si="5"/>
        <v>0</v>
      </c>
    </row>
    <row r="102" spans="32:63" x14ac:dyDescent="0.2">
      <c r="AF102" s="206"/>
      <c r="AO102" s="206" t="s">
        <v>536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4"/>
        <v>0</v>
      </c>
      <c r="BH102" s="206" t="s">
        <v>536</v>
      </c>
      <c r="BI102" s="244"/>
      <c r="BJ102" s="244">
        <f>'Ore-&gt;PI'!CP119</f>
        <v>-14926.410019749705</v>
      </c>
      <c r="BK102" s="252">
        <f t="shared" si="5"/>
        <v>-14926.410019749705</v>
      </c>
    </row>
    <row r="103" spans="32:63" x14ac:dyDescent="0.2">
      <c r="AF103" s="206"/>
      <c r="AO103" s="206" t="s">
        <v>535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4"/>
        <v>0</v>
      </c>
      <c r="BH103" s="206" t="s">
        <v>535</v>
      </c>
      <c r="BI103" s="244"/>
      <c r="BJ103" s="244">
        <f>'Ore-&gt;PI'!CP147</f>
        <v>-22363.1299691768</v>
      </c>
      <c r="BK103" s="252">
        <f t="shared" si="5"/>
        <v>-22363.1299691768</v>
      </c>
    </row>
    <row r="104" spans="32:63" x14ac:dyDescent="0.2">
      <c r="AF104" s="206"/>
      <c r="AO104" s="206" t="s">
        <v>634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'Ore-&gt;PI'!CP211</f>
        <v>0</v>
      </c>
      <c r="BC104" s="230"/>
      <c r="BD104" s="252">
        <f t="shared" si="4"/>
        <v>0</v>
      </c>
      <c r="BH104" s="206" t="s">
        <v>634</v>
      </c>
      <c r="BI104" s="244"/>
      <c r="BJ104" s="244"/>
      <c r="BK104" s="252">
        <f t="shared" si="5"/>
        <v>0</v>
      </c>
    </row>
    <row r="105" spans="32:63" ht="16" x14ac:dyDescent="0.2">
      <c r="AF105" s="206"/>
      <c r="AO105" s="253" t="s">
        <v>531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'Ore-&gt;PI'!CP243</f>
        <v>-11018.295313636119</v>
      </c>
      <c r="BB105" s="230"/>
      <c r="BC105" s="230"/>
      <c r="BD105" s="252">
        <f t="shared" si="4"/>
        <v>-11018.295313636119</v>
      </c>
      <c r="BH105" s="253" t="s">
        <v>531</v>
      </c>
      <c r="BI105" s="244"/>
      <c r="BJ105" s="244"/>
      <c r="BK105" s="252">
        <f t="shared" si="5"/>
        <v>0</v>
      </c>
    </row>
    <row r="106" spans="32:63" x14ac:dyDescent="0.2">
      <c r="AF106" s="206"/>
      <c r="AO106" s="206" t="s">
        <v>530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4"/>
        <v>0</v>
      </c>
      <c r="BH106" s="206" t="s">
        <v>530</v>
      </c>
      <c r="BI106" s="244"/>
      <c r="BJ106" s="244">
        <f>'Ore-&gt;PI'!CP227</f>
        <v>-69684.193450553677</v>
      </c>
      <c r="BK106" s="252">
        <f t="shared" si="5"/>
        <v>-69684.193450553677</v>
      </c>
    </row>
    <row r="107" spans="32:63" x14ac:dyDescent="0.2">
      <c r="AF107" s="206"/>
      <c r="AO107" s="204" t="s">
        <v>532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4"/>
        <v>0</v>
      </c>
      <c r="BH107" s="204" t="s">
        <v>532</v>
      </c>
      <c r="BI107" s="244"/>
      <c r="BJ107" s="244">
        <f>'Ore-&gt;PI'!CP257</f>
        <v>-22363.1299691768</v>
      </c>
      <c r="BK107" s="252">
        <f t="shared" si="5"/>
        <v>-22363.1299691768</v>
      </c>
    </row>
    <row r="108" spans="32:63" x14ac:dyDescent="0.2">
      <c r="AF108" s="206"/>
      <c r="AO108" s="206" t="s">
        <v>528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'Ore-&gt;PI'!BU233</f>
        <v>1.604276E-2</v>
      </c>
      <c r="BA108" s="230"/>
      <c r="BB108" s="230"/>
      <c r="BC108" s="243">
        <f>'Ore-&gt;PI'!EF160</f>
        <v>1.604276E-2</v>
      </c>
      <c r="BD108" s="252">
        <f t="shared" si="4"/>
        <v>3.2085519999999999E-2</v>
      </c>
      <c r="BH108" s="206" t="s">
        <v>528</v>
      </c>
      <c r="BI108" s="244">
        <f>'Ore-&gt;PI'!EQ241</f>
        <v>1.604276E-2</v>
      </c>
      <c r="BJ108" s="244"/>
      <c r="BK108" s="252">
        <f t="shared" si="5"/>
        <v>1.604276E-2</v>
      </c>
    </row>
    <row r="109" spans="32:63" x14ac:dyDescent="0.2">
      <c r="AF109" s="206"/>
      <c r="AO109" s="206" t="s">
        <v>556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'Ore-&gt;PI'!EF134</f>
        <v>-31640.197378233519</v>
      </c>
      <c r="BD109" s="252">
        <f t="shared" si="4"/>
        <v>-31640.197378233519</v>
      </c>
      <c r="BH109" s="206" t="s">
        <v>556</v>
      </c>
      <c r="BI109" s="244"/>
      <c r="BJ109" s="244"/>
      <c r="BK109" s="252">
        <f t="shared" si="5"/>
        <v>0</v>
      </c>
    </row>
    <row r="110" spans="32:63" x14ac:dyDescent="0.2">
      <c r="AF110" s="206"/>
      <c r="AO110" s="206" t="s">
        <v>557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4"/>
        <v>0</v>
      </c>
      <c r="BH110" s="206" t="s">
        <v>557</v>
      </c>
      <c r="BI110" s="244">
        <f>'Ore-&gt;PI'!FF131</f>
        <v>0</v>
      </c>
      <c r="BJ110" s="244"/>
      <c r="BK110" s="252">
        <f t="shared" si="5"/>
        <v>0</v>
      </c>
    </row>
    <row r="111" spans="32:63" x14ac:dyDescent="0.2">
      <c r="AF111" s="206"/>
      <c r="AO111" s="206" t="s">
        <v>558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4"/>
        <v>0</v>
      </c>
      <c r="BH111" s="206" t="s">
        <v>558</v>
      </c>
      <c r="BI111" s="244"/>
      <c r="BJ111" s="244">
        <f>'Ore-&gt;PI'!FF148</f>
        <v>-22363.1299691768</v>
      </c>
      <c r="BK111" s="252">
        <f t="shared" si="5"/>
        <v>-22363.1299691768</v>
      </c>
    </row>
    <row r="112" spans="32:63" x14ac:dyDescent="0.2">
      <c r="AF112" s="206"/>
      <c r="AO112" s="206" t="s">
        <v>569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4"/>
        <v>0</v>
      </c>
      <c r="BH112" s="206" t="s">
        <v>569</v>
      </c>
      <c r="BI112" s="244"/>
      <c r="BJ112" s="244">
        <f>'Ore-&gt;PI'!FF109</f>
        <v>-771.42466062394067</v>
      </c>
      <c r="BK112" s="252">
        <f t="shared" si="5"/>
        <v>-771.42466062394067</v>
      </c>
    </row>
    <row r="113" spans="2:63" x14ac:dyDescent="0.2">
      <c r="AF113" s="206"/>
      <c r="AO113" s="206"/>
      <c r="AP113" s="390" t="s">
        <v>419</v>
      </c>
      <c r="AQ113" s="390"/>
      <c r="AR113" s="390"/>
      <c r="AS113" s="390"/>
      <c r="AT113" s="390"/>
      <c r="AU113" s="390"/>
      <c r="AV113" s="390"/>
      <c r="AW113" s="390"/>
      <c r="AX113" s="390"/>
      <c r="AY113" s="390"/>
      <c r="AZ113" s="390"/>
      <c r="BA113" s="390"/>
      <c r="BB113" s="390"/>
      <c r="BC113" s="390"/>
      <c r="BD113" s="25" t="s">
        <v>470</v>
      </c>
      <c r="BI113" s="390" t="s">
        <v>421</v>
      </c>
      <c r="BJ113" s="390"/>
      <c r="BK113" s="25" t="s">
        <v>485</v>
      </c>
    </row>
    <row r="114" spans="2:63" x14ac:dyDescent="0.2">
      <c r="AF114" s="206"/>
      <c r="AO114" s="206"/>
      <c r="AP114" s="252">
        <f>SUM(AP79:AP112)</f>
        <v>2822.4392142321522</v>
      </c>
      <c r="AQ114" s="252">
        <f>SUM(AQ79:AQ112)</f>
        <v>15348.47184729631</v>
      </c>
      <c r="AR114" s="252">
        <f>SUM(AR79:AR112)</f>
        <v>2995.8065494463153</v>
      </c>
      <c r="AS114" s="252">
        <f t="shared" ref="AS114:BC114" si="6">SUM(AS79:AS112)</f>
        <v>-39777.560785767848</v>
      </c>
      <c r="AT114" s="252">
        <f t="shared" si="6"/>
        <v>-25062.103433021839</v>
      </c>
      <c r="AU114" s="252">
        <f t="shared" si="6"/>
        <v>-39604.193450553685</v>
      </c>
      <c r="AV114" s="252">
        <f t="shared" si="6"/>
        <v>-39777.560785767848</v>
      </c>
      <c r="AW114" s="252">
        <f t="shared" si="6"/>
        <v>-25062.103433021839</v>
      </c>
      <c r="AX114" s="252">
        <f t="shared" si="6"/>
        <v>-39604.193450553685</v>
      </c>
      <c r="AY114" s="252">
        <f t="shared" si="6"/>
        <v>-25062.08739026184</v>
      </c>
      <c r="AZ114" s="252">
        <f t="shared" si="6"/>
        <v>-39604.161365033688</v>
      </c>
      <c r="BA114" s="252">
        <f t="shared" si="6"/>
        <v>-11018.295313636119</v>
      </c>
      <c r="BB114" s="252">
        <f t="shared" si="6"/>
        <v>-31640.197378233519</v>
      </c>
      <c r="BC114" s="252">
        <f t="shared" si="6"/>
        <v>7859.8347072864781</v>
      </c>
      <c r="BI114" s="25"/>
      <c r="BJ114" s="25"/>
    </row>
    <row r="115" spans="2:63" ht="13" customHeight="1" x14ac:dyDescent="0.2">
      <c r="C115" s="391"/>
      <c r="D115" s="391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90" t="s">
        <v>469</v>
      </c>
      <c r="AQ115" s="390"/>
      <c r="AR115" s="390"/>
      <c r="AS115" s="390"/>
      <c r="AT115" s="390"/>
      <c r="AU115" s="390"/>
      <c r="AV115" s="390"/>
      <c r="AW115" s="390"/>
      <c r="AX115" s="390"/>
      <c r="AY115" s="390"/>
      <c r="AZ115" s="390"/>
      <c r="BA115" s="390"/>
      <c r="BB115" s="390"/>
      <c r="BC115" s="390"/>
      <c r="BI115" s="25"/>
      <c r="BJ115" s="25"/>
    </row>
    <row r="116" spans="2:63" ht="236" x14ac:dyDescent="0.2">
      <c r="B116" s="240"/>
      <c r="C116" s="207" t="s">
        <v>424</v>
      </c>
      <c r="D116" s="207" t="s">
        <v>426</v>
      </c>
      <c r="E116" s="207" t="s">
        <v>427</v>
      </c>
      <c r="F116" s="207" t="s">
        <v>448</v>
      </c>
      <c r="G116" s="207" t="s">
        <v>478</v>
      </c>
      <c r="H116" s="207" t="s">
        <v>516</v>
      </c>
      <c r="I116" s="207" t="s">
        <v>578</v>
      </c>
      <c r="J116" s="207" t="s">
        <v>579</v>
      </c>
      <c r="K116" s="207" t="s">
        <v>571</v>
      </c>
      <c r="L116" s="209" t="s">
        <v>553</v>
      </c>
      <c r="M116" s="207" t="s">
        <v>518</v>
      </c>
      <c r="N116" s="209" t="s">
        <v>521</v>
      </c>
      <c r="O116" s="207" t="s">
        <v>548</v>
      </c>
      <c r="P116" s="210" t="s">
        <v>540</v>
      </c>
      <c r="Q116" s="207" t="s">
        <v>525</v>
      </c>
      <c r="R116" s="209" t="s">
        <v>552</v>
      </c>
      <c r="S116" s="209" t="s">
        <v>547</v>
      </c>
      <c r="T116" s="209" t="s">
        <v>544</v>
      </c>
      <c r="U116" s="209" t="s">
        <v>550</v>
      </c>
      <c r="V116" s="210" t="s">
        <v>549</v>
      </c>
      <c r="W116" s="210" t="s">
        <v>533</v>
      </c>
      <c r="X116" s="210" t="s">
        <v>568</v>
      </c>
      <c r="Y116" s="210" t="s">
        <v>534</v>
      </c>
      <c r="Z116" s="210" t="s">
        <v>536</v>
      </c>
      <c r="AA116" s="210" t="s">
        <v>535</v>
      </c>
      <c r="AB116" s="210" t="s">
        <v>634</v>
      </c>
      <c r="AC116" s="232" t="s">
        <v>531</v>
      </c>
      <c r="AD116" s="210" t="s">
        <v>530</v>
      </c>
      <c r="AE116" s="207" t="s">
        <v>532</v>
      </c>
      <c r="AF116" s="210" t="s">
        <v>528</v>
      </c>
      <c r="AG116" s="210" t="s">
        <v>556</v>
      </c>
      <c r="AH116" s="210" t="s">
        <v>557</v>
      </c>
      <c r="AI116" s="210" t="s">
        <v>558</v>
      </c>
      <c r="AJ116" s="210" t="s">
        <v>569</v>
      </c>
    </row>
    <row r="117" spans="2:63" x14ac:dyDescent="0.2">
      <c r="B117" s="204" t="s">
        <v>416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'Ore-&gt;PI'!AH52</f>
        <v>-39777.560785767848</v>
      </c>
      <c r="M117" s="230">
        <f>'Ore-&gt;PI'!AH70</f>
        <v>-22363.1299691768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-62140.690754944648</v>
      </c>
    </row>
    <row r="118" spans="2:63" x14ac:dyDescent="0.2">
      <c r="B118" s="204" t="s">
        <v>417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'Ore-&gt;PI'!AI132</f>
        <v>-25062.103433021839</v>
      </c>
      <c r="O118" s="230">
        <f>'Ore-&gt;PI'!AI149</f>
        <v>-22363.1299691768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-47425.233402198639</v>
      </c>
    </row>
    <row r="119" spans="2:63" x14ac:dyDescent="0.2">
      <c r="B119" s="204" t="s">
        <v>418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'Ore-&gt;PI'!AI217</f>
        <v>-39604.193450553685</v>
      </c>
      <c r="Q119" s="230">
        <f>'Ore-&gt;PI'!AI234</f>
        <v>-22363.1299691768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7">SUM(C119:AJ119)</f>
        <v>-61967.323419730485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567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'Ore-&gt;PI'!BA52</f>
        <v>-39777.560785767848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7"/>
        <v>-39777.560785767848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546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'Ore-&gt;PI'!BB132</f>
        <v>-25062.103433021839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7"/>
        <v>-25062.103433021839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545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'Ore-&gt;PI'!BB217</f>
        <v>-39604.193450553685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7"/>
        <v>-39604.193450553685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444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'Ore-&gt;PI'!BT48</f>
        <v>-20318.34579452957</v>
      </c>
      <c r="V123" s="230">
        <f>'Ore-&gt;PI'!BT63</f>
        <v>-19459.214991238277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7"/>
        <v>-39777.560785767848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441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'Ore-&gt;PI'!BU132</f>
        <v>-25062.103433021839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7"/>
        <v>-25062.103433021839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459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'Ore-&gt;PI'!BU217</f>
        <v>-39604.193450553685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7"/>
        <v>-39604.193450553685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442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'Ore-&gt;PI'!CP131</f>
        <v>-11321.85158370395</v>
      </c>
      <c r="Z126" s="230">
        <f>'Ore-&gt;PI'!CP119</f>
        <v>-14926.410019749705</v>
      </c>
      <c r="AA126" s="230">
        <f>'Ore-&gt;PI'!CP147</f>
        <v>-22363.1299691768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7"/>
        <v>-48611.391572630455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437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'Ore-&gt;PI'!CP211</f>
        <v>0</v>
      </c>
      <c r="AC127" s="230">
        <f>'Ore-&gt;PI'!CP243</f>
        <v>-11018.295313636119</v>
      </c>
      <c r="AD127" s="230">
        <f>'Ore-&gt;PI'!CP227</f>
        <v>-69684.193450553677</v>
      </c>
      <c r="AE127" s="230">
        <f>'Ore-&gt;PI'!CP257</f>
        <v>-22363.1299691768</v>
      </c>
      <c r="AF127" s="230"/>
      <c r="AG127" s="230"/>
      <c r="AH127" s="230"/>
      <c r="AI127" s="230"/>
      <c r="AJ127" s="230"/>
      <c r="AK127" s="252">
        <f t="shared" si="7"/>
        <v>-103065.6187333666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457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'Ore-&gt;PI'!DJ241</f>
        <v>1.604276E-2</v>
      </c>
      <c r="AG128" s="230"/>
      <c r="AH128" s="230"/>
      <c r="AI128" s="230"/>
      <c r="AJ128" s="230"/>
      <c r="AK128" s="252">
        <f t="shared" si="7"/>
        <v>1.604276E-2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'Ore-&gt;PI'!EF134</f>
        <v>-31640.197378233519</v>
      </c>
      <c r="AH129" s="230"/>
      <c r="AI129" s="230"/>
      <c r="AJ129" s="230"/>
      <c r="AK129" s="252">
        <f t="shared" si="7"/>
        <v>-31640.197378233519</v>
      </c>
    </row>
    <row r="130" spans="2:38" x14ac:dyDescent="0.2">
      <c r="B130" s="204" t="s">
        <v>428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'Ore-&gt;PI'!FF131</f>
        <v>0</v>
      </c>
      <c r="AI130" s="230">
        <f>'Ore-&gt;PI'!FF148</f>
        <v>-22363.1299691768</v>
      </c>
      <c r="AJ130" s="230">
        <f>'Ore-&gt;PI'!FF109</f>
        <v>-771.42466062394067</v>
      </c>
      <c r="AK130" s="252">
        <f t="shared" si="7"/>
        <v>-23134.554629800739</v>
      </c>
    </row>
    <row r="131" spans="2:38" x14ac:dyDescent="0.2">
      <c r="B131" s="204"/>
      <c r="C131" s="390" t="s">
        <v>420</v>
      </c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0"/>
      <c r="T131" s="390"/>
      <c r="U131" s="390"/>
      <c r="V131" s="390"/>
      <c r="W131" s="390"/>
      <c r="X131" s="390"/>
      <c r="Y131" s="390"/>
      <c r="Z131" s="390"/>
      <c r="AA131" s="390"/>
      <c r="AB131" s="390"/>
      <c r="AC131" s="390"/>
      <c r="AD131" s="390"/>
      <c r="AE131" s="390"/>
      <c r="AF131" s="390"/>
      <c r="AG131" s="390"/>
      <c r="AH131" s="390"/>
      <c r="AI131" s="390"/>
      <c r="AJ131" s="390"/>
      <c r="AK131" s="25" t="s">
        <v>466</v>
      </c>
      <c r="AL131" s="25"/>
    </row>
    <row r="132" spans="2:38" x14ac:dyDescent="0.2">
      <c r="B132" s="204"/>
      <c r="C132" s="252">
        <f t="shared" ref="C132:AJ132" si="8">SUM(C117:C130)</f>
        <v>0</v>
      </c>
      <c r="D132" s="252">
        <f t="shared" si="8"/>
        <v>0</v>
      </c>
      <c r="E132" s="252">
        <f t="shared" si="8"/>
        <v>0</v>
      </c>
      <c r="F132" s="252">
        <f t="shared" si="8"/>
        <v>0</v>
      </c>
      <c r="G132" s="252">
        <f t="shared" si="8"/>
        <v>0</v>
      </c>
      <c r="H132" s="252">
        <f t="shared" si="8"/>
        <v>0</v>
      </c>
      <c r="I132" s="252">
        <f t="shared" si="8"/>
        <v>0</v>
      </c>
      <c r="J132" s="252">
        <f t="shared" si="8"/>
        <v>0</v>
      </c>
      <c r="K132" s="252">
        <f t="shared" si="8"/>
        <v>0</v>
      </c>
      <c r="L132" s="252">
        <f t="shared" si="8"/>
        <v>-39777.560785767848</v>
      </c>
      <c r="M132" s="252">
        <f t="shared" si="8"/>
        <v>-22363.1299691768</v>
      </c>
      <c r="N132" s="252">
        <f t="shared" si="8"/>
        <v>-25062.103433021839</v>
      </c>
      <c r="O132" s="252">
        <f t="shared" si="8"/>
        <v>-22363.1299691768</v>
      </c>
      <c r="P132" s="252">
        <f t="shared" si="8"/>
        <v>-39604.193450553685</v>
      </c>
      <c r="Q132" s="252">
        <f t="shared" si="8"/>
        <v>-22363.1299691768</v>
      </c>
      <c r="R132" s="252">
        <f t="shared" si="8"/>
        <v>-39777.560785767848</v>
      </c>
      <c r="S132" s="252">
        <f t="shared" si="8"/>
        <v>-25062.103433021839</v>
      </c>
      <c r="T132" s="252">
        <f t="shared" si="8"/>
        <v>-39604.193450553685</v>
      </c>
      <c r="U132" s="252">
        <f t="shared" si="8"/>
        <v>-20318.34579452957</v>
      </c>
      <c r="V132" s="252">
        <f t="shared" si="8"/>
        <v>-19459.214991238277</v>
      </c>
      <c r="W132" s="252">
        <f t="shared" si="8"/>
        <v>-25062.103433021839</v>
      </c>
      <c r="X132" s="252">
        <f t="shared" si="8"/>
        <v>-39604.193450553685</v>
      </c>
      <c r="Y132" s="252">
        <f t="shared" si="8"/>
        <v>-11321.85158370395</v>
      </c>
      <c r="Z132" s="252">
        <f t="shared" si="8"/>
        <v>-14926.410019749705</v>
      </c>
      <c r="AA132" s="252">
        <f t="shared" si="8"/>
        <v>-22363.1299691768</v>
      </c>
      <c r="AB132" s="252">
        <f t="shared" si="8"/>
        <v>0</v>
      </c>
      <c r="AC132" s="252">
        <f t="shared" si="8"/>
        <v>-11018.295313636119</v>
      </c>
      <c r="AD132" s="252">
        <f t="shared" si="8"/>
        <v>-69684.193450553677</v>
      </c>
      <c r="AE132" s="252">
        <f t="shared" si="8"/>
        <v>-22363.1299691768</v>
      </c>
      <c r="AF132" s="252">
        <f t="shared" si="8"/>
        <v>1.604276E-2</v>
      </c>
      <c r="AG132" s="252">
        <f t="shared" si="8"/>
        <v>-31640.197378233519</v>
      </c>
      <c r="AH132" s="252">
        <f t="shared" si="8"/>
        <v>0</v>
      </c>
      <c r="AI132" s="252">
        <f t="shared" si="8"/>
        <v>-22363.1299691768</v>
      </c>
      <c r="AJ132" s="252">
        <f t="shared" si="8"/>
        <v>-771.42466062394067</v>
      </c>
    </row>
    <row r="133" spans="2:38" x14ac:dyDescent="0.2">
      <c r="B133" s="204"/>
      <c r="C133" s="390" t="s">
        <v>467</v>
      </c>
      <c r="D133" s="390"/>
      <c r="E133" s="390"/>
      <c r="F133" s="390"/>
      <c r="G133" s="390"/>
      <c r="H133" s="390"/>
      <c r="I133" s="390"/>
      <c r="J133" s="390"/>
      <c r="K133" s="390"/>
      <c r="L133" s="390"/>
      <c r="M133" s="390"/>
      <c r="N133" s="390"/>
      <c r="O133" s="390"/>
      <c r="P133" s="390"/>
      <c r="Q133" s="390"/>
      <c r="R133" s="390"/>
      <c r="S133" s="390"/>
      <c r="T133" s="390"/>
      <c r="U133" s="390"/>
      <c r="V133" s="390"/>
      <c r="W133" s="390"/>
      <c r="X133" s="390"/>
      <c r="Y133" s="390"/>
      <c r="Z133" s="390"/>
      <c r="AA133" s="390"/>
      <c r="AB133" s="390"/>
      <c r="AC133" s="390"/>
      <c r="AD133" s="390"/>
      <c r="AE133" s="390"/>
      <c r="AF133" s="390"/>
      <c r="AG133" s="390"/>
      <c r="AH133" s="390"/>
      <c r="AI133" s="390"/>
      <c r="AJ133" s="390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424</v>
      </c>
      <c r="D144" s="207" t="s">
        <v>426</v>
      </c>
      <c r="E144" s="207" t="s">
        <v>427</v>
      </c>
      <c r="F144" s="207" t="s">
        <v>448</v>
      </c>
      <c r="G144" s="207" t="s">
        <v>478</v>
      </c>
      <c r="H144" s="207" t="s">
        <v>516</v>
      </c>
      <c r="I144" s="207" t="s">
        <v>578</v>
      </c>
      <c r="J144" s="207" t="s">
        <v>579</v>
      </c>
      <c r="K144" s="207" t="s">
        <v>571</v>
      </c>
      <c r="L144" s="209" t="s">
        <v>553</v>
      </c>
      <c r="M144" s="207" t="s">
        <v>518</v>
      </c>
      <c r="N144" s="209" t="s">
        <v>521</v>
      </c>
      <c r="O144" s="207" t="s">
        <v>548</v>
      </c>
      <c r="P144" s="210" t="s">
        <v>540</v>
      </c>
      <c r="Q144" s="207" t="s">
        <v>525</v>
      </c>
      <c r="R144" s="209" t="s">
        <v>552</v>
      </c>
      <c r="S144" s="209" t="s">
        <v>547</v>
      </c>
      <c r="T144" s="209" t="s">
        <v>544</v>
      </c>
      <c r="U144" s="209" t="s">
        <v>550</v>
      </c>
      <c r="V144" s="210" t="s">
        <v>549</v>
      </c>
      <c r="W144" s="210" t="s">
        <v>533</v>
      </c>
      <c r="X144" s="210" t="s">
        <v>568</v>
      </c>
      <c r="Y144" s="210" t="s">
        <v>534</v>
      </c>
      <c r="Z144" s="210" t="s">
        <v>536</v>
      </c>
      <c r="AA144" s="210" t="s">
        <v>535</v>
      </c>
      <c r="AB144" s="210" t="s">
        <v>634</v>
      </c>
      <c r="AC144" s="232" t="s">
        <v>531</v>
      </c>
      <c r="AD144" s="210" t="s">
        <v>530</v>
      </c>
      <c r="AE144" s="207" t="s">
        <v>532</v>
      </c>
      <c r="AF144" s="210" t="s">
        <v>528</v>
      </c>
      <c r="AG144" s="210" t="s">
        <v>556</v>
      </c>
      <c r="AH144" s="210" t="s">
        <v>557</v>
      </c>
      <c r="AI144" s="210" t="s">
        <v>558</v>
      </c>
      <c r="AJ144" s="210" t="s">
        <v>569</v>
      </c>
      <c r="AK144" s="210"/>
      <c r="AL144" s="210"/>
    </row>
    <row r="145" spans="2:42" x14ac:dyDescent="0.2">
      <c r="B145" s="204" t="s">
        <v>423</v>
      </c>
      <c r="C145" s="244">
        <f>'Ore-&gt;PI'!O52</f>
        <v>-39777.560785767848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425</v>
      </c>
      <c r="C146" s="244"/>
      <c r="D146" s="244">
        <f>'Ore-&gt;PI'!O132</f>
        <v>-25062.103433021839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449</v>
      </c>
      <c r="C147" s="244"/>
      <c r="D147" s="244"/>
      <c r="E147" s="244">
        <f>'Ore-&gt;PI'!O217</f>
        <v>-39604.193450553685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484</v>
      </c>
      <c r="C148" s="244"/>
      <c r="D148" s="244"/>
      <c r="E148" s="244"/>
      <c r="F148" s="250">
        <f>'Ore-&gt;PI'!O242</f>
        <v>0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477</v>
      </c>
      <c r="C149" s="244"/>
      <c r="D149" s="244"/>
      <c r="E149" s="244"/>
      <c r="F149" s="244"/>
      <c r="G149" s="244">
        <f>'Ore-&gt;PI'!BU259+'Ore-&gt;PI'!BU157+'Ore-&gt;PI'!EF119</f>
        <v>4.8128279999999996E-2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581</v>
      </c>
      <c r="C150" s="244"/>
      <c r="D150" s="244"/>
      <c r="E150" s="244"/>
      <c r="F150" s="244"/>
      <c r="G150" s="244"/>
      <c r="H150" s="244">
        <f>'Ore-&gt;PI'!O227+'Ore-&gt;PI'!O145+'Ore-&gt;PI'!O64</f>
        <v>127800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580</v>
      </c>
      <c r="C151" s="244"/>
      <c r="D151" s="244"/>
      <c r="E151" s="244"/>
      <c r="F151" s="244"/>
      <c r="G151" s="244"/>
      <c r="H151" s="244"/>
      <c r="I151" s="244">
        <f>'Ore-&gt;PI'!O156</f>
        <v>-2189.4247196818515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519</v>
      </c>
      <c r="C152" s="244"/>
      <c r="D152" s="244"/>
      <c r="E152" s="244"/>
      <c r="F152" s="244"/>
      <c r="G152" s="244"/>
      <c r="H152" s="244"/>
      <c r="I152" s="244"/>
      <c r="J152" s="244">
        <f>'Ore-&gt;PI'!EF106</f>
        <v>39500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570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90" t="s">
        <v>57</v>
      </c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0"/>
      <c r="T154" s="390"/>
      <c r="U154" s="390"/>
      <c r="V154" s="390"/>
      <c r="W154" s="390"/>
      <c r="X154" s="390"/>
      <c r="Y154" s="390"/>
      <c r="Z154" s="390"/>
      <c r="AA154" s="390"/>
      <c r="AB154" s="390"/>
      <c r="AC154" s="390"/>
      <c r="AD154" s="390"/>
      <c r="AE154" s="390"/>
      <c r="AF154" s="390"/>
      <c r="AG154" s="390"/>
      <c r="AH154" s="390"/>
      <c r="AI154" s="390"/>
      <c r="AJ154" s="390"/>
      <c r="AK154" s="25"/>
      <c r="AL154" s="25"/>
    </row>
    <row r="155" spans="2:42" x14ac:dyDescent="0.2">
      <c r="C155" s="252">
        <f t="shared" ref="C155:AJ155" si="9">SUM(C145:C153)</f>
        <v>-39777.560785767848</v>
      </c>
      <c r="D155" s="252">
        <f t="shared" si="9"/>
        <v>-25062.103433021839</v>
      </c>
      <c r="E155" s="252">
        <f t="shared" si="9"/>
        <v>-39604.193450553685</v>
      </c>
      <c r="F155" s="252">
        <f t="shared" si="9"/>
        <v>0</v>
      </c>
      <c r="G155" s="252">
        <f t="shared" si="9"/>
        <v>4.8128279999999996E-2</v>
      </c>
      <c r="H155" s="252">
        <f t="shared" si="9"/>
        <v>127800</v>
      </c>
      <c r="I155" s="252">
        <f t="shared" si="9"/>
        <v>-2189.4247196818515</v>
      </c>
      <c r="J155" s="252">
        <f t="shared" si="9"/>
        <v>39500</v>
      </c>
      <c r="K155" s="252">
        <f t="shared" si="9"/>
        <v>0</v>
      </c>
      <c r="L155" s="252">
        <f t="shared" si="9"/>
        <v>0</v>
      </c>
      <c r="M155" s="252">
        <f t="shared" si="9"/>
        <v>0</v>
      </c>
      <c r="N155" s="252">
        <f t="shared" si="9"/>
        <v>0</v>
      </c>
      <c r="O155" s="252">
        <f t="shared" si="9"/>
        <v>0</v>
      </c>
      <c r="P155" s="252">
        <f t="shared" si="9"/>
        <v>0</v>
      </c>
      <c r="Q155" s="252">
        <f t="shared" si="9"/>
        <v>0</v>
      </c>
      <c r="R155" s="252">
        <f t="shared" si="9"/>
        <v>0</v>
      </c>
      <c r="S155" s="252">
        <f t="shared" si="9"/>
        <v>0</v>
      </c>
      <c r="T155" s="252">
        <f t="shared" si="9"/>
        <v>0</v>
      </c>
      <c r="U155" s="252">
        <f t="shared" si="9"/>
        <v>0</v>
      </c>
      <c r="V155" s="252">
        <f t="shared" si="9"/>
        <v>0</v>
      </c>
      <c r="W155" s="252">
        <f t="shared" si="9"/>
        <v>0</v>
      </c>
      <c r="X155" s="252">
        <f t="shared" si="9"/>
        <v>0</v>
      </c>
      <c r="Y155" s="252">
        <f t="shared" si="9"/>
        <v>0</v>
      </c>
      <c r="Z155" s="252">
        <f t="shared" si="9"/>
        <v>0</v>
      </c>
      <c r="AA155" s="252">
        <f t="shared" si="9"/>
        <v>0</v>
      </c>
      <c r="AB155" s="252">
        <f t="shared" si="9"/>
        <v>0</v>
      </c>
      <c r="AC155" s="252">
        <f t="shared" si="9"/>
        <v>0</v>
      </c>
      <c r="AD155" s="252">
        <f t="shared" si="9"/>
        <v>0</v>
      </c>
      <c r="AE155" s="252">
        <f t="shared" si="9"/>
        <v>0</v>
      </c>
      <c r="AF155" s="252">
        <f t="shared" si="9"/>
        <v>0</v>
      </c>
      <c r="AG155" s="252">
        <f t="shared" si="9"/>
        <v>0</v>
      </c>
      <c r="AH155" s="252">
        <f t="shared" si="9"/>
        <v>0</v>
      </c>
      <c r="AI155" s="252">
        <f t="shared" si="9"/>
        <v>0</v>
      </c>
      <c r="AJ155" s="252">
        <f t="shared" si="9"/>
        <v>0</v>
      </c>
    </row>
    <row r="156" spans="2:42" x14ac:dyDescent="0.2">
      <c r="C156" s="390" t="s">
        <v>468</v>
      </c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0"/>
      <c r="T156" s="390"/>
      <c r="U156" s="390"/>
      <c r="V156" s="390"/>
      <c r="W156" s="390"/>
      <c r="X156" s="390"/>
      <c r="Y156" s="390"/>
      <c r="Z156" s="390"/>
      <c r="AA156" s="390"/>
      <c r="AB156" s="390"/>
      <c r="AC156" s="390"/>
      <c r="AD156" s="390"/>
      <c r="AE156" s="390"/>
      <c r="AF156" s="390"/>
      <c r="AG156" s="390"/>
      <c r="AH156" s="390"/>
      <c r="AI156" s="390"/>
      <c r="AJ156" s="390"/>
      <c r="AK156" s="25"/>
      <c r="AL156" s="25"/>
    </row>
    <row r="160" spans="2:42" x14ac:dyDescent="0.2">
      <c r="C160" s="390" t="s">
        <v>465</v>
      </c>
      <c r="D160" s="390"/>
      <c r="E160" s="390"/>
      <c r="F160" s="390"/>
      <c r="G160" s="390"/>
      <c r="H160" s="390"/>
      <c r="I160" s="390"/>
      <c r="J160" s="390"/>
      <c r="K160" s="390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424</v>
      </c>
      <c r="C163" s="252">
        <f>C155</f>
        <v>-39777.560785767848</v>
      </c>
      <c r="E163" s="252" cm="1">
        <f t="array" ref="E163:E196">TRANSPOSE(C132:AJ132)</f>
        <v>0</v>
      </c>
      <c r="G163" s="252">
        <f t="shared" ref="G163:G196" si="10">BD79</f>
        <v>-39777.560785767848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426</v>
      </c>
      <c r="C164" s="252">
        <f>D155</f>
        <v>-25062.103433021839</v>
      </c>
      <c r="E164" s="252">
        <v>0</v>
      </c>
      <c r="G164" s="252">
        <f t="shared" si="10"/>
        <v>-25062.103433021839</v>
      </c>
      <c r="I164" s="252">
        <v>0</v>
      </c>
      <c r="K164" s="299">
        <f>C164+E164-G164-I164</f>
        <v>0</v>
      </c>
    </row>
    <row r="165" spans="2:11" x14ac:dyDescent="0.2">
      <c r="B165" s="204" t="s">
        <v>427</v>
      </c>
      <c r="C165" s="252">
        <f>E155</f>
        <v>-39604.193450553685</v>
      </c>
      <c r="E165" s="252">
        <v>0</v>
      </c>
      <c r="G165" s="252">
        <f t="shared" si="10"/>
        <v>-39604.193450553685</v>
      </c>
      <c r="I165" s="252">
        <v>0</v>
      </c>
      <c r="K165" s="299">
        <f>C165+E165-G165-I165</f>
        <v>0</v>
      </c>
    </row>
    <row r="166" spans="2:11" x14ac:dyDescent="0.2">
      <c r="B166" s="204" t="s">
        <v>448</v>
      </c>
      <c r="C166" s="252">
        <f>F155</f>
        <v>0</v>
      </c>
      <c r="E166" s="252">
        <v>0</v>
      </c>
      <c r="G166" s="252">
        <f t="shared" si="10"/>
        <v>0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478</v>
      </c>
      <c r="C167" s="252">
        <f>G155</f>
        <v>4.8128279999999996E-2</v>
      </c>
      <c r="E167" s="252">
        <v>0</v>
      </c>
      <c r="G167" s="252">
        <f t="shared" si="10"/>
        <v>4.8128279999999996E-2</v>
      </c>
      <c r="I167" s="252">
        <v>0</v>
      </c>
      <c r="K167" s="299">
        <f t="shared" ref="K167:K196" si="11">C167+E167-G167-I167</f>
        <v>0</v>
      </c>
    </row>
    <row r="168" spans="2:11" x14ac:dyDescent="0.2">
      <c r="B168" s="204" t="s">
        <v>516</v>
      </c>
      <c r="C168" s="252">
        <f>H155</f>
        <v>127800</v>
      </c>
      <c r="E168" s="252">
        <v>0</v>
      </c>
      <c r="G168" s="252">
        <f t="shared" si="10"/>
        <v>127800</v>
      </c>
      <c r="I168" s="252">
        <v>0</v>
      </c>
      <c r="K168" s="299">
        <f t="shared" si="11"/>
        <v>0</v>
      </c>
    </row>
    <row r="169" spans="2:11" x14ac:dyDescent="0.2">
      <c r="B169" s="204" t="s">
        <v>517</v>
      </c>
      <c r="C169" s="252">
        <f>I155</f>
        <v>-2189.4247196818515</v>
      </c>
      <c r="E169" s="252">
        <v>0</v>
      </c>
      <c r="G169" s="252">
        <f t="shared" si="10"/>
        <v>-2189.4247196818515</v>
      </c>
      <c r="I169" s="252">
        <v>0</v>
      </c>
      <c r="K169" s="299">
        <f t="shared" si="11"/>
        <v>0</v>
      </c>
    </row>
    <row r="170" spans="2:11" x14ac:dyDescent="0.2">
      <c r="B170" s="204" t="s">
        <v>520</v>
      </c>
      <c r="C170" s="252">
        <f>J155</f>
        <v>39500</v>
      </c>
      <c r="E170" s="252">
        <v>0</v>
      </c>
      <c r="G170" s="252">
        <f t="shared" si="10"/>
        <v>39500</v>
      </c>
      <c r="I170" s="252">
        <v>0</v>
      </c>
      <c r="K170" s="299">
        <f t="shared" si="11"/>
        <v>0</v>
      </c>
    </row>
    <row r="171" spans="2:11" x14ac:dyDescent="0.2">
      <c r="B171" s="204" t="s">
        <v>571</v>
      </c>
      <c r="C171" s="252">
        <f>K155</f>
        <v>0</v>
      </c>
      <c r="E171" s="252">
        <v>0</v>
      </c>
      <c r="G171" s="252">
        <f t="shared" si="10"/>
        <v>0</v>
      </c>
      <c r="I171" s="252">
        <v>0</v>
      </c>
      <c r="K171" s="299">
        <f t="shared" si="11"/>
        <v>0</v>
      </c>
    </row>
    <row r="172" spans="2:11" ht="16" x14ac:dyDescent="0.2">
      <c r="B172" s="205" t="s">
        <v>553</v>
      </c>
      <c r="C172" s="252">
        <f>L155</f>
        <v>0</v>
      </c>
      <c r="E172" s="252">
        <v>-39777.560785767848</v>
      </c>
      <c r="G172" s="252">
        <f t="shared" si="10"/>
        <v>-39777.560785767848</v>
      </c>
      <c r="I172" s="252">
        <v>0</v>
      </c>
      <c r="K172" s="299">
        <f t="shared" si="11"/>
        <v>0</v>
      </c>
    </row>
    <row r="173" spans="2:11" x14ac:dyDescent="0.2">
      <c r="B173" s="204" t="s">
        <v>518</v>
      </c>
      <c r="C173" s="252">
        <f>M155</f>
        <v>0</v>
      </c>
      <c r="E173" s="252">
        <v>-22363.1299691768</v>
      </c>
      <c r="G173" s="252">
        <f t="shared" si="10"/>
        <v>0</v>
      </c>
      <c r="I173" s="252">
        <v>-22363.1299691768</v>
      </c>
      <c r="K173" s="299">
        <f t="shared" si="11"/>
        <v>0</v>
      </c>
    </row>
    <row r="174" spans="2:11" ht="16" x14ac:dyDescent="0.2">
      <c r="B174" s="205" t="s">
        <v>521</v>
      </c>
      <c r="C174" s="252">
        <f>N155</f>
        <v>0</v>
      </c>
      <c r="E174" s="252">
        <v>-25062.103433021839</v>
      </c>
      <c r="G174" s="252">
        <f t="shared" si="10"/>
        <v>-25062.103433021839</v>
      </c>
      <c r="I174" s="252">
        <v>0</v>
      </c>
      <c r="K174" s="299">
        <f t="shared" si="11"/>
        <v>0</v>
      </c>
    </row>
    <row r="175" spans="2:11" x14ac:dyDescent="0.2">
      <c r="B175" s="204" t="s">
        <v>548</v>
      </c>
      <c r="C175" s="252">
        <f>O155</f>
        <v>0</v>
      </c>
      <c r="E175" s="252">
        <v>-22363.1299691768</v>
      </c>
      <c r="G175" s="252">
        <f t="shared" si="10"/>
        <v>0</v>
      </c>
      <c r="I175" s="252">
        <v>-22363.1299691768</v>
      </c>
      <c r="K175" s="299">
        <f t="shared" si="11"/>
        <v>0</v>
      </c>
    </row>
    <row r="176" spans="2:11" x14ac:dyDescent="0.2">
      <c r="B176" s="206" t="s">
        <v>540</v>
      </c>
      <c r="C176" s="252">
        <f>P155</f>
        <v>0</v>
      </c>
      <c r="D176" s="259" t="s">
        <v>472</v>
      </c>
      <c r="E176" s="252">
        <v>-39604.193450553685</v>
      </c>
      <c r="F176" s="171" t="s">
        <v>474</v>
      </c>
      <c r="G176" s="252">
        <f t="shared" si="10"/>
        <v>-39604.193450553685</v>
      </c>
      <c r="H176" s="171" t="s">
        <v>474</v>
      </c>
      <c r="I176" s="252">
        <v>0</v>
      </c>
      <c r="J176" s="259" t="s">
        <v>475</v>
      </c>
      <c r="K176" s="299">
        <f t="shared" si="11"/>
        <v>0</v>
      </c>
    </row>
    <row r="177" spans="2:18" x14ac:dyDescent="0.2">
      <c r="B177" s="204" t="s">
        <v>525</v>
      </c>
      <c r="C177" s="252">
        <f>Q155</f>
        <v>0</v>
      </c>
      <c r="E177" s="252">
        <v>-22363.1299691768</v>
      </c>
      <c r="G177" s="252">
        <f t="shared" si="10"/>
        <v>0</v>
      </c>
      <c r="I177" s="252">
        <v>-22363.1299691768</v>
      </c>
      <c r="K177" s="299">
        <f t="shared" si="11"/>
        <v>0</v>
      </c>
    </row>
    <row r="178" spans="2:18" ht="16" x14ac:dyDescent="0.2">
      <c r="B178" s="205" t="s">
        <v>552</v>
      </c>
      <c r="C178" s="252">
        <f>R155</f>
        <v>0</v>
      </c>
      <c r="E178" s="252">
        <v>-39777.560785767848</v>
      </c>
      <c r="G178" s="252">
        <f t="shared" si="10"/>
        <v>-39777.560785767848</v>
      </c>
      <c r="I178" s="252">
        <v>0</v>
      </c>
      <c r="K178" s="299">
        <f t="shared" si="11"/>
        <v>0</v>
      </c>
    </row>
    <row r="179" spans="2:18" ht="16" x14ac:dyDescent="0.2">
      <c r="B179" s="205" t="s">
        <v>547</v>
      </c>
      <c r="C179" s="252">
        <f>S155</f>
        <v>0</v>
      </c>
      <c r="E179" s="252">
        <v>-25062.103433021839</v>
      </c>
      <c r="G179" s="252">
        <f t="shared" si="10"/>
        <v>-25062.103433021839</v>
      </c>
      <c r="I179" s="252">
        <v>0</v>
      </c>
      <c r="K179" s="299">
        <f t="shared" si="11"/>
        <v>0</v>
      </c>
    </row>
    <row r="180" spans="2:18" ht="16" x14ac:dyDescent="0.2">
      <c r="B180" s="205" t="s">
        <v>544</v>
      </c>
      <c r="C180" s="252">
        <f>T155</f>
        <v>0</v>
      </c>
      <c r="E180" s="252">
        <v>-39604.193450553685</v>
      </c>
      <c r="G180" s="252">
        <f t="shared" si="10"/>
        <v>-39604.193450553685</v>
      </c>
      <c r="I180" s="252">
        <v>0</v>
      </c>
      <c r="K180" s="299">
        <f t="shared" si="11"/>
        <v>0</v>
      </c>
    </row>
    <row r="181" spans="2:18" ht="16" x14ac:dyDescent="0.2">
      <c r="B181" s="205" t="s">
        <v>550</v>
      </c>
      <c r="C181" s="252">
        <f>U155</f>
        <v>0</v>
      </c>
      <c r="E181" s="252">
        <v>-20318.34579452957</v>
      </c>
      <c r="G181" s="252">
        <f t="shared" si="10"/>
        <v>-20318.34579452957</v>
      </c>
      <c r="I181" s="252">
        <v>0</v>
      </c>
      <c r="K181" s="299">
        <f t="shared" si="11"/>
        <v>0</v>
      </c>
    </row>
    <row r="182" spans="2:18" x14ac:dyDescent="0.2">
      <c r="B182" s="206" t="s">
        <v>549</v>
      </c>
      <c r="C182" s="252">
        <f>V155</f>
        <v>0</v>
      </c>
      <c r="E182" s="252">
        <v>-19459.214991238277</v>
      </c>
      <c r="G182" s="252">
        <f t="shared" si="10"/>
        <v>0</v>
      </c>
      <c r="I182" s="252">
        <v>-19459.214991238277</v>
      </c>
      <c r="K182" s="299">
        <f t="shared" si="11"/>
        <v>0</v>
      </c>
    </row>
    <row r="183" spans="2:18" x14ac:dyDescent="0.2">
      <c r="B183" s="206" t="s">
        <v>533</v>
      </c>
      <c r="C183" s="252">
        <f>W155</f>
        <v>0</v>
      </c>
      <c r="E183" s="252">
        <v>-25062.103433021839</v>
      </c>
      <c r="G183" s="252">
        <f t="shared" si="10"/>
        <v>-25062.103433021839</v>
      </c>
      <c r="I183" s="252">
        <v>0</v>
      </c>
      <c r="K183" s="299">
        <f t="shared" si="11"/>
        <v>0</v>
      </c>
      <c r="N183" s="25"/>
      <c r="P183" s="25"/>
      <c r="Q183" s="25"/>
      <c r="R183" s="25"/>
    </row>
    <row r="184" spans="2:18" x14ac:dyDescent="0.2">
      <c r="B184" s="206" t="s">
        <v>568</v>
      </c>
      <c r="C184" s="252">
        <f>X155</f>
        <v>0</v>
      </c>
      <c r="E184" s="252">
        <v>-39604.193450553685</v>
      </c>
      <c r="G184" s="252">
        <f t="shared" si="10"/>
        <v>-39604.193450553685</v>
      </c>
      <c r="I184" s="252">
        <v>0</v>
      </c>
      <c r="K184" s="299">
        <f t="shared" si="11"/>
        <v>0</v>
      </c>
      <c r="N184" s="25"/>
      <c r="P184" s="25"/>
      <c r="Q184" s="25"/>
      <c r="R184" s="25"/>
    </row>
    <row r="185" spans="2:18" x14ac:dyDescent="0.2">
      <c r="B185" s="206" t="s">
        <v>534</v>
      </c>
      <c r="C185" s="252">
        <f>Y155</f>
        <v>0</v>
      </c>
      <c r="E185" s="252">
        <v>-11321.85158370395</v>
      </c>
      <c r="G185" s="252">
        <f t="shared" si="10"/>
        <v>-11321.85158370395</v>
      </c>
      <c r="I185" s="252">
        <v>0</v>
      </c>
      <c r="K185" s="299">
        <f t="shared" si="11"/>
        <v>0</v>
      </c>
      <c r="N185" s="25"/>
      <c r="P185" s="25"/>
      <c r="Q185" s="25"/>
      <c r="R185" s="25"/>
    </row>
    <row r="186" spans="2:18" x14ac:dyDescent="0.2">
      <c r="B186" s="206" t="s">
        <v>536</v>
      </c>
      <c r="C186" s="252">
        <f>Z155</f>
        <v>0</v>
      </c>
      <c r="E186" s="252">
        <v>-14926.410019749705</v>
      </c>
      <c r="G186" s="252">
        <f t="shared" si="10"/>
        <v>0</v>
      </c>
      <c r="I186" s="252">
        <v>-14926.410019749705</v>
      </c>
      <c r="K186" s="299">
        <f t="shared" si="11"/>
        <v>0</v>
      </c>
      <c r="N186" s="25"/>
      <c r="P186" s="25"/>
      <c r="Q186" s="25"/>
      <c r="R186" s="25"/>
    </row>
    <row r="187" spans="2:18" x14ac:dyDescent="0.2">
      <c r="B187" s="206" t="s">
        <v>535</v>
      </c>
      <c r="C187" s="252">
        <f>AA155</f>
        <v>0</v>
      </c>
      <c r="E187" s="252">
        <v>-22363.1299691768</v>
      </c>
      <c r="G187" s="252">
        <f t="shared" si="10"/>
        <v>0</v>
      </c>
      <c r="I187" s="252">
        <v>-22363.1299691768</v>
      </c>
      <c r="K187" s="299">
        <f t="shared" si="11"/>
        <v>0</v>
      </c>
      <c r="N187" s="25"/>
      <c r="P187" s="25"/>
      <c r="Q187" s="25"/>
      <c r="R187" s="25"/>
    </row>
    <row r="188" spans="2:18" x14ac:dyDescent="0.2">
      <c r="B188" s="206" t="s">
        <v>634</v>
      </c>
      <c r="C188" s="252">
        <f>AB155</f>
        <v>0</v>
      </c>
      <c r="E188" s="252">
        <v>0</v>
      </c>
      <c r="G188" s="252">
        <f t="shared" si="10"/>
        <v>0</v>
      </c>
      <c r="I188" s="252">
        <v>0</v>
      </c>
      <c r="K188" s="299">
        <f t="shared" si="11"/>
        <v>0</v>
      </c>
    </row>
    <row r="189" spans="2:18" ht="16" x14ac:dyDescent="0.2">
      <c r="B189" s="253" t="s">
        <v>531</v>
      </c>
      <c r="C189" s="252">
        <f>AC155</f>
        <v>0</v>
      </c>
      <c r="E189" s="252">
        <v>-11018.295313636119</v>
      </c>
      <c r="G189" s="252">
        <f t="shared" si="10"/>
        <v>-11018.295313636119</v>
      </c>
      <c r="I189" s="252">
        <v>0</v>
      </c>
      <c r="K189" s="299">
        <f t="shared" si="11"/>
        <v>0</v>
      </c>
    </row>
    <row r="190" spans="2:18" x14ac:dyDescent="0.2">
      <c r="B190" s="206" t="s">
        <v>530</v>
      </c>
      <c r="C190" s="252">
        <f>AD155</f>
        <v>0</v>
      </c>
      <c r="E190" s="252">
        <v>-69684.193450553677</v>
      </c>
      <c r="G190" s="252">
        <f t="shared" si="10"/>
        <v>0</v>
      </c>
      <c r="I190" s="252">
        <v>-69684.193450553677</v>
      </c>
      <c r="K190" s="299">
        <f t="shared" si="11"/>
        <v>0</v>
      </c>
      <c r="L190" s="25"/>
    </row>
    <row r="191" spans="2:18" x14ac:dyDescent="0.2">
      <c r="B191" s="204" t="s">
        <v>532</v>
      </c>
      <c r="C191" s="252">
        <f>AE155</f>
        <v>0</v>
      </c>
      <c r="E191" s="252">
        <v>-22363.1299691768</v>
      </c>
      <c r="G191" s="252">
        <f t="shared" si="10"/>
        <v>0</v>
      </c>
      <c r="I191" s="252">
        <v>-22363.1299691768</v>
      </c>
      <c r="K191" s="299">
        <f t="shared" si="11"/>
        <v>0</v>
      </c>
    </row>
    <row r="192" spans="2:18" x14ac:dyDescent="0.2">
      <c r="B192" s="206" t="s">
        <v>528</v>
      </c>
      <c r="C192" s="252">
        <f>AF155</f>
        <v>0</v>
      </c>
      <c r="E192" s="252">
        <v>1.604276E-2</v>
      </c>
      <c r="G192" s="252">
        <f t="shared" si="10"/>
        <v>3.2085519999999999E-2</v>
      </c>
      <c r="I192" s="252">
        <v>1.604276E-2</v>
      </c>
      <c r="K192" s="299">
        <f t="shared" si="11"/>
        <v>-3.2085519999999999E-2</v>
      </c>
    </row>
    <row r="193" spans="2:19" x14ac:dyDescent="0.2">
      <c r="B193" s="206" t="s">
        <v>556</v>
      </c>
      <c r="C193" s="252">
        <f>AG155</f>
        <v>0</v>
      </c>
      <c r="E193" s="252">
        <v>-31640.197378233519</v>
      </c>
      <c r="G193" s="252">
        <f t="shared" si="10"/>
        <v>-31640.197378233519</v>
      </c>
      <c r="I193" s="252">
        <v>0</v>
      </c>
      <c r="K193" s="299">
        <f t="shared" si="11"/>
        <v>0</v>
      </c>
      <c r="P193" s="245"/>
      <c r="Q193" s="245"/>
      <c r="R193" s="245"/>
      <c r="S193" s="245"/>
    </row>
    <row r="194" spans="2:19" x14ac:dyDescent="0.2">
      <c r="B194" s="206" t="s">
        <v>557</v>
      </c>
      <c r="C194" s="252">
        <f>AH155</f>
        <v>0</v>
      </c>
      <c r="E194" s="252">
        <v>0</v>
      </c>
      <c r="G194" s="252">
        <f t="shared" si="10"/>
        <v>0</v>
      </c>
      <c r="I194" s="252">
        <v>0</v>
      </c>
      <c r="K194" s="299">
        <f t="shared" si="11"/>
        <v>0</v>
      </c>
    </row>
    <row r="195" spans="2:19" x14ac:dyDescent="0.2">
      <c r="B195" s="206" t="s">
        <v>558</v>
      </c>
      <c r="C195" s="252">
        <f>AI155</f>
        <v>0</v>
      </c>
      <c r="E195" s="252">
        <v>-22363.1299691768</v>
      </c>
      <c r="G195" s="252">
        <f t="shared" si="10"/>
        <v>0</v>
      </c>
      <c r="I195" s="252">
        <v>-22363.1299691768</v>
      </c>
      <c r="K195" s="299">
        <f t="shared" si="11"/>
        <v>0</v>
      </c>
    </row>
    <row r="196" spans="2:19" x14ac:dyDescent="0.2">
      <c r="B196" s="206" t="s">
        <v>569</v>
      </c>
      <c r="C196" s="252">
        <f>AJ155</f>
        <v>0</v>
      </c>
      <c r="E196" s="252">
        <v>-771.42466062394067</v>
      </c>
      <c r="G196" s="252">
        <f t="shared" si="10"/>
        <v>0</v>
      </c>
      <c r="I196" s="252">
        <v>-771.42466062394067</v>
      </c>
      <c r="K196" s="299">
        <f t="shared" si="11"/>
        <v>0</v>
      </c>
    </row>
    <row r="197" spans="2:19" ht="17" x14ac:dyDescent="0.2">
      <c r="B197" s="206"/>
      <c r="C197" s="3" t="s">
        <v>471</v>
      </c>
      <c r="E197" s="3" t="s">
        <v>473</v>
      </c>
      <c r="G197" s="25" t="s">
        <v>470</v>
      </c>
      <c r="I197" s="25" t="s">
        <v>39</v>
      </c>
      <c r="K197" s="25">
        <f>SUM(K163:K196)</f>
        <v>-3.2085519999999999E-2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90" t="s">
        <v>476</v>
      </c>
      <c r="D200" s="390"/>
      <c r="E200" s="390"/>
      <c r="F200" s="390"/>
      <c r="G200" s="390"/>
      <c r="L200" s="245"/>
      <c r="M200" s="245"/>
    </row>
    <row r="203" spans="2:19" x14ac:dyDescent="0.2">
      <c r="B203" s="204" t="s">
        <v>416</v>
      </c>
      <c r="C203" s="252">
        <f>AP114</f>
        <v>2822.4392142321522</v>
      </c>
      <c r="E203" s="252">
        <f>AK117</f>
        <v>-62140.690754944648</v>
      </c>
      <c r="G203" s="299">
        <f>C203-E203</f>
        <v>64963.1299691768</v>
      </c>
    </row>
    <row r="204" spans="2:19" x14ac:dyDescent="0.2">
      <c r="B204" s="204" t="s">
        <v>417</v>
      </c>
      <c r="C204" s="252">
        <f>AQ114</f>
        <v>15348.47184729631</v>
      </c>
      <c r="E204" s="252">
        <f t="shared" ref="E204:E216" si="12">AK118</f>
        <v>-47425.233402198639</v>
      </c>
      <c r="G204" s="299">
        <f t="shared" ref="G204:G216" si="13">C204-E204</f>
        <v>62773.705249494946</v>
      </c>
      <c r="N204" s="245"/>
      <c r="O204" s="245"/>
    </row>
    <row r="205" spans="2:19" x14ac:dyDescent="0.2">
      <c r="B205" s="204" t="s">
        <v>418</v>
      </c>
      <c r="C205" s="252">
        <f>AR114</f>
        <v>2995.8065494463153</v>
      </c>
      <c r="E205" s="252">
        <f t="shared" si="12"/>
        <v>-61967.323419730485</v>
      </c>
      <c r="G205" s="299">
        <f t="shared" si="13"/>
        <v>64963.1299691768</v>
      </c>
    </row>
    <row r="206" spans="2:19" x14ac:dyDescent="0.2">
      <c r="B206" s="204" t="s">
        <v>567</v>
      </c>
      <c r="C206" s="252">
        <f>AS114</f>
        <v>-39777.560785767848</v>
      </c>
      <c r="D206" s="254"/>
      <c r="E206" s="252">
        <f t="shared" si="12"/>
        <v>-39777.560785767848</v>
      </c>
      <c r="F206" s="254"/>
      <c r="G206" s="299">
        <f t="shared" si="13"/>
        <v>0</v>
      </c>
    </row>
    <row r="207" spans="2:19" x14ac:dyDescent="0.2">
      <c r="B207" s="204" t="s">
        <v>546</v>
      </c>
      <c r="C207" s="252">
        <f>AT114</f>
        <v>-25062.103433021839</v>
      </c>
      <c r="E207" s="252">
        <f t="shared" si="12"/>
        <v>-25062.103433021839</v>
      </c>
      <c r="G207" s="299">
        <f t="shared" si="13"/>
        <v>0</v>
      </c>
      <c r="H207" s="245"/>
      <c r="I207" s="245"/>
      <c r="J207" s="245"/>
      <c r="K207" s="245"/>
    </row>
    <row r="208" spans="2:19" x14ac:dyDescent="0.2">
      <c r="B208" s="204" t="s">
        <v>545</v>
      </c>
      <c r="C208" s="252">
        <f>AU114</f>
        <v>-39604.193450553685</v>
      </c>
      <c r="E208" s="252">
        <f t="shared" si="12"/>
        <v>-39604.193450553685</v>
      </c>
      <c r="G208" s="299">
        <f t="shared" si="13"/>
        <v>0</v>
      </c>
    </row>
    <row r="209" spans="2:11" x14ac:dyDescent="0.2">
      <c r="B209" s="204" t="s">
        <v>444</v>
      </c>
      <c r="C209" s="252">
        <f>AV114</f>
        <v>-39777.560785767848</v>
      </c>
      <c r="E209" s="252">
        <f t="shared" si="12"/>
        <v>-39777.560785767848</v>
      </c>
      <c r="G209" s="299">
        <f t="shared" si="13"/>
        <v>0</v>
      </c>
    </row>
    <row r="210" spans="2:11" x14ac:dyDescent="0.2">
      <c r="B210" s="204" t="s">
        <v>441</v>
      </c>
      <c r="C210" s="252">
        <f>AW114</f>
        <v>-25062.103433021839</v>
      </c>
      <c r="D210" s="171" t="s">
        <v>479</v>
      </c>
      <c r="E210" s="252">
        <f t="shared" si="12"/>
        <v>-25062.103433021839</v>
      </c>
      <c r="F210" s="171" t="s">
        <v>475</v>
      </c>
      <c r="G210" s="299">
        <f t="shared" si="13"/>
        <v>0</v>
      </c>
    </row>
    <row r="211" spans="2:11" x14ac:dyDescent="0.2">
      <c r="B211" s="204" t="s">
        <v>459</v>
      </c>
      <c r="C211" s="252">
        <f>AX114</f>
        <v>-39604.193450553685</v>
      </c>
      <c r="E211" s="252">
        <f t="shared" si="12"/>
        <v>-39604.193450553685</v>
      </c>
      <c r="G211" s="299">
        <f t="shared" si="13"/>
        <v>0</v>
      </c>
    </row>
    <row r="212" spans="2:11" x14ac:dyDescent="0.2">
      <c r="B212" s="204" t="s">
        <v>442</v>
      </c>
      <c r="C212" s="252">
        <f>AY114</f>
        <v>-25062.08739026184</v>
      </c>
      <c r="E212" s="252">
        <f t="shared" si="12"/>
        <v>-48611.391572630455</v>
      </c>
      <c r="G212" s="299">
        <f t="shared" si="13"/>
        <v>23549.304182368614</v>
      </c>
    </row>
    <row r="213" spans="2:11" x14ac:dyDescent="0.2">
      <c r="B213" s="204" t="s">
        <v>437</v>
      </c>
      <c r="C213" s="252">
        <f>AZ114</f>
        <v>-39604.161365033688</v>
      </c>
      <c r="E213" s="252">
        <f t="shared" si="12"/>
        <v>-103065.6187333666</v>
      </c>
      <c r="G213" s="299">
        <f t="shared" si="13"/>
        <v>63461.457368332914</v>
      </c>
    </row>
    <row r="214" spans="2:11" x14ac:dyDescent="0.2">
      <c r="B214" s="204" t="s">
        <v>457</v>
      </c>
      <c r="C214" s="252">
        <f>BA114</f>
        <v>-11018.295313636119</v>
      </c>
      <c r="E214" s="252">
        <f t="shared" si="12"/>
        <v>1.604276E-2</v>
      </c>
      <c r="G214" s="299">
        <f t="shared" si="13"/>
        <v>-11018.31135639612</v>
      </c>
    </row>
    <row r="215" spans="2:11" x14ac:dyDescent="0.2">
      <c r="B215" s="204" t="s">
        <v>81</v>
      </c>
      <c r="C215" s="252">
        <f>BB114</f>
        <v>-31640.197378233519</v>
      </c>
      <c r="E215" s="252">
        <f t="shared" si="12"/>
        <v>-31640.197378233519</v>
      </c>
      <c r="G215" s="299">
        <f t="shared" si="13"/>
        <v>0</v>
      </c>
    </row>
    <row r="216" spans="2:11" x14ac:dyDescent="0.2">
      <c r="B216" s="204" t="s">
        <v>428</v>
      </c>
      <c r="C216" s="252">
        <f>BC114</f>
        <v>7859.8347072864781</v>
      </c>
      <c r="D216" s="171"/>
      <c r="E216" s="252">
        <f t="shared" si="12"/>
        <v>-23134.554629800739</v>
      </c>
      <c r="G216" s="299">
        <f t="shared" si="13"/>
        <v>30994.389337087217</v>
      </c>
    </row>
    <row r="217" spans="2:11" x14ac:dyDescent="0.2">
      <c r="B217" s="206"/>
      <c r="C217" s="171" t="s">
        <v>469</v>
      </c>
      <c r="D217" s="171"/>
      <c r="E217" s="171" t="s">
        <v>466</v>
      </c>
      <c r="F217" s="171"/>
      <c r="G217" s="171" t="s">
        <v>669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C200:G200"/>
    <mergeCell ref="AP36:BC36"/>
    <mergeCell ref="BI36:BV36"/>
    <mergeCell ref="AP74:BC74"/>
    <mergeCell ref="AP113:BC113"/>
    <mergeCell ref="BI113:BJ113"/>
    <mergeCell ref="C115:D115"/>
    <mergeCell ref="AP115:BC115"/>
    <mergeCell ref="C131:AJ131"/>
    <mergeCell ref="C133:AJ133"/>
    <mergeCell ref="C154:AJ154"/>
    <mergeCell ref="C156:AJ156"/>
    <mergeCell ref="C160:K16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90" t="s">
        <v>421</v>
      </c>
      <c r="AD50" s="390"/>
      <c r="AE50" s="390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90" t="s">
        <v>419</v>
      </c>
      <c r="L53" s="390"/>
      <c r="M53" s="390"/>
      <c r="N53" s="390"/>
      <c r="O53" s="390"/>
      <c r="P53" s="390"/>
      <c r="Q53" s="390"/>
      <c r="R53" s="390"/>
      <c r="S53" s="390"/>
      <c r="T53" s="390"/>
      <c r="U53" s="390"/>
      <c r="V53" s="390"/>
      <c r="W53" s="390"/>
      <c r="AD53" s="25"/>
      <c r="AE53" s="25"/>
      <c r="AF53" s="25"/>
      <c r="AG53" s="25"/>
      <c r="AH53" s="25"/>
      <c r="AI53" s="25"/>
    </row>
    <row r="58" spans="2:35" x14ac:dyDescent="0.2">
      <c r="C58" s="391"/>
      <c r="D58" s="391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90" t="s">
        <v>420</v>
      </c>
      <c r="D73" s="390"/>
      <c r="E73" s="390"/>
      <c r="F73" s="390"/>
      <c r="G73" s="390"/>
      <c r="H73" s="390"/>
      <c r="I73" s="390"/>
      <c r="J73" s="390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278</v>
      </c>
      <c r="C87" s="208"/>
      <c r="D87" s="208"/>
      <c r="E87" s="208"/>
      <c r="F87" s="208"/>
      <c r="G87" s="208"/>
    </row>
    <row r="88" spans="2:7" x14ac:dyDescent="0.2">
      <c r="B88" s="204" t="s">
        <v>435</v>
      </c>
      <c r="C88" s="208"/>
      <c r="D88" s="208"/>
      <c r="E88" s="208"/>
      <c r="F88" s="208"/>
      <c r="G88" s="208"/>
    </row>
    <row r="89" spans="2:7" x14ac:dyDescent="0.2">
      <c r="B89" s="204" t="s">
        <v>436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90" t="s">
        <v>57</v>
      </c>
      <c r="D92" s="390"/>
      <c r="E92" s="390"/>
      <c r="F92" s="390"/>
      <c r="G92" s="39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9" t="s">
        <v>317</v>
      </c>
      <c r="E2" s="309"/>
      <c r="F2" s="309"/>
      <c r="G2" s="309"/>
      <c r="V2" s="166"/>
    </row>
    <row r="3" spans="2:22" x14ac:dyDescent="0.2">
      <c r="B3" s="3"/>
      <c r="C3" s="3"/>
      <c r="D3" s="393" t="s">
        <v>82</v>
      </c>
      <c r="E3" s="393"/>
      <c r="F3" s="393"/>
      <c r="G3" s="393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8" t="s">
        <v>4</v>
      </c>
      <c r="C4" s="3"/>
      <c r="D4" s="196" t="s">
        <v>364</v>
      </c>
      <c r="E4" s="196" t="s">
        <v>189</v>
      </c>
      <c r="F4" s="196" t="s">
        <v>176</v>
      </c>
      <c r="G4" s="196" t="s">
        <v>350</v>
      </c>
      <c r="I4" s="3"/>
      <c r="K4" s="3"/>
      <c r="L4" s="3"/>
      <c r="O4" s="166"/>
      <c r="P4" s="166"/>
      <c r="Q4" s="166"/>
      <c r="R4" s="395" t="s">
        <v>355</v>
      </c>
      <c r="S4" s="395"/>
      <c r="T4" s="395"/>
      <c r="U4" s="395"/>
      <c r="V4" s="166"/>
    </row>
    <row r="5" spans="2:22" ht="14.5" customHeight="1" x14ac:dyDescent="0.2">
      <c r="B5" s="398"/>
      <c r="C5" s="147" t="s">
        <v>341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95"/>
      <c r="S5" s="395"/>
      <c r="T5" s="395"/>
      <c r="U5" s="395"/>
      <c r="V5" s="166"/>
    </row>
    <row r="6" spans="2:22" x14ac:dyDescent="0.2">
      <c r="B6" s="398"/>
      <c r="C6" s="149" t="s">
        <v>639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95"/>
      <c r="S6" s="395"/>
      <c r="T6" s="395"/>
      <c r="U6" s="395"/>
      <c r="V6" s="166"/>
    </row>
    <row r="7" spans="2:22" ht="16" thickBot="1" x14ac:dyDescent="0.25">
      <c r="B7" s="398"/>
      <c r="C7" s="148" t="s">
        <v>407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96"/>
      <c r="S7" s="396"/>
      <c r="T7" s="396"/>
      <c r="U7" s="396"/>
      <c r="V7" s="166"/>
    </row>
    <row r="8" spans="2:22" x14ac:dyDescent="0.2">
      <c r="C8" s="132" t="s">
        <v>337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95" t="s">
        <v>354</v>
      </c>
      <c r="Q8" s="411"/>
      <c r="R8" s="413" t="s">
        <v>341</v>
      </c>
      <c r="S8" s="414"/>
      <c r="T8" s="399" t="s">
        <v>407</v>
      </c>
      <c r="U8" s="400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95"/>
      <c r="Q9" s="411"/>
      <c r="R9" s="415"/>
      <c r="S9" s="416"/>
      <c r="T9" s="401"/>
      <c r="U9" s="402"/>
      <c r="V9" s="166"/>
    </row>
    <row r="10" spans="2:22" x14ac:dyDescent="0.2">
      <c r="L10" s="3"/>
      <c r="M10" s="3"/>
      <c r="O10" s="166"/>
      <c r="P10" s="395"/>
      <c r="Q10" s="411"/>
      <c r="R10" s="415"/>
      <c r="S10" s="416"/>
      <c r="T10" s="401"/>
      <c r="U10" s="402"/>
      <c r="V10" s="166"/>
    </row>
    <row r="11" spans="2:22" x14ac:dyDescent="0.2">
      <c r="B11" s="3"/>
      <c r="C11" s="3"/>
      <c r="D11" s="309" t="s">
        <v>317</v>
      </c>
      <c r="E11" s="309"/>
      <c r="F11" s="309"/>
      <c r="G11" s="309"/>
      <c r="H11" s="309"/>
      <c r="L11" s="3"/>
      <c r="M11" s="3"/>
      <c r="O11" s="166"/>
      <c r="P11" s="395"/>
      <c r="Q11" s="411"/>
      <c r="R11" s="415"/>
      <c r="S11" s="416"/>
      <c r="T11" s="401"/>
      <c r="U11" s="402"/>
      <c r="V11" s="166"/>
    </row>
    <row r="12" spans="2:22" x14ac:dyDescent="0.2">
      <c r="B12" s="3"/>
      <c r="C12" s="3"/>
      <c r="D12" s="393" t="s">
        <v>82</v>
      </c>
      <c r="E12" s="393"/>
      <c r="F12" s="393"/>
      <c r="G12" s="393"/>
      <c r="H12" s="393"/>
      <c r="L12" s="3"/>
      <c r="M12" s="3"/>
      <c r="O12" s="166"/>
      <c r="P12" s="412" t="s">
        <v>406</v>
      </c>
      <c r="Q12" s="411"/>
      <c r="R12" s="407" t="s">
        <v>316</v>
      </c>
      <c r="S12" s="408"/>
      <c r="T12" s="403" t="s">
        <v>639</v>
      </c>
      <c r="U12" s="404"/>
      <c r="V12" s="166"/>
    </row>
    <row r="13" spans="2:22" ht="14.5" customHeight="1" x14ac:dyDescent="0.2">
      <c r="B13" s="397" t="s">
        <v>20</v>
      </c>
      <c r="C13" s="3"/>
      <c r="D13" s="197" t="s">
        <v>364</v>
      </c>
      <c r="E13" s="197" t="s">
        <v>189</v>
      </c>
      <c r="F13" s="197" t="s">
        <v>176</v>
      </c>
      <c r="G13" s="197" t="s">
        <v>350</v>
      </c>
      <c r="H13" s="197" t="s">
        <v>351</v>
      </c>
      <c r="J13" s="3"/>
      <c r="L13" s="3"/>
      <c r="M13" s="3"/>
      <c r="O13" s="166"/>
      <c r="P13" s="395"/>
      <c r="Q13" s="411"/>
      <c r="R13" s="407"/>
      <c r="S13" s="408"/>
      <c r="T13" s="403"/>
      <c r="U13" s="404"/>
      <c r="V13" s="166"/>
    </row>
    <row r="14" spans="2:22" x14ac:dyDescent="0.2">
      <c r="B14" s="397"/>
      <c r="C14" s="147" t="s">
        <v>341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6"/>
      <c r="P14" s="395"/>
      <c r="Q14" s="411"/>
      <c r="R14" s="407"/>
      <c r="S14" s="408"/>
      <c r="T14" s="403"/>
      <c r="U14" s="404"/>
      <c r="V14" s="166"/>
    </row>
    <row r="15" spans="2:22" ht="16" thickBot="1" x14ac:dyDescent="0.25">
      <c r="B15" s="397"/>
      <c r="C15" s="149" t="s">
        <v>639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95"/>
      <c r="Q15" s="411"/>
      <c r="R15" s="409"/>
      <c r="S15" s="410"/>
      <c r="T15" s="405"/>
      <c r="U15" s="406"/>
      <c r="V15" s="166"/>
    </row>
    <row r="16" spans="2:22" x14ac:dyDescent="0.2">
      <c r="B16" s="397"/>
      <c r="C16" s="148" t="s">
        <v>407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337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9" t="s">
        <v>317</v>
      </c>
      <c r="E19" s="309"/>
      <c r="F19" s="309"/>
      <c r="G19" s="309"/>
      <c r="L19" s="3"/>
      <c r="M19" s="3"/>
    </row>
    <row r="20" spans="2:13" x14ac:dyDescent="0.2">
      <c r="B20" s="3"/>
      <c r="C20" s="3"/>
      <c r="D20" s="393" t="s">
        <v>82</v>
      </c>
      <c r="E20" s="393"/>
      <c r="F20" s="393"/>
      <c r="G20" s="393"/>
      <c r="K20" s="3"/>
      <c r="L20" s="3"/>
    </row>
    <row r="21" spans="2:13" x14ac:dyDescent="0.2">
      <c r="B21" s="394" t="s">
        <v>353</v>
      </c>
      <c r="C21" s="3"/>
      <c r="D21" s="156" t="s">
        <v>364</v>
      </c>
      <c r="E21" s="156" t="s">
        <v>189</v>
      </c>
      <c r="F21" s="156" t="s">
        <v>176</v>
      </c>
      <c r="G21" s="156" t="s">
        <v>378</v>
      </c>
      <c r="I21" s="3"/>
      <c r="K21" s="3"/>
      <c r="L21" s="3"/>
    </row>
    <row r="22" spans="2:13" x14ac:dyDescent="0.2">
      <c r="B22" s="394"/>
      <c r="C22" s="147" t="s">
        <v>341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94"/>
      <c r="C23" s="149" t="s">
        <v>639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394"/>
      <c r="C24" s="148" t="s">
        <v>407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337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2" t="s">
        <v>403</v>
      </c>
      <c r="D30" s="195" t="s">
        <v>81</v>
      </c>
      <c r="E30" s="195" t="s">
        <v>352</v>
      </c>
    </row>
    <row r="31" spans="2:13" x14ac:dyDescent="0.2">
      <c r="B31" s="392"/>
      <c r="C31" s="147" t="s">
        <v>341</v>
      </c>
      <c r="D31" s="3" t="s">
        <v>98</v>
      </c>
      <c r="E31" s="3" t="str">
        <f>Bejan_BF</f>
        <v>[-]</v>
      </c>
    </row>
    <row r="32" spans="2:13" x14ac:dyDescent="0.2">
      <c r="B32" s="392"/>
      <c r="C32" s="149" t="s">
        <v>639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392"/>
      <c r="C33" s="148" t="s">
        <v>407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337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638</v>
      </c>
    </row>
    <row r="38" spans="2:5" ht="18" x14ac:dyDescent="0.25">
      <c r="B38" s="298" t="s">
        <v>637</v>
      </c>
      <c r="C38" s="3">
        <f>E_tot/('Ore-&gt;PI'!FL126/1000)</f>
        <v>1695073412.7385504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7" t="s">
        <v>356</v>
      </c>
      <c r="F3" s="417"/>
      <c r="G3" s="417"/>
      <c r="H3"/>
      <c r="I3"/>
      <c r="L3" s="390" t="s">
        <v>447</v>
      </c>
      <c r="M3" s="390"/>
      <c r="N3" s="390"/>
      <c r="P3"/>
      <c r="T3" s="171" t="s">
        <v>446</v>
      </c>
    </row>
    <row r="4" spans="3:20" ht="16" thickBot="1" x14ac:dyDescent="0.25">
      <c r="E4" s="393" t="s">
        <v>11</v>
      </c>
      <c r="F4" s="393"/>
      <c r="G4" s="393"/>
      <c r="H4"/>
      <c r="I4"/>
      <c r="L4" s="393" t="s">
        <v>48</v>
      </c>
      <c r="M4" s="393"/>
      <c r="N4" s="393"/>
      <c r="P4"/>
      <c r="T4" s="3" t="s">
        <v>48</v>
      </c>
    </row>
    <row r="5" spans="3:20" ht="14.5" customHeight="1" thickBot="1" x14ac:dyDescent="0.25">
      <c r="C5" s="398" t="s">
        <v>4</v>
      </c>
      <c r="E5" s="152" t="s">
        <v>350</v>
      </c>
      <c r="F5" s="153" t="s">
        <v>81</v>
      </c>
      <c r="G5" s="154" t="s">
        <v>352</v>
      </c>
      <c r="L5" s="196" t="s">
        <v>189</v>
      </c>
      <c r="M5" s="196" t="s">
        <v>176</v>
      </c>
      <c r="N5" s="196" t="s">
        <v>350</v>
      </c>
      <c r="T5" s="228">
        <f>'Ore-&gt;PI'!EP131+'Ore-&gt;PI'!DU131+'Ore-&gt;PI'!CD130+'Ore-&gt;PI'!BK130+'Ore-&gt;PI'!AR130+'Ore-&gt;PI'!X130+'Ore-&gt;PI'!X46+'Ore-&gt;PI'!AQ46+'Ore-&gt;PI'!BJ46+'Ore-&gt;PI'!CE210+'Ore-&gt;PI'!AR210+'Ore-&gt;PI'!Y210+'Ore-&gt;PI'!CZ237+'Ore-&gt;PI'!CE210</f>
        <v>-50130952.276021525</v>
      </c>
    </row>
    <row r="6" spans="3:20" x14ac:dyDescent="0.2">
      <c r="C6" s="398"/>
      <c r="D6" s="155" t="s">
        <v>357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8"/>
      <c r="D7" s="155" t="s">
        <v>23</v>
      </c>
      <c r="E7" s="3">
        <f>0</f>
        <v>0</v>
      </c>
      <c r="F7" s="3" t="s">
        <v>98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90" t="s">
        <v>447</v>
      </c>
      <c r="M9" s="390"/>
      <c r="N9" s="390"/>
      <c r="O9" s="390"/>
    </row>
    <row r="10" spans="3:20" x14ac:dyDescent="0.2">
      <c r="E10" s="417" t="s">
        <v>356</v>
      </c>
      <c r="F10" s="417"/>
      <c r="L10" s="393" t="s">
        <v>48</v>
      </c>
      <c r="M10" s="393"/>
      <c r="N10" s="393"/>
      <c r="O10" s="393"/>
    </row>
    <row r="11" spans="3:20" x14ac:dyDescent="0.2">
      <c r="E11" s="393" t="s">
        <v>11</v>
      </c>
      <c r="F11" s="393"/>
      <c r="L11" s="197" t="s">
        <v>189</v>
      </c>
      <c r="M11" s="197" t="s">
        <v>176</v>
      </c>
      <c r="N11" s="197" t="s">
        <v>350</v>
      </c>
      <c r="O11" s="197" t="s">
        <v>351</v>
      </c>
      <c r="P11"/>
    </row>
    <row r="12" spans="3:20" x14ac:dyDescent="0.2">
      <c r="C12" s="397" t="s">
        <v>20</v>
      </c>
      <c r="E12" s="150" t="s">
        <v>350</v>
      </c>
      <c r="F12" s="151" t="s">
        <v>351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7"/>
      <c r="D13" s="155" t="s">
        <v>357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397"/>
      <c r="D14" s="155" t="s">
        <v>23</v>
      </c>
      <c r="E14" s="3" t="s">
        <v>98</v>
      </c>
      <c r="F14" s="3">
        <f>Kiln_CO2Waste</f>
        <v>307.80454225965212</v>
      </c>
      <c r="L14" s="390" t="s">
        <v>447</v>
      </c>
      <c r="M14" s="390"/>
      <c r="N14" s="390"/>
    </row>
    <row r="15" spans="3:20" x14ac:dyDescent="0.2">
      <c r="C15" s="397"/>
      <c r="D15" s="3" t="s">
        <v>19</v>
      </c>
      <c r="E15" s="17">
        <f>SUM(E13:E14)</f>
        <v>0</v>
      </c>
      <c r="F15" s="17">
        <f>SUM(F13:F14)</f>
        <v>312.78929480475023</v>
      </c>
      <c r="L15" s="393" t="s">
        <v>48</v>
      </c>
      <c r="M15" s="393"/>
      <c r="N15" s="393"/>
    </row>
    <row r="16" spans="3:20" x14ac:dyDescent="0.2">
      <c r="L16" s="156" t="s">
        <v>189</v>
      </c>
      <c r="M16" s="156" t="s">
        <v>176</v>
      </c>
      <c r="N16" s="156" t="s">
        <v>378</v>
      </c>
    </row>
    <row r="17" spans="3:16" x14ac:dyDescent="0.2">
      <c r="K17" s="227" t="s">
        <v>353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356</v>
      </c>
    </row>
    <row r="19" spans="3:16" ht="17" x14ac:dyDescent="0.25">
      <c r="E19" s="28" t="s">
        <v>11</v>
      </c>
      <c r="L19" s="390" t="s">
        <v>447</v>
      </c>
      <c r="M19" s="390"/>
    </row>
    <row r="20" spans="3:16" x14ac:dyDescent="0.2">
      <c r="C20" s="394" t="s">
        <v>353</v>
      </c>
      <c r="E20" s="156" t="s">
        <v>350</v>
      </c>
      <c r="L20" s="393" t="s">
        <v>48</v>
      </c>
      <c r="M20" s="393"/>
    </row>
    <row r="21" spans="3:16" ht="14.5" customHeight="1" x14ac:dyDescent="0.2">
      <c r="C21" s="394"/>
      <c r="D21" s="155" t="s">
        <v>357</v>
      </c>
      <c r="E21" s="3">
        <f>Beneficiation_CoalWaste</f>
        <v>18.493734420766422</v>
      </c>
      <c r="L21" s="195" t="s">
        <v>81</v>
      </c>
      <c r="M21" s="195" t="s">
        <v>352</v>
      </c>
      <c r="P21"/>
    </row>
    <row r="22" spans="3:16" ht="17" customHeight="1" x14ac:dyDescent="0.25">
      <c r="C22" s="394"/>
      <c r="D22" s="155" t="s">
        <v>23</v>
      </c>
      <c r="E22" s="3" t="s">
        <v>98</v>
      </c>
      <c r="K22" s="224" t="s">
        <v>403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394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8" t="s">
        <v>70</v>
      </c>
      <c r="I2" s="308"/>
      <c r="J2" s="308"/>
      <c r="K2" s="308"/>
      <c r="L2" s="308"/>
      <c r="M2" s="308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8" t="s">
        <v>74</v>
      </c>
      <c r="I3" s="308"/>
      <c r="J3" s="308"/>
      <c r="K3" s="13"/>
      <c r="L3" s="325" t="s">
        <v>75</v>
      </c>
      <c r="M3" s="325"/>
      <c r="N3" s="7"/>
      <c r="AN3" s="419" t="s">
        <v>78</v>
      </c>
      <c r="AO3" s="419"/>
      <c r="AP3" s="419"/>
      <c r="AQ3" s="419"/>
      <c r="AR3" s="419"/>
      <c r="AS3" s="419"/>
      <c r="AT3" s="419"/>
      <c r="AU3" s="419"/>
      <c r="AV3" s="419"/>
      <c r="AW3" s="419"/>
      <c r="AX3" s="419"/>
      <c r="AY3" s="419"/>
      <c r="AZ3" s="419"/>
      <c r="BA3" s="419"/>
      <c r="BB3" s="419"/>
      <c r="BC3" s="419"/>
      <c r="BD3" s="419"/>
      <c r="BE3" s="419"/>
      <c r="BF3" s="419"/>
      <c r="BG3" s="419"/>
      <c r="BH3" s="419"/>
      <c r="BI3" s="419"/>
      <c r="BJ3" s="419"/>
      <c r="BK3" s="419"/>
    </row>
    <row r="4" spans="3:69" ht="17" x14ac:dyDescent="0.25">
      <c r="C4" s="13" t="s">
        <v>11</v>
      </c>
      <c r="D4" s="13" t="s">
        <v>76</v>
      </c>
      <c r="E4" s="13"/>
      <c r="F4" s="13"/>
      <c r="AN4" s="419"/>
      <c r="AO4" s="419"/>
      <c r="AP4" s="419"/>
      <c r="AQ4" s="419"/>
      <c r="AR4" s="419"/>
      <c r="AS4" s="419"/>
      <c r="AT4" s="419"/>
      <c r="AU4" s="419"/>
      <c r="AV4" s="419"/>
      <c r="AW4" s="419"/>
      <c r="AX4" s="419"/>
      <c r="AY4" s="419"/>
      <c r="AZ4" s="419"/>
      <c r="BA4" s="419"/>
      <c r="BB4" s="419"/>
      <c r="BC4" s="419"/>
      <c r="BD4" s="419"/>
      <c r="BE4" s="419"/>
      <c r="BF4" s="419"/>
      <c r="BG4" s="419"/>
      <c r="BH4" s="419"/>
      <c r="BI4" s="419"/>
      <c r="BJ4" s="419"/>
      <c r="BK4" s="419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8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8"/>
      <c r="J5" s="308"/>
      <c r="K5" s="308"/>
      <c r="L5" s="308"/>
      <c r="M5" s="308"/>
      <c r="AN5" s="419"/>
      <c r="AO5" s="419"/>
      <c r="AP5" s="419"/>
      <c r="AQ5" s="419"/>
      <c r="AR5" s="419"/>
      <c r="AS5" s="419"/>
      <c r="AT5" s="419"/>
      <c r="AU5" s="419"/>
      <c r="AV5" s="419"/>
      <c r="AW5" s="419"/>
      <c r="AX5" s="419"/>
      <c r="AY5" s="419"/>
      <c r="AZ5" s="419"/>
      <c r="BA5" s="419"/>
      <c r="BB5" s="419"/>
      <c r="BC5" s="419"/>
      <c r="BD5" s="419"/>
      <c r="BE5" s="419"/>
      <c r="BF5" s="419"/>
      <c r="BG5" s="419"/>
      <c r="BH5" s="419"/>
      <c r="BI5" s="419"/>
      <c r="BJ5" s="419"/>
      <c r="BK5" s="419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18">
        <v>6</v>
      </c>
      <c r="BJ10" s="418"/>
      <c r="BK10" s="418"/>
      <c r="BL10" s="418"/>
      <c r="BM10" s="418"/>
      <c r="BN10" s="418"/>
      <c r="BO10" s="418"/>
      <c r="BP10" s="418"/>
      <c r="BQ10" s="418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18"/>
      <c r="BJ11" s="418"/>
      <c r="BK11" s="418"/>
      <c r="BL11" s="418"/>
      <c r="BM11" s="418"/>
      <c r="BN11" s="418"/>
      <c r="BO11" s="418"/>
      <c r="BP11" s="418"/>
      <c r="BQ11" s="418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20" t="s">
        <v>112</v>
      </c>
    </row>
    <row r="18" spans="3:87" ht="18.5" customHeight="1" x14ac:dyDescent="0.25">
      <c r="BI18" s="420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20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20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-8941.1903712354979</v>
      </c>
      <c r="BO20" s="62">
        <f>h_0_CO2</f>
        <v>9.3640000000000008</v>
      </c>
      <c r="BP20" s="17">
        <f>BM20*(BN20-BO20)</f>
        <v>-557918.6107150825</v>
      </c>
      <c r="BQ20" s="17">
        <f>BP20*(1-($BF$38/$BF$38))</f>
        <v>0</v>
      </c>
    </row>
    <row r="21" spans="3:87" ht="17" x14ac:dyDescent="0.25">
      <c r="BI21" s="420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20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-517013.54510293104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4">
        <v>1</v>
      </c>
      <c r="D28" s="424"/>
      <c r="E28" s="424"/>
      <c r="F28" s="424"/>
      <c r="G28" s="424"/>
      <c r="H28" s="424"/>
      <c r="I28" s="424"/>
      <c r="J28" s="424"/>
      <c r="K28" s="424"/>
      <c r="L28" s="424"/>
      <c r="M28" s="424"/>
      <c r="N28" s="424"/>
      <c r="O28" s="424"/>
      <c r="P28" s="1"/>
      <c r="Q28" s="1"/>
      <c r="R28" s="1"/>
      <c r="S28" s="1"/>
      <c r="T28" s="1"/>
      <c r="U28" s="1"/>
      <c r="V28" s="1"/>
      <c r="W28" s="423">
        <v>3</v>
      </c>
      <c r="X28" s="423"/>
      <c r="Y28" s="423"/>
      <c r="Z28" s="423"/>
      <c r="AA28" s="423"/>
      <c r="AB28" s="423"/>
      <c r="AC28" s="423"/>
      <c r="AD28" s="423"/>
      <c r="AE28" s="423"/>
      <c r="AF28" s="423"/>
      <c r="AG28" s="42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4">
        <v>4</v>
      </c>
      <c r="AU28" s="424"/>
      <c r="AV28" s="424"/>
      <c r="AW28" s="424"/>
      <c r="AX28" s="424"/>
      <c r="AY28" s="424"/>
      <c r="AZ28" s="424"/>
      <c r="BA28" s="424"/>
      <c r="BB28" s="424"/>
      <c r="BC28" s="424"/>
      <c r="BD28" s="424"/>
      <c r="BE28" s="424"/>
      <c r="BF28" s="424"/>
      <c r="BG28" s="424"/>
      <c r="BH28" s="424"/>
      <c r="BI28" s="424"/>
      <c r="BT28" s="424">
        <v>5</v>
      </c>
      <c r="BU28" s="424"/>
      <c r="BV28" s="424"/>
      <c r="BW28" s="424"/>
      <c r="BX28" s="424"/>
      <c r="BY28" s="424"/>
      <c r="BZ28" s="424"/>
      <c r="CA28" s="424"/>
      <c r="CB28" s="424"/>
      <c r="CC28" s="424"/>
      <c r="CD28" s="424"/>
      <c r="CE28" s="424"/>
      <c r="CF28" s="424"/>
      <c r="CG28" s="424"/>
      <c r="CH28" s="424"/>
      <c r="CI28" s="42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2" t="s">
        <v>160</v>
      </c>
      <c r="O31" s="156" t="s">
        <v>345</v>
      </c>
      <c r="P31" s="163" t="s">
        <v>322</v>
      </c>
      <c r="Q31" s="163" t="s">
        <v>316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6" t="s">
        <v>346</v>
      </c>
      <c r="P32" s="163" t="s">
        <v>98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22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22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22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22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21" t="s">
        <v>80</v>
      </c>
      <c r="AK37" s="421"/>
      <c r="AL37" s="421"/>
      <c r="AM37" s="421"/>
      <c r="AN37" s="421"/>
      <c r="AO37" s="421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21" t="s">
        <v>81</v>
      </c>
      <c r="S38" s="421"/>
      <c r="T38" s="421"/>
      <c r="U38" s="421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21"/>
      <c r="AK38" s="421"/>
      <c r="AL38" s="421"/>
      <c r="AM38" s="421"/>
      <c r="AN38" s="421"/>
      <c r="AO38" s="421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-529368.86089949706</v>
      </c>
      <c r="BL38" s="421" t="s">
        <v>97</v>
      </c>
      <c r="BM38" s="421"/>
      <c r="BN38" s="421"/>
      <c r="BO38" s="421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21"/>
      <c r="S39" s="421"/>
      <c r="T39" s="421"/>
      <c r="U39" s="42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21"/>
      <c r="AK39" s="421"/>
      <c r="AL39" s="421"/>
      <c r="AM39" s="421"/>
      <c r="AN39" s="421"/>
      <c r="AO39" s="421"/>
      <c r="AP39" s="51"/>
      <c r="AQ39" s="51"/>
      <c r="AR39" s="1"/>
      <c r="AS39" s="1"/>
      <c r="AT39" s="1"/>
      <c r="AU39" s="1"/>
      <c r="AV39" s="1"/>
      <c r="AW39" s="1"/>
      <c r="AX39" s="1"/>
      <c r="BL39" s="421"/>
      <c r="BM39" s="421"/>
      <c r="BN39" s="421"/>
      <c r="BO39" s="421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21"/>
      <c r="S40" s="421"/>
      <c r="T40" s="421"/>
      <c r="U40" s="42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21"/>
      <c r="AK40" s="421"/>
      <c r="AL40" s="421"/>
      <c r="AM40" s="421"/>
      <c r="AN40" s="421"/>
      <c r="AO40" s="421"/>
      <c r="AP40" s="51"/>
      <c r="AQ40" s="51"/>
      <c r="AR40" s="1"/>
      <c r="AS40" s="56"/>
      <c r="AT40" s="1"/>
      <c r="AU40" s="1"/>
      <c r="AV40" s="1"/>
      <c r="AW40" s="1"/>
      <c r="AX40" s="1"/>
      <c r="BL40" s="421"/>
      <c r="BM40" s="421"/>
      <c r="BN40" s="421"/>
      <c r="BO40" s="421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21"/>
      <c r="AK41" s="421"/>
      <c r="AL41" s="421"/>
      <c r="AM41" s="421"/>
      <c r="AN41" s="421"/>
      <c r="AO41" s="421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326</v>
      </c>
      <c r="S42" s="135" t="s">
        <v>348</v>
      </c>
      <c r="T42" s="345" t="s">
        <v>344</v>
      </c>
      <c r="U42" s="102" t="s">
        <v>317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21"/>
      <c r="AK42" s="421"/>
      <c r="AL42" s="421"/>
      <c r="AM42" s="421"/>
      <c r="AN42" s="421"/>
      <c r="AO42" s="421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326</v>
      </c>
      <c r="BM42" s="135" t="s">
        <v>348</v>
      </c>
      <c r="BN42" s="352" t="s">
        <v>344</v>
      </c>
      <c r="BO42" s="102" t="s">
        <v>317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324</v>
      </c>
      <c r="T43" s="346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-8941.1903712354979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-8981.050643985498</v>
      </c>
      <c r="BH43" s="62">
        <f>AY43*(BB43+BG43)</f>
        <v>-852.32840932300383</v>
      </c>
      <c r="BI43" s="62">
        <f>BH43*$AW$46</f>
        <v>-558912.23617868754</v>
      </c>
      <c r="BJ43" s="1"/>
      <c r="BL43" s="111" t="s">
        <v>48</v>
      </c>
      <c r="BM43" s="6" t="s">
        <v>324</v>
      </c>
      <c r="BN43" s="353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341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326</v>
      </c>
      <c r="AL44" s="135" t="s">
        <v>348</v>
      </c>
      <c r="AM44" s="352" t="s">
        <v>344</v>
      </c>
      <c r="AN44" s="102" t="s">
        <v>317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-530962.66816990962</v>
      </c>
      <c r="BM44" s="13">
        <f>BH38-CH38</f>
        <v>0</v>
      </c>
      <c r="BN44" s="139" t="s">
        <v>341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342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324</v>
      </c>
      <c r="AM45" s="353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342</v>
      </c>
      <c r="BO45" s="103">
        <f>CI38/BI38</f>
        <v>-3.0107688383943345E-3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343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580988.33242456184</v>
      </c>
      <c r="AL46" s="13">
        <f>BH38-AF38</f>
        <v>0</v>
      </c>
      <c r="AM46" s="139" t="s">
        <v>341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-8875.0163471854994</v>
      </c>
      <c r="BH46" s="17">
        <f>SUM(BH43:BH45)</f>
        <v>-807.27543601559069</v>
      </c>
      <c r="BI46" s="17">
        <f>SUM(BI43:BI45)</f>
        <v>-529368.86089949706</v>
      </c>
      <c r="BL46" s="6"/>
      <c r="BM46" s="4"/>
      <c r="BN46" s="140" t="s">
        <v>343</v>
      </c>
      <c r="BO46" s="99">
        <f>CI42/BI43</f>
        <v>-1.6233520595170324E-3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25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342</v>
      </c>
      <c r="AN47" s="103">
        <f>BI38/AG38</f>
        <v>-10.255216592879147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25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343</v>
      </c>
      <c r="AN48" s="99">
        <f>BI43/AG38</f>
        <v>-10.827546653733124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25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322</v>
      </c>
      <c r="AA49" s="1" t="s">
        <v>316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2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2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361</v>
      </c>
      <c r="Z56" s="1"/>
      <c r="AA56" s="1" t="s">
        <v>360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3">
        <v>2</v>
      </c>
      <c r="D57" s="423"/>
      <c r="E57" s="423"/>
      <c r="F57" s="423"/>
      <c r="G57" s="423"/>
      <c r="H57" s="423"/>
      <c r="I57" s="423"/>
      <c r="J57" s="423"/>
      <c r="K57" s="423"/>
      <c r="L57" s="423"/>
      <c r="M57" s="423"/>
      <c r="N57" s="423"/>
      <c r="O57" s="42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9" t="s">
        <v>317</v>
      </c>
      <c r="E4" s="309"/>
      <c r="F4" s="309"/>
      <c r="G4" s="309"/>
      <c r="H4" s="166"/>
      <c r="I4" s="166"/>
      <c r="P4" s="166"/>
      <c r="Q4" s="166"/>
      <c r="R4" s="166"/>
      <c r="S4" s="395" t="s">
        <v>355</v>
      </c>
      <c r="T4" s="395"/>
      <c r="U4" s="395"/>
      <c r="V4" s="395"/>
      <c r="W4" s="166"/>
    </row>
    <row r="5" spans="1:23" x14ac:dyDescent="0.2">
      <c r="A5" s="166"/>
      <c r="B5" s="168"/>
      <c r="C5" s="168"/>
      <c r="D5" s="393" t="s">
        <v>82</v>
      </c>
      <c r="E5" s="393"/>
      <c r="F5" s="393"/>
      <c r="G5" s="393"/>
      <c r="H5" s="166"/>
      <c r="I5" s="166"/>
      <c r="P5" s="166"/>
      <c r="Q5" s="166"/>
      <c r="R5" s="166"/>
      <c r="S5" s="395"/>
      <c r="T5" s="395"/>
      <c r="U5" s="395"/>
      <c r="V5" s="395"/>
      <c r="W5" s="166"/>
    </row>
    <row r="6" spans="1:23" ht="15" customHeight="1" x14ac:dyDescent="0.2">
      <c r="A6" s="166"/>
      <c r="B6" s="398" t="s">
        <v>4</v>
      </c>
      <c r="C6" s="3"/>
      <c r="D6" s="196" t="s">
        <v>364</v>
      </c>
      <c r="E6" s="196" t="s">
        <v>189</v>
      </c>
      <c r="F6" s="196" t="s">
        <v>176</v>
      </c>
      <c r="G6" s="196" t="s">
        <v>350</v>
      </c>
      <c r="H6" s="166"/>
      <c r="I6" s="166"/>
      <c r="P6" s="166"/>
      <c r="Q6" s="166"/>
      <c r="R6" s="166"/>
      <c r="S6" s="395"/>
      <c r="T6" s="395"/>
      <c r="U6" s="395"/>
      <c r="V6" s="395"/>
      <c r="W6" s="166"/>
    </row>
    <row r="7" spans="1:23" ht="16" thickBot="1" x14ac:dyDescent="0.25">
      <c r="A7" s="166"/>
      <c r="B7" s="398"/>
      <c r="C7" s="147" t="s">
        <v>341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96"/>
      <c r="T7" s="396"/>
      <c r="U7" s="396"/>
      <c r="V7" s="396"/>
      <c r="W7" s="166"/>
    </row>
    <row r="8" spans="1:23" x14ac:dyDescent="0.2">
      <c r="A8" s="166"/>
      <c r="B8" s="398"/>
      <c r="C8" s="149" t="s">
        <v>342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95" t="s">
        <v>354</v>
      </c>
      <c r="R8" s="411"/>
      <c r="S8" s="413" t="s">
        <v>341</v>
      </c>
      <c r="T8" s="414"/>
      <c r="U8" s="399" t="s">
        <v>407</v>
      </c>
      <c r="V8" s="400"/>
      <c r="W8" s="166"/>
    </row>
    <row r="9" spans="1:23" x14ac:dyDescent="0.2">
      <c r="A9" s="166"/>
      <c r="B9" s="398"/>
      <c r="C9" s="148" t="s">
        <v>407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95"/>
      <c r="R9" s="411"/>
      <c r="S9" s="415"/>
      <c r="T9" s="416"/>
      <c r="U9" s="401"/>
      <c r="V9" s="402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95"/>
      <c r="R10" s="411"/>
      <c r="S10" s="415"/>
      <c r="T10" s="416"/>
      <c r="U10" s="401"/>
      <c r="V10" s="402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95"/>
      <c r="R11" s="411"/>
      <c r="S11" s="415"/>
      <c r="T11" s="416"/>
      <c r="U11" s="401"/>
      <c r="V11" s="402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6" t="s">
        <v>406</v>
      </c>
      <c r="R12" s="411"/>
      <c r="S12" s="407" t="s">
        <v>316</v>
      </c>
      <c r="T12" s="408"/>
      <c r="U12" s="403" t="s">
        <v>342</v>
      </c>
      <c r="V12" s="404"/>
      <c r="W12" s="166"/>
    </row>
    <row r="13" spans="1:23" x14ac:dyDescent="0.2">
      <c r="A13" s="166"/>
      <c r="B13" s="168"/>
      <c r="C13" s="168"/>
      <c r="D13" s="309" t="s">
        <v>317</v>
      </c>
      <c r="E13" s="309"/>
      <c r="F13" s="309"/>
      <c r="G13" s="309"/>
      <c r="H13" s="309"/>
      <c r="I13" s="166"/>
      <c r="P13" s="166"/>
      <c r="Q13" s="395"/>
      <c r="R13" s="411"/>
      <c r="S13" s="407"/>
      <c r="T13" s="408"/>
      <c r="U13" s="403"/>
      <c r="V13" s="404"/>
      <c r="W13" s="166"/>
    </row>
    <row r="14" spans="1:23" ht="15" customHeight="1" x14ac:dyDescent="0.2">
      <c r="A14" s="166"/>
      <c r="B14" s="168"/>
      <c r="C14" s="168"/>
      <c r="D14" s="393" t="s">
        <v>82</v>
      </c>
      <c r="E14" s="393"/>
      <c r="F14" s="393"/>
      <c r="G14" s="393"/>
      <c r="H14" s="393"/>
      <c r="I14" s="166"/>
      <c r="P14" s="166"/>
      <c r="Q14" s="395"/>
      <c r="R14" s="411"/>
      <c r="S14" s="407"/>
      <c r="T14" s="408"/>
      <c r="U14" s="403"/>
      <c r="V14" s="404"/>
      <c r="W14" s="166"/>
    </row>
    <row r="15" spans="1:23" ht="16" thickBot="1" x14ac:dyDescent="0.25">
      <c r="A15" s="166"/>
      <c r="B15" s="397" t="s">
        <v>20</v>
      </c>
      <c r="C15" s="3"/>
      <c r="D15" s="197" t="s">
        <v>364</v>
      </c>
      <c r="E15" s="197" t="s">
        <v>189</v>
      </c>
      <c r="F15" s="197" t="s">
        <v>176</v>
      </c>
      <c r="G15" s="197" t="s">
        <v>350</v>
      </c>
      <c r="H15" s="197" t="s">
        <v>351</v>
      </c>
      <c r="I15" s="166"/>
      <c r="P15" s="166"/>
      <c r="Q15" s="395"/>
      <c r="R15" s="411"/>
      <c r="S15" s="409"/>
      <c r="T15" s="410"/>
      <c r="U15" s="405"/>
      <c r="V15" s="406"/>
      <c r="W15" s="166"/>
    </row>
    <row r="16" spans="1:23" x14ac:dyDescent="0.2">
      <c r="A16" s="166"/>
      <c r="B16" s="397"/>
      <c r="C16" s="147" t="s">
        <v>341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7"/>
      <c r="C17" s="149" t="s">
        <v>342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7"/>
      <c r="C18" s="148" t="s">
        <v>407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450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9" t="s">
        <v>317</v>
      </c>
      <c r="E21" s="309"/>
      <c r="F21" s="309"/>
      <c r="G21" s="309"/>
      <c r="H21" s="166"/>
      <c r="I21" s="166"/>
    </row>
    <row r="22" spans="1:12" ht="15" customHeight="1" x14ac:dyDescent="0.2">
      <c r="A22" s="166"/>
      <c r="B22" s="168"/>
      <c r="C22" s="168"/>
      <c r="D22" s="393" t="s">
        <v>82</v>
      </c>
      <c r="E22" s="393"/>
      <c r="F22" s="393"/>
      <c r="G22" s="393"/>
      <c r="H22" s="166"/>
      <c r="I22" s="166"/>
    </row>
    <row r="23" spans="1:12" x14ac:dyDescent="0.2">
      <c r="A23" s="166"/>
      <c r="B23" s="394" t="s">
        <v>353</v>
      </c>
      <c r="C23" s="3"/>
      <c r="D23" s="156" t="s">
        <v>364</v>
      </c>
      <c r="E23" s="156" t="s">
        <v>189</v>
      </c>
      <c r="F23" s="156" t="s">
        <v>176</v>
      </c>
      <c r="G23" s="156" t="s">
        <v>378</v>
      </c>
      <c r="H23" s="166"/>
      <c r="I23" s="166"/>
    </row>
    <row r="24" spans="1:12" x14ac:dyDescent="0.2">
      <c r="A24" s="166"/>
      <c r="B24" s="394"/>
      <c r="C24" s="147" t="s">
        <v>341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394"/>
      <c r="C25" s="149" t="s">
        <v>342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394"/>
      <c r="C26" s="148" t="s">
        <v>407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2" t="s">
        <v>403</v>
      </c>
      <c r="D32" s="195" t="s">
        <v>81</v>
      </c>
      <c r="E32" s="195" t="s">
        <v>352</v>
      </c>
      <c r="F32" s="166"/>
      <c r="G32" s="166"/>
      <c r="H32" s="166"/>
      <c r="I32" s="166"/>
    </row>
    <row r="33" spans="1:9" x14ac:dyDescent="0.2">
      <c r="A33" s="166"/>
      <c r="B33" s="392"/>
      <c r="C33" s="147" t="s">
        <v>341</v>
      </c>
      <c r="D33" s="3" t="s">
        <v>98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2"/>
      <c r="C34" s="149" t="s">
        <v>342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392"/>
      <c r="C35" s="148" t="s">
        <v>407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308</vt:i4>
      </vt:variant>
    </vt:vector>
  </HeadingPairs>
  <TitlesOfParts>
    <vt:vector size="321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h_Al2O3</vt:lpstr>
      <vt:lpstr>h_C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2025-07-14T13:38:22Z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