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2A7D3D5-455D-B948-BBD6-F0B4D3888D2E}" xr6:coauthVersionLast="47" xr6:coauthVersionMax="47" xr10:uidLastSave="{00000000-0000-0000-0000-000000000000}"/>
  <bookViews>
    <workbookView xWindow="2320" yWindow="1680" windowWidth="42820" windowHeight="26840" activeTab="3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MCC h RUVY matrices (mat level)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Constants!$G$40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 localSheetId="7">'MCC h RUVY matrices (mat level)'!$BH$1:$BV$35</definedName>
    <definedName name="r_eiou_M">'MCC M RUVY matrices (mat level)'!$BH$1:$BV$35</definedName>
    <definedName name="R_M" localSheetId="7">'MCC h RUVY matrices (mat level)'!$B$144:$AJ$153</definedName>
    <definedName name="R_M">'MCC M RUVY matrices (mat level)'!$B$144:$AJ$153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MCC_B_RUVY_matrices_mat_level!$B$1:$C$35</definedName>
    <definedName name="S_units_M" localSheetId="7">'MCC h RUVY matrices (mat level)'!$B$1:$C$35</definedName>
    <definedName name="S_units_M">'MCC M RUVY matrices (mat level)'!$B$1:$C$35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 localSheetId="7">'MCC h RUVY matrices (mat level)'!$AO$1:$BC$35</definedName>
    <definedName name="U_eiou_M">'MCC M RUVY matrices (mat level)'!$AO$1:$BC$35</definedName>
    <definedName name="U_feed__MCC_B_RUVY_matrices_mat_level">MCC_B_RUVY_matrices_mat_level!$AR$39:$BF$73</definedName>
    <definedName name="U_feed_M" localSheetId="7">'MCC h RUVY matrices (mat level)'!$AO$39:$BC$73</definedName>
    <definedName name="U_feed_M">'MCC M RUVY matrices (mat level)'!$AO$39:$BC$73</definedName>
    <definedName name="U_M" localSheetId="7">'MCC h RUVY matrices (mat level)'!$AO$78:$BC$112</definedName>
    <definedName name="U_M">'MCC M RUVY matrices (mat level)'!$AO$78:$BC$112</definedName>
    <definedName name="V__MCC_B_RUVY_matrices_mat_level">MCC_B_RUVY_matrices_mat_level!$E$120:$AM$134</definedName>
    <definedName name="V_M" localSheetId="7">'MCC h RUVY matrices (mat level)'!$B$116:$AJ$130</definedName>
    <definedName name="V_M">'MCC M RUVY matrices (mat level)'!$B$116:$AJ$130</definedName>
    <definedName name="Y__MCC_B_RUVY_matrices_mat_level">MCC_B_RUVY_matrices_mat_level!$BK$82:$BM$116</definedName>
    <definedName name="Y_M" localSheetId="7">'MCC h RUVY matrices (mat level)'!$BH$78:$BJ$112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2" i="3" l="1"/>
  <c r="G41" i="3"/>
  <c r="EF106" i="9"/>
  <c r="EF105" i="9"/>
  <c r="O226" i="9"/>
  <c r="O63" i="9"/>
  <c r="O144" i="9"/>
  <c r="O130" i="9"/>
  <c r="AI130" i="9"/>
  <c r="BU130" i="9"/>
  <c r="BB130" i="9"/>
  <c r="BJ89" i="22"/>
  <c r="BJ91" i="22"/>
  <c r="BJ93" i="22"/>
  <c r="BJ98" i="22"/>
  <c r="BJ102" i="22"/>
  <c r="BJ103" i="22"/>
  <c r="BJ106" i="22"/>
  <c r="BJ107" i="22"/>
  <c r="BJ112" i="22"/>
  <c r="BJ111" i="22"/>
  <c r="BI110" i="22"/>
  <c r="BI108" i="22"/>
  <c r="BC109" i="22"/>
  <c r="BC108" i="22"/>
  <c r="BC86" i="22"/>
  <c r="BC83" i="22"/>
  <c r="BC82" i="22"/>
  <c r="BB97" i="22"/>
  <c r="BB101" i="22"/>
  <c r="BB104" i="22"/>
  <c r="BA105" i="22"/>
  <c r="AZ108" i="22"/>
  <c r="AZ100" i="22"/>
  <c r="AZ82" i="22"/>
  <c r="AZ83" i="22"/>
  <c r="AY83" i="22"/>
  <c r="AY82" i="22"/>
  <c r="AX96" i="22"/>
  <c r="AV94" i="22"/>
  <c r="AU92" i="22"/>
  <c r="AT90" i="22"/>
  <c r="AS88" i="22"/>
  <c r="AR84" i="22"/>
  <c r="AR82" i="22"/>
  <c r="AR81" i="22"/>
  <c r="AQ85" i="22"/>
  <c r="AQ82" i="22"/>
  <c r="AP82" i="22"/>
  <c r="AP79" i="22"/>
  <c r="AJ130" i="22"/>
  <c r="AI130" i="22"/>
  <c r="AH130" i="22"/>
  <c r="AG129" i="22"/>
  <c r="AF128" i="22"/>
  <c r="AE127" i="22"/>
  <c r="AD127" i="22"/>
  <c r="AC127" i="22"/>
  <c r="AB127" i="22"/>
  <c r="AA126" i="22"/>
  <c r="Z126" i="22"/>
  <c r="Y126" i="22"/>
  <c r="X125" i="22"/>
  <c r="V123" i="22"/>
  <c r="BT63" i="9"/>
  <c r="BT48" i="9"/>
  <c r="U123" i="22"/>
  <c r="BA52" i="9"/>
  <c r="T122" i="22"/>
  <c r="R120" i="22"/>
  <c r="Q119" i="22"/>
  <c r="P119" i="22"/>
  <c r="O118" i="22"/>
  <c r="N118" i="22"/>
  <c r="AH70" i="9"/>
  <c r="AH52" i="9"/>
  <c r="M117" i="22"/>
  <c r="L117" i="22"/>
  <c r="J152" i="22"/>
  <c r="I151" i="22"/>
  <c r="G149" i="22"/>
  <c r="F148" i="22"/>
  <c r="E147" i="22"/>
  <c r="C145" i="22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V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K98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FF130" i="9"/>
  <c r="FF131" i="9" s="1"/>
  <c r="EF133" i="9"/>
  <c r="EF131" i="9"/>
  <c r="EF130" i="9"/>
  <c r="EF159" i="9"/>
  <c r="EQ240" i="9"/>
  <c r="CP256" i="9"/>
  <c r="CP254" i="9"/>
  <c r="CP241" i="9"/>
  <c r="CP225" i="9"/>
  <c r="CP224" i="9"/>
  <c r="CP210" i="9"/>
  <c r="CP211" i="9" s="1"/>
  <c r="BU216" i="9"/>
  <c r="BU215" i="9"/>
  <c r="BU210" i="9"/>
  <c r="BU232" i="9"/>
  <c r="AI233" i="9"/>
  <c r="AI232" i="9"/>
  <c r="AI216" i="9"/>
  <c r="AI214" i="9"/>
  <c r="AI210" i="9"/>
  <c r="AI148" i="9"/>
  <c r="AI147" i="9"/>
  <c r="BB210" i="9"/>
  <c r="O64" i="9"/>
  <c r="AP84" i="22" s="1"/>
  <c r="O145" i="9"/>
  <c r="AQ84" i="22" s="1"/>
  <c r="O210" i="9"/>
  <c r="O227" i="9"/>
  <c r="O241" i="9"/>
  <c r="O168" i="9"/>
  <c r="O77" i="9"/>
  <c r="O50" i="9"/>
  <c r="O48" i="9"/>
  <c r="O46" i="9"/>
  <c r="BT46" i="9"/>
  <c r="AH69" i="9"/>
  <c r="AH50" i="9"/>
  <c r="AH49" i="9"/>
  <c r="AH47" i="9"/>
  <c r="AH46" i="9"/>
  <c r="G21" i="3"/>
  <c r="G38" i="3"/>
  <c r="G37" i="3"/>
  <c r="G35" i="3"/>
  <c r="G34" i="3"/>
  <c r="G33" i="3"/>
  <c r="G31" i="3"/>
  <c r="G29" i="3"/>
  <c r="AI131" i="9" s="1"/>
  <c r="AI132" i="9" s="1"/>
  <c r="G28" i="3"/>
  <c r="BT61" i="9" s="1"/>
  <c r="G27" i="3"/>
  <c r="AH48" i="9" s="1"/>
  <c r="G26" i="3"/>
  <c r="BU214" i="9" s="1"/>
  <c r="G25" i="3"/>
  <c r="BU213" i="9" s="1"/>
  <c r="G24" i="3"/>
  <c r="BU211" i="9" s="1"/>
  <c r="G23" i="3"/>
  <c r="G22" i="3"/>
  <c r="BT62" i="9" s="1"/>
  <c r="G20" i="3"/>
  <c r="CP142" i="9" s="1"/>
  <c r="G19" i="3"/>
  <c r="EF145" i="9" s="1"/>
  <c r="G15" i="3"/>
  <c r="G14" i="3"/>
  <c r="O47" i="9" s="1"/>
  <c r="G13" i="3"/>
  <c r="G11" i="3"/>
  <c r="G10" i="3"/>
  <c r="AI215" i="9" s="1"/>
  <c r="G9" i="3"/>
  <c r="G39" i="3"/>
  <c r="G7" i="3"/>
  <c r="FF108" i="9" s="1"/>
  <c r="FF109" i="9" s="1"/>
  <c r="G6" i="3"/>
  <c r="G5" i="3"/>
  <c r="CP144" i="9" s="1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CQ145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Y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Q130" i="9"/>
  <c r="M12" i="13" s="1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J282" i="11"/>
  <c r="G265" i="11"/>
  <c r="J266" i="11"/>
  <c r="M248" i="11"/>
  <c r="M247" i="11"/>
  <c r="W6" i="3"/>
  <c r="O21" i="21" s="1"/>
  <c r="M223" i="11"/>
  <c r="E40" i="3"/>
  <c r="BK260" i="9"/>
  <c r="BL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R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H150" i="22" l="1"/>
  <c r="O49" i="9"/>
  <c r="O52" i="9" s="1"/>
  <c r="AH51" i="9"/>
  <c r="BB131" i="9"/>
  <c r="BB132" i="9" s="1"/>
  <c r="CP118" i="9"/>
  <c r="CP119" i="9" s="1"/>
  <c r="O51" i="9"/>
  <c r="AH68" i="9"/>
  <c r="BB211" i="9"/>
  <c r="BU131" i="9"/>
  <c r="BU132" i="9" s="1"/>
  <c r="BA46" i="9"/>
  <c r="O131" i="9"/>
  <c r="O132" i="9" s="1"/>
  <c r="BB213" i="9"/>
  <c r="BU145" i="9"/>
  <c r="BA47" i="9"/>
  <c r="BB214" i="9"/>
  <c r="CP146" i="9"/>
  <c r="FF146" i="9"/>
  <c r="BA48" i="9"/>
  <c r="BB215" i="9"/>
  <c r="DJ240" i="9"/>
  <c r="FF147" i="9"/>
  <c r="BA49" i="9"/>
  <c r="BB216" i="9"/>
  <c r="BA50" i="9"/>
  <c r="BU247" i="9"/>
  <c r="CP221" i="9"/>
  <c r="BA51" i="9"/>
  <c r="O211" i="9"/>
  <c r="CP223" i="9"/>
  <c r="BT47" i="9"/>
  <c r="G17" i="3"/>
  <c r="BT59" i="9"/>
  <c r="O213" i="9"/>
  <c r="BT60" i="9"/>
  <c r="O214" i="9"/>
  <c r="AI211" i="9"/>
  <c r="CP226" i="9"/>
  <c r="O215" i="9"/>
  <c r="O216" i="9"/>
  <c r="AI213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2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ER238" i="9"/>
  <c r="ED156" i="9"/>
  <c r="J111" i="11"/>
  <c r="E155" i="11"/>
  <c r="O154" i="11"/>
  <c r="H37" i="8"/>
  <c r="FD146" i="9"/>
  <c r="D40" i="3"/>
  <c r="BV232" i="9"/>
  <c r="D41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O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O240" i="9"/>
  <c r="AB79" i="11"/>
  <c r="DK240" i="9"/>
  <c r="BS232" i="9"/>
  <c r="ER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D146" i="22" l="1"/>
  <c r="AQ80" i="22"/>
  <c r="AY99" i="22"/>
  <c r="W124" i="22"/>
  <c r="S121" i="22"/>
  <c r="AW95" i="22"/>
  <c r="K5" i="21"/>
  <c r="U5" i="21" s="1"/>
  <c r="G18" i="3"/>
  <c r="BU212" i="9"/>
  <c r="BU217" i="9" s="1"/>
  <c r="AI212" i="9"/>
  <c r="AI217" i="9" s="1"/>
  <c r="O212" i="9"/>
  <c r="O217" i="9" s="1"/>
  <c r="CP222" i="9"/>
  <c r="CP227" i="9" s="1"/>
  <c r="BB212" i="9"/>
  <c r="BB217" i="9" s="1"/>
  <c r="CP130" i="9"/>
  <c r="CP131" i="9" s="1"/>
  <c r="EF132" i="9"/>
  <c r="EF134" i="9" s="1"/>
  <c r="CP237" i="9"/>
  <c r="EF156" i="9"/>
  <c r="BU229" i="9"/>
  <c r="EQ237" i="9"/>
  <c r="CP145" i="9"/>
  <c r="DJ237" i="9"/>
  <c r="CN143" i="9"/>
  <c r="CN147" i="9" s="1"/>
  <c r="G8" i="3"/>
  <c r="E254" i="11"/>
  <c r="F254" i="11" s="1"/>
  <c r="G40" i="3"/>
  <c r="O155" i="9" s="1"/>
  <c r="O156" i="9" s="1"/>
  <c r="EF144" i="9"/>
  <c r="EF146" i="9" s="1"/>
  <c r="EF158" i="9"/>
  <c r="BU231" i="9"/>
  <c r="EQ239" i="9"/>
  <c r="O240" i="9"/>
  <c r="O242" i="9" s="1"/>
  <c r="BU246" i="9"/>
  <c r="BU248" i="9" s="1"/>
  <c r="O167" i="9"/>
  <c r="O169" i="9" s="1"/>
  <c r="DJ239" i="9"/>
  <c r="BU144" i="9"/>
  <c r="BU146" i="9" s="1"/>
  <c r="O76" i="9"/>
  <c r="O78" i="9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O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O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P240" i="9" l="1"/>
  <c r="AI146" i="9"/>
  <c r="AI149" i="9" s="1"/>
  <c r="FF145" i="9"/>
  <c r="FF148" i="9" s="1"/>
  <c r="CP143" i="9"/>
  <c r="CP147" i="9" s="1"/>
  <c r="CP255" i="9"/>
  <c r="CP257" i="9" s="1"/>
  <c r="AH67" i="9"/>
  <c r="AI231" i="9"/>
  <c r="AI234" i="9" s="1"/>
  <c r="G254" i="11"/>
  <c r="H254" i="11" s="1"/>
  <c r="P155" i="9" s="1"/>
  <c r="CP243" i="9"/>
  <c r="BN20" i="8"/>
  <c r="EF157" i="9"/>
  <c r="EF160" i="9" s="1"/>
  <c r="BU230" i="9"/>
  <c r="BU233" i="9" s="1"/>
  <c r="EQ238" i="9"/>
  <c r="EQ241" i="9" s="1"/>
  <c r="BU258" i="9"/>
  <c r="BU259" i="9" s="1"/>
  <c r="BU156" i="9"/>
  <c r="BU157" i="9" s="1"/>
  <c r="DJ238" i="9"/>
  <c r="DJ241" i="9" s="1"/>
  <c r="EF118" i="9"/>
  <c r="EF119" i="9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3" i="15"/>
  <c r="V132" i="15" s="1"/>
  <c r="BJ98" i="15"/>
  <c r="D62" i="11"/>
  <c r="E6" i="13"/>
  <c r="E8" i="13" s="1"/>
  <c r="BK87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AF47" i="9"/>
  <c r="AF46" i="9"/>
  <c r="J11" i="21" l="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ER239" i="9"/>
  <c r="ER241" i="9" s="1"/>
  <c r="E31" i="3"/>
  <c r="E34" i="3"/>
  <c r="E37" i="3"/>
  <c r="E39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J130" i="15"/>
  <c r="AJ132" i="15" s="1"/>
  <c r="BJ112" i="15"/>
  <c r="BK112" i="15" s="1"/>
  <c r="AH130" i="15"/>
  <c r="AH132" i="15" s="1"/>
  <c r="BI110" i="15"/>
  <c r="BK110" i="15" s="1"/>
  <c r="FC108" i="9"/>
  <c r="FC130" i="9"/>
  <c r="BK105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EB132" i="9"/>
  <c r="Y126" i="15"/>
  <c r="L50" i="9"/>
  <c r="L49" i="9"/>
  <c r="L51" i="9"/>
  <c r="L48" i="9"/>
  <c r="U42" i="9"/>
  <c r="K131" i="9"/>
  <c r="N131" i="9" s="1"/>
  <c r="M19" i="11"/>
  <c r="BN35" i="9"/>
  <c r="AY91" i="20" s="1"/>
  <c r="AY48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E209" i="22" s="1"/>
  <c r="BB58" i="22"/>
  <c r="BD97" i="22"/>
  <c r="G181" i="22" s="1"/>
  <c r="AV55" i="22"/>
  <c r="AV114" i="22"/>
  <c r="C209" i="22" s="1"/>
  <c r="BD94" i="22"/>
  <c r="G178" i="22" s="1"/>
  <c r="R132" i="22"/>
  <c r="AK120" i="22"/>
  <c r="E206" i="22" s="1"/>
  <c r="BB62" i="22"/>
  <c r="BD101" i="22"/>
  <c r="G185" i="22" s="1"/>
  <c r="Y132" i="22"/>
  <c r="C145" i="15"/>
  <c r="C155" i="15" s="1"/>
  <c r="C163" i="15" s="1"/>
  <c r="AK123" i="15"/>
  <c r="E20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2" i="15"/>
  <c r="K132" i="9"/>
  <c r="U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U28" i="9"/>
  <c r="AV91" i="20" s="1"/>
  <c r="AV48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E105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G209" i="22" l="1"/>
  <c r="D146" i="15"/>
  <c r="D155" i="15" s="1"/>
  <c r="C164" i="15" s="1"/>
  <c r="D155" i="22"/>
  <c r="C164" i="22" s="1"/>
  <c r="L132" i="22"/>
  <c r="BD88" i="22"/>
  <c r="G172" i="22" s="1"/>
  <c r="AS114" i="22"/>
  <c r="C206" i="22" s="1"/>
  <c r="G206" i="22" s="1"/>
  <c r="AS49" i="22"/>
  <c r="AP40" i="22"/>
  <c r="BD79" i="22"/>
  <c r="G163" i="22" s="1"/>
  <c r="BE62" i="20"/>
  <c r="BG105" i="20"/>
  <c r="J189" i="20" s="1"/>
  <c r="Q130" i="9"/>
  <c r="R130" i="9" s="1"/>
  <c r="S130" i="9" s="1"/>
  <c r="T130" i="9" s="1"/>
  <c r="U130" i="9" s="1"/>
  <c r="Q115" i="9" s="1"/>
  <c r="AQ80" i="15"/>
  <c r="AQ41" i="15" s="1"/>
  <c r="Y127" i="20"/>
  <c r="Y136" i="20" s="1"/>
  <c r="BI46" i="9"/>
  <c r="N6" i="13" s="1"/>
  <c r="BM102" i="20"/>
  <c r="BN102" i="20" s="1"/>
  <c r="K63" i="9"/>
  <c r="L63" i="9" s="1"/>
  <c r="F7" i="17"/>
  <c r="G7" i="17" s="1"/>
  <c r="I7" i="17" s="1"/>
  <c r="AT46" i="9"/>
  <c r="F7" i="14" s="1"/>
  <c r="BM46" i="9"/>
  <c r="G7" i="14" s="1"/>
  <c r="BM116" i="20"/>
  <c r="BN116" i="20" s="1"/>
  <c r="AM134" i="20"/>
  <c r="AM136" i="20" s="1"/>
  <c r="AB130" i="20"/>
  <c r="AB136" i="20" s="1"/>
  <c r="BD88" i="15"/>
  <c r="AS114" i="15"/>
  <c r="C206" i="15" s="1"/>
  <c r="BD79" i="15"/>
  <c r="G163" i="15" s="1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S83" i="20"/>
  <c r="AS40" i="20" s="1"/>
  <c r="H7" i="17"/>
  <c r="F149" i="20"/>
  <c r="F159" i="20" s="1"/>
  <c r="F167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Y98" i="20" s="1"/>
  <c r="CA48" i="9"/>
  <c r="CA42" i="9" s="1"/>
  <c r="CL211" i="9"/>
  <c r="CV206" i="9" s="1"/>
  <c r="BG83" i="20" l="1"/>
  <c r="J167" i="20" s="1"/>
  <c r="AY55" i="20"/>
  <c r="BG98" i="20"/>
  <c r="AT48" i="9"/>
  <c r="F9" i="14" s="1"/>
  <c r="AV92" i="20"/>
  <c r="X127" i="20"/>
  <c r="BE101" i="20"/>
  <c r="BG101" i="20" s="1"/>
  <c r="BM47" i="9"/>
  <c r="G8" i="14" s="1"/>
  <c r="U124" i="20"/>
  <c r="BJ46" i="9"/>
  <c r="AT47" i="9"/>
  <c r="F8" i="14" s="1"/>
  <c r="O121" i="20"/>
  <c r="O136" i="20" s="1"/>
  <c r="AQ46" i="9"/>
  <c r="BM48" i="9"/>
  <c r="G9" i="14" s="1"/>
  <c r="AK134" i="20"/>
  <c r="AK136" i="20" s="1"/>
  <c r="BL114" i="20"/>
  <c r="BN114" i="20" s="1"/>
  <c r="AB127" i="15"/>
  <c r="AB132" i="15" s="1"/>
  <c r="BB104" i="15"/>
  <c r="BB65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O237" i="9" s="1"/>
  <c r="CL242" i="9"/>
  <c r="CL238" i="9"/>
  <c r="CO238" i="9" s="1"/>
  <c r="CL241" i="9"/>
  <c r="CO241" i="9" s="1"/>
  <c r="BL44" i="8"/>
  <c r="CM210" i="9"/>
  <c r="CO211" i="9"/>
  <c r="DA229" i="9" l="1"/>
  <c r="DB229" i="9" s="1"/>
  <c r="DD229" i="9" s="1"/>
  <c r="BD91" i="20" s="1"/>
  <c r="BD48" i="20" s="1"/>
  <c r="AC132" i="22"/>
  <c r="AP45" i="22"/>
  <c r="AB132" i="22"/>
  <c r="BB65" i="22"/>
  <c r="BD104" i="22"/>
  <c r="G188" i="22" s="1"/>
  <c r="BB114" i="22"/>
  <c r="C215" i="22" s="1"/>
  <c r="AT84" i="20"/>
  <c r="N76" i="9"/>
  <c r="N77" i="9" s="1"/>
  <c r="AG68" i="9"/>
  <c r="Z62" i="9" s="1"/>
  <c r="AG67" i="9"/>
  <c r="AT41" i="20"/>
  <c r="BG84" i="20"/>
  <c r="J168" i="20" s="1"/>
  <c r="AV49" i="20"/>
  <c r="BG92" i="20"/>
  <c r="J176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5" i="20"/>
  <c r="BE58" i="20"/>
  <c r="Q116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N64" i="9"/>
  <c r="Q63" i="9" s="1"/>
  <c r="R63" i="9" s="1"/>
  <c r="S63" i="9" s="1"/>
  <c r="G178" i="15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D105" i="22" l="1"/>
  <c r="G189" i="22" s="1"/>
  <c r="BA114" i="22"/>
  <c r="C214" i="22" s="1"/>
  <c r="BA66" i="22"/>
  <c r="S81" i="11"/>
  <c r="S80" i="11" s="1"/>
  <c r="CZ246" i="9"/>
  <c r="DA249" i="9"/>
  <c r="DB249" i="9" s="1"/>
  <c r="DX244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J213" i="20"/>
  <c r="J210" i="20"/>
  <c r="BD105" i="15"/>
  <c r="G189" i="15" s="1"/>
  <c r="BA114" i="15"/>
  <c r="C214" i="15" s="1"/>
  <c r="AD67" i="9"/>
  <c r="AD68" i="9"/>
  <c r="K76" i="9"/>
  <c r="CO243" i="9"/>
  <c r="G175" i="15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E108" i="20" s="1"/>
  <c r="AP43" i="22" l="1"/>
  <c r="AP114" i="22"/>
  <c r="C203" i="22" s="1"/>
  <c r="E155" i="22"/>
  <c r="C165" i="22" s="1"/>
  <c r="BE65" i="20"/>
  <c r="BG108" i="20"/>
  <c r="DA248" i="9"/>
  <c r="DB248" i="9" s="1"/>
  <c r="DX243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1" i="20"/>
  <c r="AE136" i="20" s="1"/>
  <c r="CR243" i="9"/>
  <c r="AP82" i="15"/>
  <c r="AP43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DX241" i="9" s="1"/>
  <c r="CW239" i="9"/>
  <c r="CW243" i="9" s="1"/>
  <c r="CW233" i="9" s="1"/>
  <c r="E147" i="15"/>
  <c r="E155" i="15" s="1"/>
  <c r="C165" i="15" s="1"/>
  <c r="AR81" i="15"/>
  <c r="AR42" i="15" s="1"/>
  <c r="CO223" i="9"/>
  <c r="CF224" i="9" s="1"/>
  <c r="BA213" i="9"/>
  <c r="BD81" i="22" l="1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Q258" i="9"/>
  <c r="F14" i="17" s="1"/>
  <c r="H14" i="17" s="1"/>
  <c r="X125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G177" i="15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E211" i="22" s="1"/>
  <c r="X132" i="22"/>
  <c r="AT221" i="9"/>
  <c r="H8" i="17"/>
  <c r="BD66" i="20"/>
  <c r="BG109" i="20"/>
  <c r="J193" i="20" s="1"/>
  <c r="AT219" i="9"/>
  <c r="AR137" i="9"/>
  <c r="Z138" i="9"/>
  <c r="AA138" i="9" s="1"/>
  <c r="BM221" i="9"/>
  <c r="DF237" i="9"/>
  <c r="DI237" i="9" s="1"/>
  <c r="N240" i="9"/>
  <c r="AH233" i="9"/>
  <c r="N241" i="9" s="1"/>
  <c r="BD100" i="15"/>
  <c r="G184" i="15" s="1"/>
  <c r="AZ61" i="15"/>
  <c r="AC195" i="9"/>
  <c r="AU91" i="20" s="1"/>
  <c r="G14" i="17"/>
  <c r="I14" i="17" s="1"/>
  <c r="BD118" i="20"/>
  <c r="F218" i="20" s="1"/>
  <c r="X132" i="15"/>
  <c r="AK125" i="15"/>
  <c r="E211" i="15" s="1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AU48" i="20"/>
  <c r="DA247" i="9"/>
  <c r="DB247" i="9" s="1"/>
  <c r="DX242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J89" i="15"/>
  <c r="E8" i="12"/>
  <c r="M117" i="15"/>
  <c r="AK117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G186" i="15"/>
  <c r="DG237" i="9"/>
  <c r="EB160" i="9"/>
  <c r="DP233" i="9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DW107" i="9" l="1"/>
  <c r="EB105" i="9" s="1"/>
  <c r="AK128" i="22"/>
  <c r="E214" i="22" s="1"/>
  <c r="G214" i="22" s="1"/>
  <c r="AF132" i="22"/>
  <c r="M132" i="22"/>
  <c r="AK117" i="22"/>
  <c r="E203" i="22" s="1"/>
  <c r="G203" i="22" s="1"/>
  <c r="AZ83" i="15"/>
  <c r="AZ44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C87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W91" i="20" s="1"/>
  <c r="W46" i="9"/>
  <c r="L6" i="13" s="1"/>
  <c r="P121" i="20"/>
  <c r="AN121" i="20" s="1"/>
  <c r="H207" i="20" s="1"/>
  <c r="BM93" i="20"/>
  <c r="BN93" i="20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U222" i="9" s="1"/>
  <c r="C222" i="11"/>
  <c r="EB106" i="9"/>
  <c r="L155" i="9"/>
  <c r="K156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DY107" i="9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AZ91" i="20" s="1"/>
  <c r="AZ48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BD90" i="22" l="1"/>
  <c r="G174" i="22" s="1"/>
  <c r="AT51" i="22"/>
  <c r="AT114" i="22"/>
  <c r="C207" i="22" s="1"/>
  <c r="N132" i="22"/>
  <c r="AW114" i="22"/>
  <c r="C210" i="22" s="1"/>
  <c r="BD95" i="22"/>
  <c r="G179" i="22" s="1"/>
  <c r="AW56" i="22"/>
  <c r="S132" i="22"/>
  <c r="AK121" i="22"/>
  <c r="E207" i="22" s="1"/>
  <c r="AK129" i="22"/>
  <c r="E215" i="22" s="1"/>
  <c r="G215" i="22" s="1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EU117" i="9"/>
  <c r="BF91" i="20" s="1"/>
  <c r="BF48" i="20" s="1"/>
  <c r="AK131" i="9"/>
  <c r="AL131" i="9" s="1"/>
  <c r="AM131" i="9" s="1"/>
  <c r="AN131" i="9" s="1"/>
  <c r="AO131" i="9" s="1"/>
  <c r="AP131" i="9" s="1"/>
  <c r="AW48" i="20"/>
  <c r="BC44" i="20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BM138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36" i="20"/>
  <c r="N227" i="9"/>
  <c r="Q226" i="9" s="1"/>
  <c r="R226" i="9" s="1"/>
  <c r="S226" i="9" s="1"/>
  <c r="AH232" i="9"/>
  <c r="Z234" i="9" s="1"/>
  <c r="AH231" i="9"/>
  <c r="Y234" i="9"/>
  <c r="Y233" i="9"/>
  <c r="BD109" i="15"/>
  <c r="G193" i="15" s="1"/>
  <c r="BC70" i="15"/>
  <c r="AU130" i="9"/>
  <c r="F16" i="14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G172" i="15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BH132" i="9" l="1"/>
  <c r="BD132" i="9"/>
  <c r="I155" i="22"/>
  <c r="C169" i="22" s="1"/>
  <c r="BC44" i="22"/>
  <c r="J155" i="22"/>
  <c r="C170" i="22" s="1"/>
  <c r="G207" i="22"/>
  <c r="H17" i="17"/>
  <c r="AK132" i="9"/>
  <c r="AO132" i="9"/>
  <c r="K281" i="11"/>
  <c r="I281" i="11" s="1"/>
  <c r="C291" i="11"/>
  <c r="Z233" i="9"/>
  <c r="AA233" i="9" s="1"/>
  <c r="AA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CZ237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W94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H155" i="22" l="1"/>
  <c r="C168" i="22" s="1"/>
  <c r="BC47" i="22"/>
  <c r="BD86" i="22"/>
  <c r="G170" i="22" s="1"/>
  <c r="AQ46" i="22"/>
  <c r="BD85" i="22"/>
  <c r="G169" i="22" s="1"/>
  <c r="W132" i="22"/>
  <c r="AK124" i="22"/>
  <c r="E210" i="22" s="1"/>
  <c r="G210" i="22" s="1"/>
  <c r="BD99" i="22"/>
  <c r="G183" i="22" s="1"/>
  <c r="AY60" i="22"/>
  <c r="E287" i="11"/>
  <c r="G287" i="11" s="1"/>
  <c r="H287" i="11" s="1"/>
  <c r="E281" i="11"/>
  <c r="G281" i="11" s="1"/>
  <c r="W132" i="15"/>
  <c r="AW51" i="20"/>
  <c r="BG94" i="20"/>
  <c r="Y142" i="9"/>
  <c r="Y139" i="9"/>
  <c r="AZ99" i="20"/>
  <c r="CF141" i="9"/>
  <c r="CG141" i="9" s="1"/>
  <c r="BD86" i="15"/>
  <c r="BC47" i="15"/>
  <c r="BD99" i="15"/>
  <c r="G183" i="15" s="1"/>
  <c r="AY60" i="15"/>
  <c r="BD85" i="15"/>
  <c r="G169" i="15" s="1"/>
  <c r="CB130" i="9"/>
  <c r="BN132" i="9" s="1"/>
  <c r="BN130" i="9"/>
  <c r="V125" i="20"/>
  <c r="AU131" i="9"/>
  <c r="F17" i="14" s="1"/>
  <c r="DC238" i="9"/>
  <c r="AI132" i="20"/>
  <c r="AR130" i="9"/>
  <c r="Q122" i="20"/>
  <c r="Q136" i="20" s="1"/>
  <c r="AU132" i="9"/>
  <c r="F18" i="14" s="1"/>
  <c r="AH147" i="9"/>
  <c r="Z142" i="9" s="1"/>
  <c r="AH146" i="9"/>
  <c r="AQ84" i="15"/>
  <c r="AQ45" i="15" s="1"/>
  <c r="H150" i="15"/>
  <c r="H155" i="15" s="1"/>
  <c r="C168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D80" i="15"/>
  <c r="G164" i="15" s="1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AZ56" i="20"/>
  <c r="BG99" i="20"/>
  <c r="J183" i="20" s="1"/>
  <c r="Z139" i="9"/>
  <c r="AA139" i="9" s="1"/>
  <c r="Z141" i="9"/>
  <c r="AA141" i="9" s="1"/>
  <c r="AA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K100" i="15"/>
  <c r="F13" i="13"/>
  <c r="BK89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B103" i="20"/>
  <c r="BK130" i="9"/>
  <c r="J197" i="20"/>
  <c r="BF70" i="20"/>
  <c r="J173" i="20"/>
  <c r="AT46" i="20"/>
  <c r="J174" i="20"/>
  <c r="BF47" i="20"/>
  <c r="BN131" i="9"/>
  <c r="G17" i="14" s="1"/>
  <c r="Z128" i="20"/>
  <c r="J211" i="20"/>
  <c r="AN133" i="20"/>
  <c r="H219" i="20" s="1"/>
  <c r="J219" i="20" s="1"/>
  <c r="AJ136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C205" i="22" s="1"/>
  <c r="AQ43" i="22"/>
  <c r="AQ114" i="22"/>
  <c r="C204" i="22" s="1"/>
  <c r="M230" i="1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R114" i="15"/>
  <c r="C205" i="15" s="1"/>
  <c r="AR43" i="15"/>
  <c r="L169" i="9"/>
  <c r="V168" i="9"/>
  <c r="V169" i="9" s="1"/>
  <c r="V163" i="9" s="1"/>
  <c r="AQ114" i="15"/>
  <c r="C204" i="15" s="1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U88" i="20" s="1"/>
  <c r="AU45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T86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S88" i="20"/>
  <c r="AS45" i="20" s="1"/>
  <c r="AA46" i="9"/>
  <c r="Q29" i="9"/>
  <c r="Q28" i="9"/>
  <c r="K154" i="20"/>
  <c r="K159" i="20" s="1"/>
  <c r="F172" i="20" s="1"/>
  <c r="F24" i="17"/>
  <c r="G24" i="17" s="1"/>
  <c r="AT88" i="20"/>
  <c r="AT118" i="20" s="1"/>
  <c r="F208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AT43" i="20"/>
  <c r="O118" i="15"/>
  <c r="O132" i="15" s="1"/>
  <c r="Y130" i="9"/>
  <c r="E17" i="12" s="1"/>
  <c r="BJ91" i="15"/>
  <c r="AO149" i="9"/>
  <c r="AP146" i="9"/>
  <c r="AP149" i="9" s="1"/>
  <c r="AP142" i="9" s="1"/>
  <c r="AF149" i="9"/>
  <c r="BA211" i="9"/>
  <c r="CO225" i="9"/>
  <c r="CF226" i="9" s="1"/>
  <c r="CG226" i="9" s="1"/>
  <c r="AY82" i="15" l="1"/>
  <c r="AY43" i="15" s="1"/>
  <c r="O132" i="22"/>
  <c r="AK118" i="22"/>
  <c r="E204" i="22" s="1"/>
  <c r="G204" i="22" s="1"/>
  <c r="E16" i="12"/>
  <c r="BG88" i="20"/>
  <c r="J172" i="20" s="1"/>
  <c r="AT45" i="20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2" i="20"/>
  <c r="AN122" i="20" s="1"/>
  <c r="H208" i="20" s="1"/>
  <c r="J208" i="20" s="1"/>
  <c r="W130" i="9"/>
  <c r="L12" i="13" s="1"/>
  <c r="BM95" i="20"/>
  <c r="BN95" i="20" s="1"/>
  <c r="AA131" i="9"/>
  <c r="X130" i="9"/>
  <c r="AK118" i="15"/>
  <c r="E204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36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27" i="15"/>
  <c r="AD132" i="15" s="1"/>
  <c r="BJ106" i="15"/>
  <c r="BK106" i="15" s="1"/>
  <c r="E17" i="14"/>
  <c r="E15" i="12"/>
  <c r="BK97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BB86" i="20"/>
  <c r="BB43" i="20" s="1"/>
  <c r="CR227" i="9"/>
  <c r="CV227" i="9"/>
  <c r="CW227" i="9"/>
  <c r="CW217" i="9" s="1"/>
  <c r="AX217" i="9"/>
  <c r="BA212" i="9"/>
  <c r="AS223" i="9" l="1"/>
  <c r="AT223" i="9" s="1"/>
  <c r="BK223" i="9"/>
  <c r="BM223" i="9" s="1"/>
  <c r="AS220" i="9"/>
  <c r="BK220" i="9"/>
  <c r="BM220" i="9" s="1"/>
  <c r="AG131" i="20"/>
  <c r="AG136" i="20" s="1"/>
  <c r="BM110" i="20"/>
  <c r="BN110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2" i="15"/>
  <c r="T132" i="15" s="1"/>
  <c r="AX96" i="15"/>
  <c r="AX57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C211" i="22" s="1"/>
  <c r="G211" i="22" s="1"/>
  <c r="BD96" i="22"/>
  <c r="G180" i="22" s="1"/>
  <c r="AX57" i="22"/>
  <c r="T132" i="22"/>
  <c r="AK122" i="22"/>
  <c r="E208" i="22" s="1"/>
  <c r="AK122" i="15"/>
  <c r="E208" i="15" s="1"/>
  <c r="BA91" i="20"/>
  <c r="BA48" i="20" s="1"/>
  <c r="AU190" i="9"/>
  <c r="AX91" i="20" s="1"/>
  <c r="F15" i="17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S210" i="9"/>
  <c r="Z210" i="9"/>
  <c r="G22" i="12"/>
  <c r="P132" i="22" l="1"/>
  <c r="BD92" i="22"/>
  <c r="G176" i="22" s="1"/>
  <c r="AU114" i="22"/>
  <c r="C208" i="22" s="1"/>
  <c r="G208" i="22" s="1"/>
  <c r="AU53" i="22"/>
  <c r="N157" i="20"/>
  <c r="N159" i="20" s="1"/>
  <c r="F175" i="20" s="1"/>
  <c r="F25" i="17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49" i="15"/>
  <c r="G155" i="15" s="1"/>
  <c r="C167" i="15" s="1"/>
  <c r="AY83" i="15"/>
  <c r="AY44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C212" i="22" s="1"/>
  <c r="N62" i="11"/>
  <c r="N59" i="11"/>
  <c r="E62" i="11"/>
  <c r="N63" i="11" s="1"/>
  <c r="L62" i="11"/>
  <c r="CB156" i="9"/>
  <c r="CB152" i="9" s="1"/>
  <c r="F26" i="17" s="1"/>
  <c r="G26" i="17" s="1"/>
  <c r="BD83" i="15"/>
  <c r="G167" i="15" s="1"/>
  <c r="AY114" i="15"/>
  <c r="C212" i="15" s="1"/>
  <c r="CB157" i="9"/>
  <c r="D51" i="11"/>
  <c r="BB87" i="20" l="1"/>
  <c r="J153" i="20"/>
  <c r="J159" i="20" s="1"/>
  <c r="F171" i="20" s="1"/>
  <c r="CG132" i="9"/>
  <c r="H18" i="14" s="1"/>
  <c r="F61" i="11"/>
  <c r="F60" i="11"/>
  <c r="O59" i="11" s="1"/>
  <c r="F59" i="11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19" i="15"/>
  <c r="AK119" i="15" s="1"/>
  <c r="E205" i="15" s="1"/>
  <c r="BJ93" i="15"/>
  <c r="BK93" i="15" s="1"/>
  <c r="AF234" i="9"/>
  <c r="BK101" i="15"/>
  <c r="Q132" i="22" l="1"/>
  <c r="AK119" i="22"/>
  <c r="E205" i="22" s="1"/>
  <c r="G205" i="22" s="1"/>
  <c r="Q132" i="15"/>
  <c r="CM146" i="9"/>
  <c r="CM142" i="9"/>
  <c r="CM145" i="9"/>
  <c r="CM144" i="9"/>
  <c r="CV138" i="9"/>
  <c r="BK103" i="22" l="1"/>
  <c r="CM147" i="9"/>
  <c r="AA126" i="15"/>
  <c r="BJ103" i="15"/>
  <c r="BK103" i="15" s="1"/>
  <c r="CE130" i="9"/>
  <c r="H17" i="12" s="1"/>
  <c r="AA132" i="22" l="1"/>
  <c r="AK126" i="22"/>
  <c r="E212" i="22" s="1"/>
  <c r="G212" i="22" s="1"/>
  <c r="AA132" i="15"/>
  <c r="AK126" i="15"/>
  <c r="E212" i="15" s="1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BZ210" i="9" s="1"/>
  <c r="CA210" i="9" s="1"/>
  <c r="CB210" i="9" s="1"/>
  <c r="C96" i="11"/>
  <c r="BC210" i="9" l="1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C104" i="20"/>
  <c r="AA129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C61" i="20"/>
  <c r="BG104" i="20"/>
  <c r="J188" i="20" s="1"/>
  <c r="AU210" i="9"/>
  <c r="F24" i="14" s="1"/>
  <c r="AN129" i="20"/>
  <c r="H215" i="20" s="1"/>
  <c r="AA136" i="20"/>
  <c r="V217" i="9"/>
  <c r="V206" i="9" s="1"/>
  <c r="AU85" i="20" s="1"/>
  <c r="Q195" i="9"/>
  <c r="BI217" i="9"/>
  <c r="BI206" i="9" s="1"/>
  <c r="BA100" i="20" s="1"/>
  <c r="AP210" i="9"/>
  <c r="AO217" i="9"/>
  <c r="F22" i="12" l="1"/>
  <c r="BA57" i="20"/>
  <c r="BG100" i="20"/>
  <c r="AU42" i="20"/>
  <c r="BG85" i="20"/>
  <c r="BK210" i="9"/>
  <c r="W126" i="20"/>
  <c r="BN212" i="9"/>
  <c r="BN211" i="9"/>
  <c r="H151" i="20"/>
  <c r="H159" i="20" s="1"/>
  <c r="F169" i="20" s="1"/>
  <c r="Q194" i="9"/>
  <c r="E24" i="14"/>
  <c r="E22" i="12"/>
  <c r="D24" i="14"/>
  <c r="D22" i="12"/>
  <c r="AP217" i="9"/>
  <c r="AP206" i="9" s="1"/>
  <c r="AX96" i="20" s="1"/>
  <c r="AX53" i="20" l="1"/>
  <c r="BG96" i="20"/>
  <c r="S123" i="20"/>
  <c r="AR210" i="9"/>
  <c r="AU212" i="9"/>
  <c r="J169" i="20"/>
  <c r="BA118" i="20"/>
  <c r="F215" i="20" s="1"/>
  <c r="J215" i="20" s="1"/>
  <c r="J184" i="20"/>
  <c r="AU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Q76" i="9"/>
  <c r="R76" i="9" s="1"/>
  <c r="S76" i="9" s="1"/>
  <c r="T76" i="9" s="1"/>
  <c r="U76" i="9" s="1"/>
  <c r="BK96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AA48" i="9"/>
  <c r="X46" i="9"/>
  <c r="AA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M237" i="9"/>
  <c r="AK98" i="11"/>
  <c r="C186" i="11"/>
  <c r="BQ229" i="9"/>
  <c r="BQ232" i="9" l="1"/>
  <c r="BT232" i="9" s="1"/>
  <c r="EM240" i="9"/>
  <c r="EP240" i="9" s="1"/>
  <c r="C189" i="11"/>
  <c r="F189" i="11" s="1"/>
  <c r="AK101" i="11"/>
  <c r="F186" i="11"/>
  <c r="F152" i="11"/>
  <c r="E203" i="11"/>
  <c r="EC156" i="9"/>
  <c r="EE156" i="9"/>
  <c r="EP237" i="9"/>
  <c r="BQ231" i="9"/>
  <c r="EM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DY244" i="9" l="1"/>
  <c r="DZ244" i="9" s="1"/>
  <c r="F188" i="11"/>
  <c r="EP239" i="9"/>
  <c r="BT231" i="9"/>
  <c r="EC158" i="9"/>
  <c r="EE158" i="9"/>
  <c r="C187" i="11"/>
  <c r="BQ230" i="9"/>
  <c r="EM238" i="9"/>
  <c r="AK99" i="11"/>
  <c r="F154" i="11"/>
  <c r="AC99" i="11"/>
  <c r="EB157" i="9"/>
  <c r="C153" i="11"/>
  <c r="DY243" i="9" l="1"/>
  <c r="DZ243" i="9" s="1"/>
  <c r="EE157" i="9"/>
  <c r="EC157" i="9"/>
  <c r="AK102" i="11"/>
  <c r="AC102" i="11"/>
  <c r="AD98" i="11" s="1"/>
  <c r="EP238" i="9"/>
  <c r="EM241" i="9"/>
  <c r="EW233" i="9" s="1"/>
  <c r="F153" i="11"/>
  <c r="C156" i="11"/>
  <c r="BT230" i="9"/>
  <c r="BQ233" i="9"/>
  <c r="F187" i="11"/>
  <c r="C190" i="11"/>
  <c r="D187" i="11" s="1"/>
  <c r="C203" i="11"/>
  <c r="C202" i="11" s="1"/>
  <c r="BI108" i="15" l="1"/>
  <c r="BK108" i="15" s="1"/>
  <c r="BK108" i="22"/>
  <c r="DY241" i="9"/>
  <c r="DZ241" i="9" s="1"/>
  <c r="DY242" i="9"/>
  <c r="DZ242" i="9" s="1"/>
  <c r="EQ143" i="9"/>
  <c r="EQ145" i="9"/>
  <c r="CE218" i="9"/>
  <c r="CE219" i="9"/>
  <c r="AL99" i="11"/>
  <c r="AL98" i="11"/>
  <c r="D189" i="11"/>
  <c r="D186" i="11"/>
  <c r="D188" i="11"/>
  <c r="CA225" i="9"/>
  <c r="BR232" i="9"/>
  <c r="EN240" i="9"/>
  <c r="BR229" i="9"/>
  <c r="EN237" i="9"/>
  <c r="EN239" i="9"/>
  <c r="BR231" i="9"/>
  <c r="BT233" i="9"/>
  <c r="ES238" i="9" s="1"/>
  <c r="ET238" i="9" s="1"/>
  <c r="EU238" i="9" s="1"/>
  <c r="EV238" i="9" s="1"/>
  <c r="EW238" i="9" s="1"/>
  <c r="EX238" i="9" s="1"/>
  <c r="EP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N238" i="9"/>
  <c r="G154" i="11"/>
  <c r="EE160" i="9"/>
  <c r="AZ108" i="15" l="1"/>
  <c r="C199" i="11"/>
  <c r="H199" i="11" s="1"/>
  <c r="H200" i="11" s="1"/>
  <c r="E199" i="11"/>
  <c r="J199" i="11" s="1"/>
  <c r="J200" i="11" s="1"/>
  <c r="BD108" i="15"/>
  <c r="G192" i="15" s="1"/>
  <c r="AZ69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S240" i="9"/>
  <c r="ET240" i="9" s="1"/>
  <c r="EU240" i="9" s="1"/>
  <c r="EV240" i="9" s="1"/>
  <c r="EW240" i="9" s="1"/>
  <c r="EX240" i="9" s="1"/>
  <c r="BW232" i="9"/>
  <c r="BX232" i="9" s="1"/>
  <c r="BY232" i="9" s="1"/>
  <c r="BZ232" i="9" s="1"/>
  <c r="CA232" i="9" s="1"/>
  <c r="CB232" i="9" s="1"/>
  <c r="BW229" i="9"/>
  <c r="ES237" i="9"/>
  <c r="ES239" i="9"/>
  <c r="ET239" i="9" s="1"/>
  <c r="EU239" i="9" s="1"/>
  <c r="EV239" i="9" s="1"/>
  <c r="EW239" i="9" s="1"/>
  <c r="EX239" i="9" s="1"/>
  <c r="BW231" i="9"/>
  <c r="BX231" i="9" s="1"/>
  <c r="BY231" i="9" s="1"/>
  <c r="BZ231" i="9" s="1"/>
  <c r="CA231" i="9" s="1"/>
  <c r="CB231" i="9" s="1"/>
  <c r="EN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ES241" i="9"/>
  <c r="ET237" i="9"/>
  <c r="EU237" i="9" s="1"/>
  <c r="EV237" i="9" s="1"/>
  <c r="EW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EW241" i="9"/>
  <c r="EX237" i="9"/>
  <c r="EX241" i="9" s="1"/>
  <c r="EX233" i="9" s="1"/>
  <c r="BL112" i="20" s="1"/>
  <c r="BN112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BQ247" i="9"/>
  <c r="C195" i="11"/>
  <c r="D192" i="11"/>
  <c r="BC112" i="20"/>
  <c r="D193" i="11"/>
  <c r="M188" i="11"/>
  <c r="Q188" i="11"/>
  <c r="Q189" i="11" s="1"/>
  <c r="P189" i="11"/>
  <c r="BF112" i="20"/>
  <c r="BF69" i="20" s="1"/>
  <c r="EB144" i="9"/>
  <c r="G160" i="11"/>
  <c r="G161" i="11" s="1"/>
  <c r="C160" i="11"/>
  <c r="C161" i="11" s="1"/>
  <c r="C163" i="11" s="1"/>
  <c r="P154" i="11"/>
  <c r="E172" i="11"/>
  <c r="CF219" i="9"/>
  <c r="CG219" i="9" s="1"/>
  <c r="BC69" i="20" l="1"/>
  <c r="BG112" i="20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J196" i="20"/>
  <c r="Q154" i="11"/>
  <c r="Q155" i="11" s="1"/>
  <c r="M154" i="11"/>
  <c r="P155" i="11"/>
  <c r="EE144" i="9"/>
  <c r="EQ144" i="9" s="1"/>
  <c r="ES144" i="9" s="1"/>
  <c r="AZ82" i="15" l="1"/>
  <c r="AZ43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AZ114" i="15"/>
  <c r="C213" i="15" s="1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C213" i="22" s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27" i="15"/>
  <c r="BJ107" i="15"/>
  <c r="BK107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48" i="15"/>
  <c r="F155" i="15" s="1"/>
  <c r="C166" i="15" s="1"/>
  <c r="BC82" i="15"/>
  <c r="BC43" i="15" s="1"/>
  <c r="BK111" i="22" l="1"/>
  <c r="I163" i="22" s="1" a="1"/>
  <c r="I163" i="22" s="1"/>
  <c r="BC114" i="22"/>
  <c r="C216" i="22" s="1"/>
  <c r="BC43" i="22"/>
  <c r="BD82" i="22"/>
  <c r="G166" i="22" s="1"/>
  <c r="AE132" i="22"/>
  <c r="AK127" i="22"/>
  <c r="E213" i="22" s="1"/>
  <c r="G213" i="22" s="1"/>
  <c r="AL231" i="9"/>
  <c r="AM231" i="9" s="1"/>
  <c r="AN231" i="9" s="1"/>
  <c r="AO231" i="9" s="1"/>
  <c r="AK234" i="9"/>
  <c r="BF86" i="20"/>
  <c r="ES133" i="9"/>
  <c r="AE132" i="15"/>
  <c r="AK127" i="15"/>
  <c r="E213" i="15" s="1"/>
  <c r="G213" i="15" s="1"/>
  <c r="CB248" i="9"/>
  <c r="CB242" i="9" s="1"/>
  <c r="BC114" i="15"/>
  <c r="C216" i="15" s="1"/>
  <c r="BD82" i="15"/>
  <c r="G166" i="15" s="1"/>
  <c r="CS256" i="9"/>
  <c r="CT256" i="9" s="1"/>
  <c r="CU256" i="9" s="1"/>
  <c r="CV256" i="9" s="1"/>
  <c r="CW256" i="9" s="1"/>
  <c r="CS254" i="9"/>
  <c r="CT254" i="9" s="1"/>
  <c r="CU254" i="9" s="1"/>
  <c r="CV254" i="9" s="1"/>
  <c r="AI130" i="15"/>
  <c r="EQ131" i="9"/>
  <c r="E34" i="12" s="1"/>
  <c r="BJ111" i="15"/>
  <c r="BK111" i="15" s="1"/>
  <c r="I163" i="15" s="1" a="1"/>
  <c r="I163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E216" i="22" s="1"/>
  <c r="G216" i="22" s="1"/>
  <c r="AP231" i="9"/>
  <c r="AP234" i="9" s="1"/>
  <c r="AP227" i="9" s="1"/>
  <c r="Y210" i="9" s="1"/>
  <c r="AO234" i="9"/>
  <c r="BF118" i="20"/>
  <c r="F220" i="20" s="1"/>
  <c r="BF43" i="20"/>
  <c r="CW254" i="9"/>
  <c r="CW257" i="9" s="1"/>
  <c r="CW250" i="9" s="1"/>
  <c r="CV257" i="9"/>
  <c r="I152" i="20"/>
  <c r="I159" i="20" s="1"/>
  <c r="F170" i="20" s="1"/>
  <c r="AB212" i="9"/>
  <c r="AB211" i="9"/>
  <c r="AU86" i="20"/>
  <c r="E33" i="12"/>
  <c r="E35" i="14"/>
  <c r="AK130" i="15"/>
  <c r="E216" i="15" s="1"/>
  <c r="G216" i="15" s="1"/>
  <c r="AI132" i="15"/>
  <c r="E163" i="15" s="1" a="1"/>
  <c r="BC86" i="20"/>
  <c r="CH212" i="9"/>
  <c r="FI145" i="9"/>
  <c r="FJ145" i="9" s="1"/>
  <c r="FK145" i="9" s="1"/>
  <c r="FL145" i="9" s="1"/>
  <c r="FH148" i="9"/>
  <c r="E163" i="22" l="1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G86" i="20"/>
  <c r="J170" i="20" s="1"/>
  <c r="CE210" i="9"/>
  <c r="CH211" i="9"/>
  <c r="X210" i="9"/>
  <c r="L17" i="13" s="1"/>
  <c r="BM97" i="20"/>
  <c r="BN97" i="20" s="1"/>
  <c r="T123" i="20"/>
  <c r="BC118" i="20"/>
  <c r="F217" i="20" s="1"/>
  <c r="BC43" i="20"/>
  <c r="AU118" i="20"/>
  <c r="F209" i="20" s="1"/>
  <c r="AU43" i="20"/>
  <c r="FL148" i="9"/>
  <c r="FM145" i="9"/>
  <c r="FM148" i="9" s="1"/>
  <c r="FM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AH131" i="20"/>
  <c r="CD210" i="9"/>
  <c r="N17" i="13" s="1"/>
  <c r="BM111" i="20"/>
  <c r="BN111" i="20" s="1"/>
  <c r="K197" i="22" l="1"/>
  <c r="T136" i="20"/>
  <c r="AN123" i="20"/>
  <c r="H209" i="20" s="1"/>
  <c r="J209" i="20" s="1"/>
  <c r="G23" i="12"/>
  <c r="G25" i="14"/>
  <c r="AN131" i="20"/>
  <c r="H217" i="20" s="1"/>
  <c r="J217" i="20" s="1"/>
  <c r="AH136" i="20"/>
  <c r="K197" i="15"/>
  <c r="ES132" i="9"/>
  <c r="BM115" i="20"/>
  <c r="BN115" i="20" s="1"/>
  <c r="AL134" i="20"/>
  <c r="EO131" i="9"/>
  <c r="M22" i="13" s="1"/>
  <c r="EP131" i="9"/>
  <c r="E32" i="12" l="1"/>
  <c r="E34" i="14"/>
  <c r="AN134" i="20"/>
  <c r="H220" i="20" s="1"/>
  <c r="J220" i="20" s="1"/>
  <c r="AL136" i="20"/>
  <c r="CO147" i="9" l="1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0" i="20" l="1"/>
  <c r="CG131" i="9"/>
  <c r="CC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<sst xmlns="http://schemas.openxmlformats.org/spreadsheetml/2006/main" count="5613" uniqueCount="672">
  <si>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</si>
  <si>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</si>
  <si>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</si>
  <si>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</si>
  <si>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</si>
  <si>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</si>
  <si>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</si>
  <si>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</si>
  <si>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</si>
  <si>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</si>
  <si>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</si>
  <si>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</si>
  <si>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</si>
  <si>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</si>
  <si>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</si>
  <si>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</si>
  <si>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</si>
  <si>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</si>
  <si>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</si>
  <si>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</si>
  <si>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</si>
  <si>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</si>
  <si>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</si>
  <si>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</si>
  <si>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</si>
  <si>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</si>
  <si>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</si>
  <si>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</si>
  <si>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</si>
  <si>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</si>
  <si>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</si>
  <si>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</si>
  <si>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</si>
  <si>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</si>
  <si>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</si>
  <si>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</si>
  <si>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</si>
  <si>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</si>
  <si>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</si>
  <si>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</si>
  <si>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</si>
  <si>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</si>
  <si>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</si>
  <si>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</si>
  <si>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</si>
  <si>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</si>
  <si>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</si>
  <si>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</si>
  <si>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</si>
  <si>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</si>
  <si>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</si>
  <si>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</si>
  <si>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</si>
  <si>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</si>
  <si>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</si>
  <si>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</si>
  <si>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</si>
  <si>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</si>
  <si>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</si>
  <si>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</si>
  <si>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</si>
  <si>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</si>
  <si>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</si>
  <si>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</si>
  <si>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</si>
  <si>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</si>
  <si>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</si>
  <si>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</si>
  <si>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</si>
  <si>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</si>
  <si>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</si>
  <si>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</si>
  <si>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</si>
  <si>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</si>
  <si>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</si>
  <si>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</si>
  <si>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</si>
  <si>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</si>
  <si>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</si>
  <si>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</si>
  <si>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</si>
  <si>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</si>
  <si>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</si>
  <si>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</si>
  <si>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</si>
  <si>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</si>
  <si>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</si>
  <si>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</si>
  <si>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</si>
  <si>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</si>
  <si>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</si>
  <si>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</si>
  <si>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</si>
  <si>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</si>
  <si>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</si>
  <si>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</si>
  <si>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</si>
  <si>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</si>
  <si>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</si>
  <si>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</si>
  <si>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</si>
  <si>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</si>
  <si>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</si>
  <si>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</si>
  <si>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</si>
  <si>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</si>
  <si>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</si>
  <si>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</si>
  <si>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</si>
  <si>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</si>
  <si>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</si>
  <si>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</si>
  <si>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</si>
  <si>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</si>
  <si>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</si>
  <si>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</si>
  <si>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</si>
  <si>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</si>
  <si>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</si>
  <si>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</si>
  <si>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</si>
  <si>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</si>
  <si>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</si>
  <si>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</si>
  <si>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</si>
  <si>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</si>
  <si>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</si>
  <si>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</si>
  <si>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</si>
  <si>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</si>
  <si>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</si>
  <si>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</si>
  <si>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</si>
  <si>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</si>
  <si>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</si>
  <si>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</si>
  <si>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</si>
  <si>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</si>
  <si>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</si>
  <si>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</si>
  <si>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</si>
  <si>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</si>
  <si>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</si>
  <si>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</si>
  <si>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</si>
  <si>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</si>
  <si>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</si>
  <si>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</si>
  <si>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</si>
  <si>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</si>
  <si>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</si>
  <si>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</si>
  <si>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</si>
  <si>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</si>
  <si>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</si>
  <si>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</si>
  <si>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</si>
  <si>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</si>
  <si>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</si>
  <si>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</si>
  <si>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</si>
  <si>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</si>
  <si>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</si>
  <si>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</si>
  <si>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</si>
  <si>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</si>
  <si>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</si>
  <si>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</si>
  <si>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</si>
  <si>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</si>
  <si>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</si>
  <si>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</si>
  <si>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</si>
  <si>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</si>
  <si>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</si>
  <si>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</si>
  <si>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</si>
  <si>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</si>
  <si>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</si>
  <si>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</si>
  <si>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</si>
  <si>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</si>
  <si>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</si>
  <si>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</si>
  <si>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</si>
  <si>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</si>
  <si>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</si>
  <si>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</si>
  <si>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</si>
  <si>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</si>
  <si>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</si>
  <si>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</si>
  <si>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</si>
  <si>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</si>
  <si>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</si>
  <si>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</si>
  <si>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</si>
  <si>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</si>
  <si>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</si>
  <si>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</si>
  <si>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</si>
  <si>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</si>
  <si>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</si>
  <si>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</si>
  <si>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</si>
  <si>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</si>
  <si>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</si>
  <si>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</si>
  <si>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</si>
  <si>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</si>
  <si>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</si>
  <si>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</si>
  <si>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</si>
  <si>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</si>
  <si>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</si>
  <si>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</si>
  <si>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</si>
  <si>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</si>
  <si>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</si>
  <si>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</si>
  <si>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</si>
  <si>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</si>
  <si>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</si>
  <si>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</si>
  <si>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</si>
  <si>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</si>
  <si>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</si>
  <si>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</si>
  <si>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</si>
  <si>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</si>
  <si>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</si>
  <si>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</si>
  <si>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</si>
  <si>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</si>
  <si>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</si>
  <si>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</si>
  <si>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</si>
  <si>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</si>
  <si>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</si>
  <si>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</si>
  <si>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</si>
  <si>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</si>
  <si>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</si>
  <si>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</si>
  <si>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</si>
  <si>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</si>
  <si>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</si>
  <si>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</si>
  <si>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</si>
  <si>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</si>
  <si>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</si>
  <si>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</si>
  <si>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</si>
  <si>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</si>
  <si>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</si>
  <si>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</si>
  <si>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</si>
  <si>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</si>
  <si>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</si>
  <si>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</si>
  <si>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</si>
  <si>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</si>
  <si>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</si>
  <si>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</si>
  <si>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</si>
  <si>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</si>
  <si>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</si>
  <si>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</si>
  <si>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</si>
  <si>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</si>
  <si>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</si>
  <si>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</si>
  <si>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</si>
  <si>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</si>
  <si>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</si>
  <si>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</si>
  <si>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</si>
  <si>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</si>
  <si>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</si>
  <si>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</si>
  <si>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</si>
  <si>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</si>
  <si>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</si>
  <si>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</si>
  <si>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</si>
  <si>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</si>
  <si>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</si>
  <si>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</si>
  <si>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</si>
  <si>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</si>
  <si>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</si>
  <si>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</si>
  <si>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</si>
  <si>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</si>
  <si>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</si>
  <si>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</si>
  <si>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</si>
  <si>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</si>
  <si>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</si>
  <si>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</si>
  <si>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</si>
  <si>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</si>
  <si>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</si>
  <si>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</si>
  <si>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</si>
  <si>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</si>
  <si>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</si>
  <si>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</si>
  <si>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</si>
  <si>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</si>
  <si>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</si>
  <si>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</si>
  <si>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</si>
  <si>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</si>
  <si>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</si>
  <si>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</si>
  <si>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</si>
  <si>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</si>
  <si>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</si>
  <si>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</si>
  <si>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</si>
  <si>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</si>
  <si>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</si>
  <si>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</si>
  <si>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</si>
  <si>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</si>
  <si>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</si>
  <si>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</si>
  <si>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</si>
  <si>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</si>
  <si>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</si>
  <si>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</si>
  <si>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</si>
  <si>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</si>
  <si>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</si>
  <si>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</si>
  <si>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</si>
  <si>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</si>
  <si>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</si>
  <si>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</si>
  <si>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</si>
  <si>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</si>
  <si>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</si>
  <si>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</si>
  <si>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</si>
  <si>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</si>
  <si>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</si>
  <si>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</si>
  <si>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</si>
  <si>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</si>
  <si>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</si>
  <si>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</si>
  <si>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</si>
  <si>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</si>
  <si>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</si>
  <si>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</si>
  <si>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</si>
  <si>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</si>
  <si>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</si>
  <si>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</si>
  <si>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</si>
  <si>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</si>
  <si>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</si>
  <si>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</si>
  <si>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</si>
  <si>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</si>
  <si>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</si>
  <si>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</si>
  <si>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</si>
  <si>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</si>
  <si>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</si>
  <si>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</si>
  <si>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</si>
  <si>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</si>
  <si>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</si>
  <si>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</si>
  <si>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</si>
  <si>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</si>
  <si>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</si>
  <si>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</si>
  <si>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</si>
  <si>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</si>
  <si>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</si>
  <si>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</si>
  <si>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</si>
  <si>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</si>
  <si>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</si>
  <si>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</si>
  <si>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</si>
  <si>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</si>
  <si>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</si>
  <si>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</si>
  <si>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</si>
  <si>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</si>
  <si>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</si>
  <si>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</si>
  <si>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</si>
  <si>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</si>
  <si>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</si>
  <si>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</si>
  <si>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</si>
  <si>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</si>
  <si>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</si>
  <si>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</si>
  <si>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</si>
  <si>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</si>
  <si>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</si>
  <si>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</si>
  <si>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</si>
  <si>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</si>
  <si>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</si>
  <si>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</si>
  <si>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</si>
  <si>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</si>
  <si>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</si>
  <si>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</si>
  <si>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</si>
  <si>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</si>
  <si>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</si>
  <si>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</si>
  <si>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</si>
  <si>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</si>
  <si>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</si>
  <si>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</si>
  <si>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</si>
  <si>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</si>
  <si>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</si>
  <si>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</si>
  <si>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</si>
  <si>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</si>
  <si>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</si>
  <si>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</si>
  <si>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</si>
  <si>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</si>
  <si>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</si>
  <si>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</si>
  <si>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</si>
  <si>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</si>
  <si>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</si>
  <si>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</si>
  <si>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</si>
  <si>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</si>
  <si>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</si>
  <si>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</si>
  <si>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</si>
  <si>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</si>
  <si>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</si>
  <si>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</si>
  <si>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</si>
  <si>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</si>
  <si>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</si>
  <si>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</si>
  <si>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</si>
  <si>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</si>
  <si>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</si>
  <si>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</si>
  <si>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</si>
  <si>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</si>
  <si>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</si>
  <si>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</si>
  <si>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</si>
  <si>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</si>
  <si>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</si>
  <si>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</si>
  <si>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</si>
  <si>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</si>
  <si>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</si>
  <si>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</si>
  <si>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</si>
  <si>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</si>
  <si>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</si>
  <si>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</si>
  <si>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</si>
  <si>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</si>
  <si>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</si>
  <si>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</si>
  <si>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</si>
  <si>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</si>
  <si>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</si>
  <si>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</si>
  <si>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</si>
  <si>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</si>
  <si>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</si>
  <si>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</si>
  <si>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</si>
  <si>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</si>
  <si>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</si>
  <si>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</si>
  <si>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</si>
  <si>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</si>
  <si>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</si>
  <si>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</si>
  <si>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</si>
  <si>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</si>
  <si>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</si>
  <si>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</si>
  <si>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</si>
  <si>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</si>
  <si>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</si>
  <si>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</si>
  <si>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</si>
  <si>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</si>
  <si>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</si>
  <si>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</si>
  <si>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</si>
  <si>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</si>
  <si>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</si>
  <si>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</si>
  <si>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</si>
  <si>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</si>
  <si>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</si>
  <si>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</si>
  <si>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</si>
  <si>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</si>
  <si>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</si>
  <si>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</si>
  <si>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</si>
  <si>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</si>
  <si>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</si>
  <si>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</si>
  <si>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</si>
  <si>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</si>
  <si>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</si>
  <si>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</si>
  <si>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</si>
  <si>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</si>
  <si>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</si>
  <si>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</si>
  <si>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</si>
  <si>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</si>
  <si>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</si>
  <si>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</si>
  <si>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</si>
  <si>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</si>
  <si>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</si>
  <si>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</si>
  <si>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</si>
  <si>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</si>
  <si>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</si>
  <si>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</si>
  <si>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</si>
  <si>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</si>
  <si>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</si>
  <si>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</si>
  <si>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</si>
  <si>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</si>
  <si>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</si>
  <si>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</si>
  <si>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</si>
  <si>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</si>
  <si>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</si>
  <si>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</si>
  <si>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</si>
  <si>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</si>
  <si>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</si>
  <si>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</si>
  <si>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</si>
  <si>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</si>
  <si>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</si>
  <si>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</si>
  <si>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</si>
  <si>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</si>
  <si>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</si>
  <si>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</si>
  <si>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</si>
  <si>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</si>
  <si>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</si>
  <si>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</si>
  <si>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</si>
  <si>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</si>
  <si>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</si>
  <si>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</si>
  <si>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</si>
  <si>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</si>
  <si>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</si>
  <si>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</si>
  <si>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</si>
  <si>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</si>
  <si>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</si>
  <si>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</si>
  <si>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</si>
  <si>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</si>
  <si>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</si>
  <si>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</si>
  <si>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</si>
  <si>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</si>
  <si>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</si>
  <si>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</si>
  <si>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</si>
  <si>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</si>
  <si>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</si>
  <si>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</si>
  <si>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</si>
  <si>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</si>
  <si>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</si>
  <si>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</si>
  <si>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</si>
  <si>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</si>
  <si>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</si>
  <si>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</si>
  <si>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</si>
  <si>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</si>
  <si>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</si>
  <si>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</si>
  <si>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</si>
  <si>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</si>
  <si>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</si>
  <si>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</si>
  <si>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</si>
  <si>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</si>
  <si>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</si>
  <si>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</si>
  <si>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</si>
  <si>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</si>
  <si>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</si>
  <si>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</si>
  <si>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</si>
  <si>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</si>
  <si>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</si>
  <si>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</si>
  <si>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</si>
  <si>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</si>
  <si>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</si>
  <si>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</si>
  <si>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</si>
  <si>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</si>
  <si>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</si>
  <si>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</si>
  <si>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</si>
  <si>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</si>
  <si>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</si>
  <si>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</si>
  <si>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</si>
  <si>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</si>
  <si>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</si>
  <si>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</si>
  <si>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</si>
  <si>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</si>
  <si>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</si>
  <si>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</si>
  <si>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</si>
  <si>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</si>
  <si>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</si>
  <si>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</si>
  <si>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</si>
  <si>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</si>
  <si>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</si>
  <si>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</si>
  <si>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</si>
  <si>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</si>
  <si>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</si>
  <si>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</si>
  <si>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</si>
  <si>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</si>
  <si>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</si>
  <si>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</si>
  <si>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</si>
  <si>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</si>
  <si>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</si>
  <si>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</si>
  <si>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</si>
  <si>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</si>
  <si>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</si>
  <si>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</si>
  <si>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</si>
  <si>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</si>
  <si>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</si>
  <si>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</si>
  <si>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</si>
  <si>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</si>
  <si>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Q_loss</t>
  </si>
  <si>
    <t>kJ/kg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</si>
</sst>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29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5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16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37" fillId="0" borderId="0" xfId="0" applyFont="1" applyFill="1" applyAlignment="1">
      <alignment horizontal="center" vertic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614309</xdr:colOff>
      <xdr:row>207</xdr:row>
      <xdr:rowOff>28701</xdr:rowOff>
    </xdr:from>
    <xdr:to>
      <xdr:col>87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154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120</xdr:col>
      <xdr:colOff>419404</xdr:colOff>
      <xdr:row>234</xdr:row>
      <xdr:rowOff>9050</xdr:rowOff>
    </xdr:from>
    <xdr:to>
      <xdr:col>120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683846</xdr:colOff>
      <xdr:row>153</xdr:row>
      <xdr:rowOff>4887</xdr:rowOff>
    </xdr:from>
    <xdr:to>
      <xdr:col>128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97692</xdr:rowOff>
    </xdr:from>
    <xdr:to>
      <xdr:col>120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28015</xdr:colOff>
      <xdr:row>152</xdr:row>
      <xdr:rowOff>184727</xdr:rowOff>
    </xdr:from>
    <xdr:to>
      <xdr:col>143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210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G43" sqref="G4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5" t="s">
        <v>102</v>
      </c>
      <c r="S2" s="306"/>
      <c r="T2" s="305" t="s">
        <v>108</v>
      </c>
      <c r="U2" s="306"/>
      <c r="W2" s="307" t="s">
        <v>233</v>
      </c>
      <c r="X2" s="307"/>
      <c r="Y2" s="13" t="s">
        <v>52</v>
      </c>
      <c r="AB2" s="3" t="s">
        <v>345</v>
      </c>
      <c r="AE2" s="3" t="s">
        <v>409</v>
      </c>
      <c r="AH2" s="3" t="s">
        <v>430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410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461</v>
      </c>
      <c r="AA5" s="61" t="s">
        <v>493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/>
      <c r="G7" s="19">
        <f>F7/MW_CaSiO3</f>
        <v>0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494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8" t="s">
        <v>392</v>
      </c>
      <c r="R12" s="308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393</v>
      </c>
      <c r="S13" s="13" t="s">
        <v>33</v>
      </c>
      <c r="T13" s="13" t="s">
        <v>34</v>
      </c>
      <c r="U13" s="13" t="s">
        <v>35</v>
      </c>
      <c r="V13" s="13" t="s">
        <v>401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374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  <c r="F39" s="13"/>
      <c r="G39" s="19">
        <f>F39/MW_CaSiO3</f>
        <v>0</v>
      </c>
    </row>
    <row r="40" spans="2:7" ht="17" x14ac:dyDescent="0.25">
      <c r="B40" s="4" t="s">
        <v>493</v>
      </c>
      <c r="C40" s="13">
        <v>7.4056800000000003</v>
      </c>
      <c r="D40" s="13">
        <f>(MW_C*8)+(MW_H*18)</f>
        <v>0.11423092</v>
      </c>
      <c r="E40" s="13">
        <f>C40+(8*J5)+(9*b_ch_H2)</f>
        <v>5414.70568</v>
      </c>
      <c r="F40" s="13">
        <v>-250.1</v>
      </c>
      <c r="G40" s="19">
        <f>F40/MW_C8H18</f>
        <v>-2189.4247196818515</v>
      </c>
    </row>
    <row r="41" spans="2:7" ht="17" x14ac:dyDescent="0.25">
      <c r="B41" s="4" t="s">
        <v>494</v>
      </c>
      <c r="C41" s="13"/>
      <c r="D41" s="13">
        <f>(MW_C*12)+(MW_H*23)</f>
        <v>0.16731462</v>
      </c>
      <c r="E41" s="13"/>
      <c r="F41" s="13"/>
      <c r="G41" s="19">
        <f>LHV_Diesel</f>
        <v>42600</v>
      </c>
    </row>
    <row r="42" spans="2:7" ht="17" x14ac:dyDescent="0.25">
      <c r="B42" s="4" t="s">
        <v>512</v>
      </c>
      <c r="C42" s="13"/>
      <c r="D42" s="13">
        <f>(10*MW_C) + (20*MW_H)</f>
        <v>0.1402688</v>
      </c>
      <c r="E42" s="13"/>
      <c r="F42" s="13"/>
      <c r="G42" s="19">
        <f>LHV_Oil</f>
        <v>39500</v>
      </c>
    </row>
    <row r="43" spans="2:7" x14ac:dyDescent="0.2">
      <c r="B43" s="4"/>
    </row>
    <row r="44" spans="2:7" x14ac:dyDescent="0.2">
      <c r="B44" s="3" t="s">
        <v>107</v>
      </c>
    </row>
    <row r="45" spans="2:7" ht="17" x14ac:dyDescent="0.25">
      <c r="B45" s="13" t="s">
        <v>54</v>
      </c>
      <c r="C45" s="3" t="s">
        <v>124</v>
      </c>
    </row>
    <row r="46" spans="2:7" ht="17" x14ac:dyDescent="0.25">
      <c r="B46" s="13" t="s">
        <v>54</v>
      </c>
      <c r="C46" s="16" t="s">
        <v>375</v>
      </c>
    </row>
    <row r="47" spans="2:7" ht="18" x14ac:dyDescent="0.25">
      <c r="B47" s="19" t="s">
        <v>6</v>
      </c>
      <c r="C47" s="16" t="s">
        <v>362</v>
      </c>
    </row>
    <row r="48" spans="2:7" ht="18" x14ac:dyDescent="0.25">
      <c r="B48" s="19" t="s">
        <v>6</v>
      </c>
      <c r="C48" s="3" t="s">
        <v>128</v>
      </c>
    </row>
    <row r="49" spans="2:3" ht="17" x14ac:dyDescent="0.25">
      <c r="B49" s="13" t="s">
        <v>172</v>
      </c>
      <c r="C49" s="3" t="s">
        <v>173</v>
      </c>
    </row>
    <row r="50" spans="2:3" x14ac:dyDescent="0.2">
      <c r="B50" s="13" t="s">
        <v>345</v>
      </c>
      <c r="C50" s="16" t="s">
        <v>347</v>
      </c>
    </row>
    <row r="51" spans="2:3" x14ac:dyDescent="0.2">
      <c r="B51" s="13" t="s">
        <v>5</v>
      </c>
      <c r="C51" s="16" t="s">
        <v>359</v>
      </c>
    </row>
    <row r="52" spans="2:3" x14ac:dyDescent="0.2">
      <c r="B52" s="13" t="s">
        <v>393</v>
      </c>
      <c r="C52" s="3" t="s">
        <v>394</v>
      </c>
    </row>
    <row r="53" spans="2:3" x14ac:dyDescent="0.2">
      <c r="B53" s="128" t="s">
        <v>399</v>
      </c>
      <c r="C53" s="3" t="s">
        <v>402</v>
      </c>
    </row>
    <row r="54" spans="2:3" x14ac:dyDescent="0.2">
      <c r="B54" s="13" t="s">
        <v>409</v>
      </c>
      <c r="C54" s="3" t="s">
        <v>338</v>
      </c>
    </row>
    <row r="55" spans="2:3" x14ac:dyDescent="0.2">
      <c r="B55" s="13" t="s">
        <v>506</v>
      </c>
      <c r="C55" s="3" t="s">
        <v>507</v>
      </c>
    </row>
    <row r="56" spans="2:3" ht="17" x14ac:dyDescent="0.25">
      <c r="B56" s="13" t="s">
        <v>498</v>
      </c>
      <c r="C56" s="3" t="s">
        <v>497</v>
      </c>
    </row>
    <row r="57" spans="2:3" x14ac:dyDescent="0.2">
      <c r="B57" s="3" t="s">
        <v>40</v>
      </c>
      <c r="C57" s="3" t="s">
        <v>667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247" zoomScale="125" workbookViewId="0">
      <selection activeCell="A2" sqref="A2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7" t="s">
        <v>125</v>
      </c>
      <c r="P10" s="307"/>
      <c r="Q10" s="307"/>
      <c r="R10" s="307"/>
      <c r="S10" s="307"/>
      <c r="T10" s="307"/>
      <c r="U10" s="307"/>
      <c r="V10" s="307" t="s">
        <v>125</v>
      </c>
      <c r="W10" s="307"/>
      <c r="X10" s="307"/>
      <c r="Y10" s="307"/>
      <c r="Z10" s="307"/>
      <c r="AA10" s="307"/>
      <c r="AB10" s="307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7" t="s">
        <v>306</v>
      </c>
      <c r="P11" s="307"/>
      <c r="Q11" s="307"/>
      <c r="R11" s="305"/>
      <c r="S11" s="306"/>
      <c r="T11" s="323" t="s">
        <v>305</v>
      </c>
      <c r="U11" s="315"/>
      <c r="V11" s="307" t="str">
        <f>_xlfn.CONCAT(E19," ",C19," ","+"," ",E21," ",C21," ","--&gt;"," ",E22," ",C22," ","+"," ",E20*E21," ",C20)</f>
        <v>1.5 C + 1.5 O2 --&gt; 1.5 CO2 + 5.64 N2</v>
      </c>
      <c r="W11" s="307"/>
      <c r="X11" s="307"/>
      <c r="Y11" s="307"/>
      <c r="Z11" s="307"/>
      <c r="AA11" s="307"/>
      <c r="AB11" s="30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7" t="s">
        <v>225</v>
      </c>
      <c r="P12" s="307"/>
      <c r="Q12" s="307"/>
      <c r="R12" s="305"/>
      <c r="S12" s="306"/>
      <c r="T12" s="307" t="s">
        <v>224</v>
      </c>
      <c r="U12" s="307"/>
      <c r="V12" s="307" t="str">
        <f>_xlfn.CONCAT(E25," ",C25," ","+"," ",E26," ",C26," ","--&gt;"," ",E27," ",C27)</f>
        <v>1.5 CO2 + 1.5 C --&gt; 3 CO</v>
      </c>
      <c r="W12" s="307"/>
      <c r="X12" s="307"/>
      <c r="Y12" s="307"/>
      <c r="Z12" s="307"/>
      <c r="AA12" s="307"/>
      <c r="AB12" s="30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7" t="s">
        <v>226</v>
      </c>
      <c r="P13" s="307"/>
      <c r="Q13" s="307"/>
      <c r="R13" s="305"/>
      <c r="S13" s="306"/>
      <c r="T13" s="323" t="s">
        <v>227</v>
      </c>
      <c r="U13" s="315"/>
      <c r="V13" s="307" t="str">
        <f>_xlfn.CONCAT(E29," ",C29," ","+"," ",E30," ",C30," ","--&gt;"," ",E31," ",C31," ","+"," ",E32," ",C32)</f>
        <v>1 Fe2O3 + 3 CO --&gt; 2 Fe + 3 CO2</v>
      </c>
      <c r="W13" s="307"/>
      <c r="X13" s="307"/>
      <c r="Y13" s="307"/>
      <c r="Z13" s="307"/>
      <c r="AA13" s="307"/>
      <c r="AB13" s="30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7"/>
      <c r="P14" s="307"/>
      <c r="Q14" s="307"/>
      <c r="R14" s="305"/>
      <c r="S14" s="306"/>
      <c r="T14" s="307"/>
      <c r="U14" s="307"/>
      <c r="V14" s="307" t="str">
        <f>_xlfn.CONCAT(E36," ",C36," ","--&gt;"," ",E37," ",C37," ","+"," ",E39," ",C39)</f>
        <v>1 CaCO3 --&gt; 1 CaO + 0.0624775822865075 MgO</v>
      </c>
      <c r="W14" s="307"/>
      <c r="X14" s="307"/>
      <c r="Y14" s="307"/>
      <c r="Z14" s="307"/>
      <c r="AA14" s="307"/>
      <c r="AB14" s="307"/>
    </row>
    <row r="15" spans="1:28" ht="17" x14ac:dyDescent="0.25">
      <c r="O15" s="307" t="s">
        <v>228</v>
      </c>
      <c r="P15" s="307"/>
      <c r="Q15" s="307"/>
      <c r="R15" s="305"/>
      <c r="S15" s="306"/>
      <c r="T15" s="307" t="s">
        <v>229</v>
      </c>
      <c r="U15" s="307"/>
      <c r="V15" s="307" t="str">
        <f>_xlfn.CONCAT(E41," ",C41," ","+"," ",E42," ",C42," ","--&gt;"," ",E43," ",C43)</f>
        <v>1 CaO + 1 SiO2 --&gt; 1 CaSiO3</v>
      </c>
      <c r="W15" s="307"/>
      <c r="X15" s="307"/>
      <c r="Y15" s="307"/>
      <c r="Z15" s="307"/>
      <c r="AA15" s="307"/>
      <c r="AB15" s="307"/>
    </row>
    <row r="16" spans="1:28" x14ac:dyDescent="0.2">
      <c r="L16" s="77" t="s">
        <v>415</v>
      </c>
      <c r="M16" s="83" t="s">
        <v>416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7" t="s">
        <v>334</v>
      </c>
      <c r="P17" s="307"/>
      <c r="Q17" s="307"/>
      <c r="R17" s="307"/>
      <c r="S17" s="307"/>
      <c r="T17" s="307"/>
      <c r="U17" s="307"/>
      <c r="V17" s="307" t="s">
        <v>125</v>
      </c>
      <c r="W17" s="307"/>
      <c r="X17" s="307"/>
      <c r="Y17" s="307"/>
      <c r="Z17" s="307"/>
      <c r="AA17" s="307"/>
      <c r="AB17" s="307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7" t="s">
        <v>335</v>
      </c>
      <c r="P18" s="307"/>
      <c r="Q18" s="307"/>
      <c r="R18" s="307"/>
      <c r="S18" s="307"/>
      <c r="T18" s="307" t="s">
        <v>336</v>
      </c>
      <c r="U18" s="305"/>
      <c r="V18" s="32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2"/>
      <c r="X18" s="322"/>
      <c r="Y18" s="322"/>
      <c r="Z18" s="322"/>
      <c r="AA18" s="322"/>
      <c r="AB18" s="322"/>
    </row>
    <row r="19" spans="1:28" ht="16" x14ac:dyDescent="0.2">
      <c r="B19" s="324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2"/>
      <c r="W19" s="322"/>
      <c r="X19" s="322"/>
      <c r="Y19" s="322"/>
      <c r="Z19" s="322"/>
      <c r="AA19" s="322"/>
      <c r="AB19" s="322"/>
    </row>
    <row r="20" spans="1:28" ht="18" x14ac:dyDescent="0.25">
      <c r="A20" s="1"/>
      <c r="B20" s="325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7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8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9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9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9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9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0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1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413</v>
      </c>
      <c r="O32" s="3" t="s">
        <v>414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4" t="s">
        <v>412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5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9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4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9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9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3" t="s">
        <v>19</v>
      </c>
      <c r="C44" s="333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0" t="s">
        <v>351</v>
      </c>
      <c r="D47" s="320"/>
      <c r="E47" s="320"/>
      <c r="F47" s="320"/>
    </row>
    <row r="48" spans="2:23" x14ac:dyDescent="0.2">
      <c r="C48" s="336"/>
      <c r="D48" s="336"/>
      <c r="E48" s="336"/>
      <c r="F48" s="336"/>
      <c r="H48" s="307" t="s">
        <v>70</v>
      </c>
      <c r="I48" s="307"/>
      <c r="J48" s="307"/>
      <c r="K48" s="307"/>
      <c r="L48" s="307"/>
      <c r="M48" s="30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7" t="s">
        <v>74</v>
      </c>
      <c r="I49" s="307"/>
      <c r="J49" s="307"/>
      <c r="K49" s="13"/>
      <c r="L49" s="323" t="s">
        <v>358</v>
      </c>
      <c r="M49" s="31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2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2"/>
      <c r="J51" s="332"/>
      <c r="K51" s="332"/>
      <c r="L51" s="332"/>
      <c r="M51" s="332"/>
    </row>
    <row r="52" spans="1:17" ht="16.25" customHeight="1" x14ac:dyDescent="0.25">
      <c r="C52" s="20" t="s">
        <v>24</v>
      </c>
      <c r="D52" s="13" t="s">
        <v>431</v>
      </c>
      <c r="H52" s="332"/>
      <c r="I52" s="332"/>
      <c r="J52" s="332"/>
      <c r="K52" s="332"/>
      <c r="L52" s="332"/>
      <c r="M52" s="332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655</v>
      </c>
      <c r="D55" s="303" t="s">
        <v>658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432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432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7" t="s">
        <v>657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659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2"/>
      <c r="K60" s="301" t="s">
        <v>656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1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2"/>
      <c r="K62" s="301" t="s">
        <v>592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0" t="s">
        <v>379</v>
      </c>
      <c r="C69" s="320"/>
      <c r="D69" s="320"/>
      <c r="E69" s="320"/>
      <c r="F69" s="320"/>
      <c r="G69" s="320"/>
      <c r="W69" s="17"/>
      <c r="X69" s="17"/>
      <c r="Y69" s="317" t="s">
        <v>495</v>
      </c>
      <c r="Z69" s="318"/>
      <c r="AA69" s="318"/>
      <c r="AB69" s="318"/>
      <c r="AC69" s="318"/>
      <c r="AD69" s="318"/>
      <c r="AE69" s="318"/>
      <c r="AF69" s="318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1"/>
      <c r="C70" s="321"/>
      <c r="D70" s="321"/>
      <c r="E70" s="321"/>
      <c r="F70" s="321"/>
      <c r="G70" s="321"/>
      <c r="Y70" s="319"/>
      <c r="Z70" s="313"/>
      <c r="AA70" s="313"/>
      <c r="AB70" s="313"/>
      <c r="AC70" s="313"/>
      <c r="AD70" s="313"/>
      <c r="AE70" s="313"/>
      <c r="AF70" s="313"/>
    </row>
    <row r="71" spans="1:45" x14ac:dyDescent="0.2">
      <c r="E71" s="13"/>
      <c r="F71" s="13" t="s">
        <v>47</v>
      </c>
      <c r="G71" s="13" t="s">
        <v>1</v>
      </c>
      <c r="H71" s="13" t="s">
        <v>383</v>
      </c>
      <c r="Y71" s="319"/>
      <c r="Z71" s="313"/>
      <c r="AA71" s="313"/>
      <c r="AB71" s="313"/>
      <c r="AC71" s="313"/>
      <c r="AD71" s="313"/>
      <c r="AE71" s="313"/>
      <c r="AF71" s="313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384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411</v>
      </c>
      <c r="AD73" s="3" t="s">
        <v>39</v>
      </c>
      <c r="AG73" s="171" t="s">
        <v>113</v>
      </c>
      <c r="AH73" s="201" t="s">
        <v>411</v>
      </c>
      <c r="AJ73" s="201" t="s">
        <v>411</v>
      </c>
      <c r="AL73" s="171" t="s">
        <v>114</v>
      </c>
      <c r="AM73" s="201" t="s">
        <v>411</v>
      </c>
      <c r="AO73" s="201" t="s">
        <v>411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377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411</v>
      </c>
      <c r="S74" s="201" t="s">
        <v>411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380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8" t="s">
        <v>113</v>
      </c>
      <c r="I77" s="308"/>
      <c r="J77" s="308"/>
      <c r="K77" s="308"/>
      <c r="L77" s="308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390</v>
      </c>
      <c r="C78" s="3" t="s">
        <v>1</v>
      </c>
      <c r="D78" s="3" t="s">
        <v>47</v>
      </c>
      <c r="E78" s="3" t="s">
        <v>5</v>
      </c>
      <c r="F78" s="201" t="s">
        <v>411</v>
      </c>
      <c r="H78" s="201" t="s">
        <v>411</v>
      </c>
      <c r="I78" s="201" t="s">
        <v>411</v>
      </c>
      <c r="J78" s="201" t="s">
        <v>411</v>
      </c>
      <c r="K78" s="201" t="s">
        <v>411</v>
      </c>
      <c r="L78" s="201" t="s">
        <v>411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385</v>
      </c>
      <c r="I79" s="13" t="s">
        <v>366</v>
      </c>
      <c r="J79" s="61" t="s">
        <v>386</v>
      </c>
      <c r="K79" s="61" t="s">
        <v>387</v>
      </c>
      <c r="L79" s="19" t="s">
        <v>388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09" t="s">
        <v>663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09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09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642</v>
      </c>
      <c r="N82" s="6"/>
      <c r="O82" s="6"/>
      <c r="P82" s="6"/>
      <c r="Y82" s="24"/>
    </row>
    <row r="83" spans="1:39" ht="18" x14ac:dyDescent="0.25">
      <c r="A83" s="309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09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11" t="s">
        <v>661</v>
      </c>
      <c r="I84" s="311"/>
      <c r="J84" s="311"/>
      <c r="K84" s="31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09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411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2" t="s">
        <v>662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403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391</v>
      </c>
      <c r="C89" s="3" t="s">
        <v>1</v>
      </c>
      <c r="D89" s="3" t="s">
        <v>47</v>
      </c>
      <c r="E89" s="3" t="s">
        <v>5</v>
      </c>
      <c r="F89" s="201" t="s">
        <v>411</v>
      </c>
      <c r="G89" s="132" t="s">
        <v>322</v>
      </c>
      <c r="H89" s="3" t="s">
        <v>393</v>
      </c>
      <c r="I89" s="3" t="s">
        <v>395</v>
      </c>
      <c r="J89" s="4" t="s">
        <v>396</v>
      </c>
      <c r="K89" s="3" t="s">
        <v>397</v>
      </c>
      <c r="L89" s="132" t="s">
        <v>398</v>
      </c>
      <c r="M89" s="132" t="s">
        <v>400</v>
      </c>
      <c r="N89" s="132" t="s">
        <v>489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660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453</v>
      </c>
      <c r="AG94" s="171" t="s">
        <v>484</v>
      </c>
    </row>
    <row r="95" spans="1:39" x14ac:dyDescent="0.2">
      <c r="B95" s="13" t="s">
        <v>380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411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411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496</v>
      </c>
      <c r="C108" s="3" t="s">
        <v>1</v>
      </c>
      <c r="D108" s="3" t="s">
        <v>5</v>
      </c>
      <c r="E108" s="201" t="s">
        <v>411</v>
      </c>
      <c r="H108" s="171" t="s">
        <v>390</v>
      </c>
      <c r="I108" s="3" t="s">
        <v>1</v>
      </c>
      <c r="J108" s="3" t="s">
        <v>5</v>
      </c>
      <c r="K108" s="201" t="s">
        <v>411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452</v>
      </c>
      <c r="AR116" s="16" t="s">
        <v>452</v>
      </c>
    </row>
    <row r="124" spans="2:44" x14ac:dyDescent="0.2">
      <c r="V124" s="3" t="s">
        <v>382</v>
      </c>
    </row>
    <row r="125" spans="2:44" x14ac:dyDescent="0.2">
      <c r="H125" s="3" t="s">
        <v>378</v>
      </c>
      <c r="M125" s="16" t="s">
        <v>376</v>
      </c>
      <c r="U125" s="3" t="s">
        <v>381</v>
      </c>
    </row>
    <row r="127" spans="2:44" x14ac:dyDescent="0.2">
      <c r="C127" s="3" t="s">
        <v>402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6" t="s">
        <v>664</v>
      </c>
      <c r="D147" s="316"/>
      <c r="E147" s="316"/>
      <c r="F147" s="316"/>
      <c r="G147" s="316"/>
    </row>
    <row r="148" spans="1:30" x14ac:dyDescent="0.2">
      <c r="B148" s="171" t="s">
        <v>453</v>
      </c>
      <c r="C148" s="313"/>
      <c r="D148" s="313"/>
      <c r="E148" s="313"/>
      <c r="F148" s="313"/>
      <c r="G148" s="313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411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411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483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411</v>
      </c>
      <c r="E166" s="201" t="s">
        <v>411</v>
      </c>
      <c r="G166" s="171" t="s">
        <v>114</v>
      </c>
      <c r="H166" s="201" t="s">
        <v>411</v>
      </c>
      <c r="J166" s="201" t="s">
        <v>411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455</v>
      </c>
      <c r="C169" s="1">
        <f>F153</f>
        <v>1165.1175310558663</v>
      </c>
      <c r="D169" s="61" t="s">
        <v>456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3" t="s">
        <v>665</v>
      </c>
      <c r="C176" s="313"/>
      <c r="D176" s="313"/>
      <c r="E176" s="313"/>
      <c r="F176" s="313"/>
      <c r="G176" s="313"/>
    </row>
    <row r="177" spans="2:17" x14ac:dyDescent="0.2">
      <c r="B177" s="313"/>
      <c r="C177" s="313"/>
      <c r="D177" s="313"/>
      <c r="E177" s="313"/>
      <c r="F177" s="313"/>
      <c r="G177" s="313"/>
    </row>
    <row r="178" spans="2:17" x14ac:dyDescent="0.2">
      <c r="B178" s="313"/>
      <c r="C178" s="313"/>
      <c r="D178" s="313"/>
      <c r="E178" s="313"/>
      <c r="F178" s="313"/>
      <c r="G178" s="313"/>
    </row>
    <row r="182" spans="2:17" x14ac:dyDescent="0.2">
      <c r="B182" s="171" t="s">
        <v>454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411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411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482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411</v>
      </c>
      <c r="E197" s="201" t="s">
        <v>411</v>
      </c>
      <c r="G197" s="171" t="s">
        <v>114</v>
      </c>
      <c r="H197" s="201" t="s">
        <v>411</v>
      </c>
      <c r="J197" s="201" t="s">
        <v>411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455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3" t="s">
        <v>499</v>
      </c>
      <c r="C215" s="313"/>
      <c r="D215" s="313"/>
      <c r="E215" s="313"/>
      <c r="G215" s="20" t="s">
        <v>67</v>
      </c>
      <c r="H215" s="237" t="s">
        <v>24</v>
      </c>
      <c r="J215" s="307" t="s">
        <v>70</v>
      </c>
      <c r="K215" s="307"/>
      <c r="L215" s="307"/>
      <c r="M215" s="307"/>
      <c r="N215" s="307"/>
      <c r="O215" s="307"/>
    </row>
    <row r="216" spans="2:20" ht="18" x14ac:dyDescent="0.25">
      <c r="B216" s="313"/>
      <c r="C216" s="313"/>
      <c r="D216" s="313"/>
      <c r="E216" s="313"/>
      <c r="G216" s="13">
        <v>3.76</v>
      </c>
      <c r="H216" s="13">
        <v>2</v>
      </c>
      <c r="J216" s="307" t="s">
        <v>501</v>
      </c>
      <c r="K216" s="307"/>
      <c r="L216" s="307"/>
      <c r="M216" s="13"/>
      <c r="N216" s="314" t="s">
        <v>75</v>
      </c>
      <c r="O216" s="315"/>
    </row>
    <row r="217" spans="2:20" x14ac:dyDescent="0.2">
      <c r="B217" s="313"/>
      <c r="C217" s="313"/>
      <c r="D217" s="313"/>
      <c r="E217" s="313"/>
      <c r="J217" s="30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7"/>
      <c r="L217" s="307"/>
      <c r="M217" s="307"/>
      <c r="N217" s="307"/>
      <c r="O217" s="307"/>
    </row>
    <row r="218" spans="2:20" x14ac:dyDescent="0.2">
      <c r="B218" s="308" t="s">
        <v>666</v>
      </c>
      <c r="C218" s="308"/>
      <c r="D218" s="308"/>
      <c r="E218" s="308"/>
    </row>
    <row r="220" spans="2:20" ht="17" x14ac:dyDescent="0.25">
      <c r="C220" s="3" t="s">
        <v>1</v>
      </c>
      <c r="D220" s="3" t="s">
        <v>5</v>
      </c>
      <c r="E220" s="201" t="s">
        <v>411</v>
      </c>
      <c r="H220" s="171" t="s">
        <v>390</v>
      </c>
      <c r="I220" s="3" t="s">
        <v>1</v>
      </c>
      <c r="J220" s="3" t="s">
        <v>5</v>
      </c>
      <c r="K220" s="201" t="s">
        <v>411</v>
      </c>
    </row>
    <row r="221" spans="2:20" ht="18" x14ac:dyDescent="0.25">
      <c r="B221" s="171" t="s">
        <v>500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494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645</v>
      </c>
      <c r="K228" s="132" t="s">
        <v>648</v>
      </c>
      <c r="L228" s="3" t="s">
        <v>393</v>
      </c>
      <c r="M228" s="3" t="s">
        <v>40</v>
      </c>
      <c r="N228" s="4" t="s">
        <v>35</v>
      </c>
      <c r="O228" s="132" t="s">
        <v>646</v>
      </c>
      <c r="P228" s="132" t="s">
        <v>647</v>
      </c>
    </row>
    <row r="229" spans="2:21" x14ac:dyDescent="0.2">
      <c r="C229" s="3" t="s">
        <v>644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494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649</v>
      </c>
    </row>
    <row r="235" spans="2:21" x14ac:dyDescent="0.2">
      <c r="C235" s="3" t="s">
        <v>591</v>
      </c>
      <c r="N235" s="3" t="s">
        <v>650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494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3" t="s">
        <v>509</v>
      </c>
      <c r="C240" s="313"/>
      <c r="D240" s="313"/>
      <c r="E240" s="313"/>
      <c r="J240" s="307" t="s">
        <v>70</v>
      </c>
      <c r="K240" s="307"/>
      <c r="L240" s="307"/>
      <c r="M240" s="307"/>
      <c r="N240" s="307"/>
      <c r="O240" s="307"/>
    </row>
    <row r="241" spans="2:21" ht="18" x14ac:dyDescent="0.25">
      <c r="B241" s="313"/>
      <c r="C241" s="313"/>
      <c r="D241" s="313"/>
      <c r="E241" s="313"/>
      <c r="J241" s="307" t="s">
        <v>511</v>
      </c>
      <c r="K241" s="307"/>
      <c r="L241" s="307"/>
      <c r="M241" s="13"/>
      <c r="N241" s="314" t="s">
        <v>75</v>
      </c>
      <c r="O241" s="315"/>
    </row>
    <row r="242" spans="2:21" x14ac:dyDescent="0.2">
      <c r="B242" s="313"/>
      <c r="C242" s="313"/>
      <c r="D242" s="313"/>
      <c r="E242" s="313"/>
      <c r="J242" s="30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7"/>
      <c r="L242" s="307"/>
      <c r="M242" s="307"/>
      <c r="N242" s="307"/>
      <c r="O242" s="307"/>
    </row>
    <row r="243" spans="2:21" x14ac:dyDescent="0.2">
      <c r="B243" s="308" t="s">
        <v>666</v>
      </c>
      <c r="C243" s="308"/>
      <c r="D243" s="308"/>
      <c r="E243" s="308"/>
    </row>
    <row r="245" spans="2:21" ht="17" x14ac:dyDescent="0.25">
      <c r="C245" s="3" t="s">
        <v>1</v>
      </c>
      <c r="D245" s="3" t="s">
        <v>5</v>
      </c>
      <c r="E245" s="201" t="s">
        <v>411</v>
      </c>
      <c r="H245" s="171" t="s">
        <v>390</v>
      </c>
      <c r="I245" s="3" t="s">
        <v>1</v>
      </c>
      <c r="J245" s="3" t="s">
        <v>5</v>
      </c>
      <c r="K245" s="201" t="s">
        <v>411</v>
      </c>
    </row>
    <row r="246" spans="2:21" ht="18" x14ac:dyDescent="0.25">
      <c r="B246" s="171" t="s">
        <v>510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493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645</v>
      </c>
      <c r="C252" s="132" t="s">
        <v>648</v>
      </c>
      <c r="D252" s="3" t="s">
        <v>393</v>
      </c>
      <c r="E252" s="3" t="s">
        <v>40</v>
      </c>
      <c r="F252" s="4" t="s">
        <v>35</v>
      </c>
      <c r="G252" s="132" t="s">
        <v>646</v>
      </c>
      <c r="H252" s="132" t="s">
        <v>651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3" t="s">
        <v>514</v>
      </c>
      <c r="C257" s="313"/>
      <c r="D257" s="313"/>
      <c r="E257" s="313"/>
      <c r="J257" s="307" t="s">
        <v>70</v>
      </c>
      <c r="K257" s="307"/>
      <c r="L257" s="307"/>
      <c r="M257" s="307"/>
      <c r="N257" s="307"/>
      <c r="O257" s="307"/>
    </row>
    <row r="258" spans="2:19" ht="18" x14ac:dyDescent="0.25">
      <c r="B258" s="313"/>
      <c r="C258" s="313"/>
      <c r="D258" s="313"/>
      <c r="E258" s="313"/>
      <c r="J258" s="307" t="s">
        <v>516</v>
      </c>
      <c r="K258" s="307"/>
      <c r="L258" s="307"/>
      <c r="M258" s="13"/>
      <c r="N258" s="314" t="s">
        <v>75</v>
      </c>
      <c r="O258" s="315"/>
    </row>
    <row r="259" spans="2:19" x14ac:dyDescent="0.2">
      <c r="B259" s="313"/>
      <c r="C259" s="313"/>
      <c r="D259" s="313"/>
      <c r="E259" s="313"/>
      <c r="J259" s="30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7"/>
      <c r="L259" s="307"/>
      <c r="M259" s="307"/>
      <c r="N259" s="307"/>
      <c r="O259" s="307"/>
    </row>
    <row r="260" spans="2:19" x14ac:dyDescent="0.2">
      <c r="B260" s="308" t="s">
        <v>666</v>
      </c>
      <c r="C260" s="308"/>
      <c r="D260" s="308"/>
      <c r="E260" s="308"/>
    </row>
    <row r="262" spans="2:19" ht="17" x14ac:dyDescent="0.25">
      <c r="C262" s="3" t="s">
        <v>1</v>
      </c>
      <c r="D262" s="3" t="s">
        <v>5</v>
      </c>
      <c r="E262" s="201" t="s">
        <v>411</v>
      </c>
      <c r="H262" s="171" t="s">
        <v>390</v>
      </c>
      <c r="I262" s="3" t="s">
        <v>1</v>
      </c>
      <c r="J262" s="3" t="s">
        <v>5</v>
      </c>
      <c r="K262" s="201" t="s">
        <v>411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512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645</v>
      </c>
      <c r="C269" s="132" t="s">
        <v>648</v>
      </c>
      <c r="D269" s="3" t="s">
        <v>393</v>
      </c>
      <c r="E269" s="3" t="s">
        <v>40</v>
      </c>
      <c r="F269" s="4" t="s">
        <v>35</v>
      </c>
      <c r="G269" s="132" t="s">
        <v>646</v>
      </c>
      <c r="H269" s="132" t="s">
        <v>652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3" t="s">
        <v>513</v>
      </c>
      <c r="C273" s="313"/>
      <c r="D273" s="313"/>
      <c r="E273" s="313"/>
      <c r="J273" s="307" t="s">
        <v>70</v>
      </c>
      <c r="K273" s="307"/>
      <c r="L273" s="307"/>
      <c r="M273" s="307"/>
      <c r="N273" s="307"/>
      <c r="O273" s="307"/>
    </row>
    <row r="274" spans="2:15" ht="18" x14ac:dyDescent="0.25">
      <c r="B274" s="313"/>
      <c r="C274" s="313"/>
      <c r="D274" s="313"/>
      <c r="E274" s="313"/>
      <c r="J274" s="307" t="s">
        <v>74</v>
      </c>
      <c r="K274" s="307"/>
      <c r="L274" s="307"/>
      <c r="M274" s="13"/>
      <c r="N274" s="314" t="s">
        <v>75</v>
      </c>
      <c r="O274" s="315"/>
    </row>
    <row r="275" spans="2:15" x14ac:dyDescent="0.2">
      <c r="B275" s="313"/>
      <c r="C275" s="313"/>
      <c r="D275" s="313"/>
      <c r="E275" s="313"/>
      <c r="J275" s="30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7"/>
      <c r="L275" s="307"/>
      <c r="M275" s="307"/>
      <c r="N275" s="307"/>
      <c r="O275" s="307"/>
    </row>
    <row r="276" spans="2:15" x14ac:dyDescent="0.2">
      <c r="B276" s="308" t="s">
        <v>666</v>
      </c>
      <c r="C276" s="308"/>
      <c r="D276" s="308"/>
      <c r="E276" s="308"/>
    </row>
    <row r="278" spans="2:15" ht="17" x14ac:dyDescent="0.25">
      <c r="C278" s="3" t="s">
        <v>1</v>
      </c>
      <c r="D278" s="3" t="s">
        <v>5</v>
      </c>
      <c r="E278" s="201" t="s">
        <v>411</v>
      </c>
      <c r="H278" s="171" t="s">
        <v>390</v>
      </c>
      <c r="I278" s="3" t="s">
        <v>1</v>
      </c>
      <c r="J278" s="3" t="s">
        <v>5</v>
      </c>
      <c r="K278" s="201" t="s">
        <v>411</v>
      </c>
    </row>
    <row r="279" spans="2:15" ht="18" x14ac:dyDescent="0.25">
      <c r="B279" s="171" t="s">
        <v>515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393</v>
      </c>
      <c r="G285" s="3" t="s">
        <v>596</v>
      </c>
      <c r="H285" s="3" t="s">
        <v>596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594</v>
      </c>
      <c r="C290" s="3">
        <f>C287/C288</f>
        <v>0.33567230039130802</v>
      </c>
    </row>
    <row r="291" spans="2:3" x14ac:dyDescent="0.2">
      <c r="B291" s="3" t="s">
        <v>595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18:E218"/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B243:E243"/>
    <mergeCell ref="B260:E260"/>
    <mergeCell ref="B276:E276"/>
    <mergeCell ref="A80:A85"/>
    <mergeCell ref="A91:A94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630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620</v>
      </c>
      <c r="E3" s="3" t="s">
        <v>619</v>
      </c>
      <c r="F3" s="292" t="s">
        <v>614</v>
      </c>
      <c r="G3" s="292" t="s">
        <v>622</v>
      </c>
      <c r="H3" s="3" t="s">
        <v>623</v>
      </c>
      <c r="I3" s="292" t="s">
        <v>624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631</v>
      </c>
      <c r="V3" s="3" t="s">
        <v>632</v>
      </c>
    </row>
    <row r="4" spans="2:22" x14ac:dyDescent="0.2">
      <c r="B4" s="3"/>
      <c r="C4" s="171" t="s">
        <v>603</v>
      </c>
      <c r="D4" s="13" t="s">
        <v>621</v>
      </c>
      <c r="E4" s="13" t="s">
        <v>63</v>
      </c>
      <c r="F4" s="13" t="s">
        <v>346</v>
      </c>
      <c r="G4" s="13" t="s">
        <v>621</v>
      </c>
      <c r="H4" s="13" t="s">
        <v>98</v>
      </c>
      <c r="I4" s="13" t="s">
        <v>621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603</v>
      </c>
      <c r="U4" s="13" t="s">
        <v>58</v>
      </c>
      <c r="V4" s="13" t="s">
        <v>58</v>
      </c>
    </row>
    <row r="5" spans="2:22" ht="15" customHeight="1" x14ac:dyDescent="0.2">
      <c r="B5" s="338" t="s">
        <v>597</v>
      </c>
      <c r="C5" s="3" t="s">
        <v>602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602</v>
      </c>
      <c r="U5" s="3">
        <f>K5</f>
        <v>-9.8484726160779719</v>
      </c>
      <c r="V5">
        <f>K15</f>
        <v>880.83108552905367</v>
      </c>
    </row>
    <row r="6" spans="2:22" ht="18" x14ac:dyDescent="0.25">
      <c r="B6" s="338"/>
      <c r="C6" s="3"/>
      <c r="D6" s="3" t="s">
        <v>54</v>
      </c>
      <c r="E6" s="1" t="s">
        <v>607</v>
      </c>
      <c r="F6" s="1" t="s">
        <v>608</v>
      </c>
      <c r="G6" s="1" t="s">
        <v>609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605</v>
      </c>
      <c r="U6" s="3">
        <f>H8</f>
        <v>831.8</v>
      </c>
      <c r="V6" s="3">
        <f>H18</f>
        <v>831.8</v>
      </c>
    </row>
    <row r="7" spans="2:22" ht="16" x14ac:dyDescent="0.2">
      <c r="B7" s="338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604</v>
      </c>
      <c r="U7" s="3">
        <f>Q11</f>
        <v>-293.51452993154498</v>
      </c>
      <c r="V7">
        <f>P21</f>
        <v>-2123.0450060933322</v>
      </c>
    </row>
    <row r="8" spans="2:22" x14ac:dyDescent="0.2">
      <c r="B8" s="338"/>
      <c r="C8" s="3" t="s">
        <v>605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8"/>
      <c r="C9" s="3"/>
      <c r="D9" s="3" t="s">
        <v>40</v>
      </c>
      <c r="E9" s="3" t="s">
        <v>599</v>
      </c>
      <c r="F9" s="3" t="s">
        <v>600</v>
      </c>
      <c r="G9" s="292" t="s">
        <v>611</v>
      </c>
      <c r="H9" s="292" t="s">
        <v>612</v>
      </c>
      <c r="I9" s="3" t="s">
        <v>613</v>
      </c>
      <c r="J9" s="292" t="s">
        <v>614</v>
      </c>
      <c r="K9" s="292" t="s">
        <v>615</v>
      </c>
      <c r="L9" s="292" t="s">
        <v>101</v>
      </c>
      <c r="M9" s="292" t="s">
        <v>616</v>
      </c>
      <c r="N9" s="292" t="s">
        <v>617</v>
      </c>
      <c r="O9" s="3" t="s">
        <v>54</v>
      </c>
      <c r="P9" s="292" t="s">
        <v>618</v>
      </c>
      <c r="Q9" s="292" t="s">
        <v>34</v>
      </c>
    </row>
    <row r="10" spans="2:22" ht="17" x14ac:dyDescent="0.25">
      <c r="B10" s="338"/>
      <c r="C10" s="3"/>
      <c r="D10" s="13" t="s">
        <v>633</v>
      </c>
      <c r="E10" s="13" t="s">
        <v>240</v>
      </c>
      <c r="F10" s="13" t="s">
        <v>240</v>
      </c>
      <c r="G10" s="13" t="s">
        <v>504</v>
      </c>
      <c r="H10" s="13" t="s">
        <v>504</v>
      </c>
      <c r="I10" s="13" t="s">
        <v>240</v>
      </c>
      <c r="J10" s="13" t="s">
        <v>504</v>
      </c>
      <c r="K10" s="13" t="s">
        <v>505</v>
      </c>
      <c r="L10" s="13" t="s">
        <v>505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631</v>
      </c>
      <c r="V10" s="3" t="s">
        <v>632</v>
      </c>
    </row>
    <row r="11" spans="2:22" x14ac:dyDescent="0.2">
      <c r="B11" s="338"/>
      <c r="C11" s="3" t="s">
        <v>604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603</v>
      </c>
      <c r="U11" s="13" t="s">
        <v>58</v>
      </c>
      <c r="V11" s="13" t="s">
        <v>58</v>
      </c>
    </row>
    <row r="12" spans="2:22" x14ac:dyDescent="0.2">
      <c r="S12" s="339" t="s">
        <v>634</v>
      </c>
      <c r="T12" s="13" t="s">
        <v>602</v>
      </c>
      <c r="U12" s="240" t="s">
        <v>480</v>
      </c>
      <c r="V12" s="240">
        <v>880.83</v>
      </c>
    </row>
    <row r="13" spans="2:22" x14ac:dyDescent="0.2">
      <c r="B13" s="240"/>
      <c r="C13" s="240"/>
      <c r="D13" s="240" t="s">
        <v>601</v>
      </c>
      <c r="E13" s="240" t="s">
        <v>599</v>
      </c>
      <c r="F13" s="240" t="s">
        <v>600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39"/>
      <c r="T13" s="13" t="s">
        <v>605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606</v>
      </c>
      <c r="H14" s="294" t="s">
        <v>606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39"/>
      <c r="T14" s="13" t="s">
        <v>604</v>
      </c>
      <c r="U14" s="240">
        <v>869.44899999999996</v>
      </c>
      <c r="V14" s="240">
        <v>858.81600000000003</v>
      </c>
    </row>
    <row r="15" spans="2:22" x14ac:dyDescent="0.2">
      <c r="B15" s="338" t="s">
        <v>598</v>
      </c>
      <c r="C15" s="240" t="s">
        <v>602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8"/>
      <c r="C16" s="240"/>
      <c r="D16" s="240" t="s">
        <v>54</v>
      </c>
      <c r="E16" s="295" t="s">
        <v>607</v>
      </c>
      <c r="F16" s="295" t="s">
        <v>608</v>
      </c>
      <c r="G16" s="295" t="s">
        <v>609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8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8"/>
      <c r="C18" s="240" t="s">
        <v>605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8"/>
      <c r="C19" s="240"/>
      <c r="D19" s="240" t="s">
        <v>503</v>
      </c>
      <c r="E19" s="240" t="s">
        <v>503</v>
      </c>
      <c r="F19" s="297" t="s">
        <v>626</v>
      </c>
      <c r="G19" s="297" t="s">
        <v>627</v>
      </c>
      <c r="H19" s="297" t="s">
        <v>614</v>
      </c>
      <c r="I19" s="297" t="s">
        <v>624</v>
      </c>
      <c r="J19" s="297" t="s">
        <v>624</v>
      </c>
      <c r="K19" s="240" t="s">
        <v>40</v>
      </c>
      <c r="L19" s="297" t="s">
        <v>616</v>
      </c>
      <c r="M19" s="297" t="s">
        <v>617</v>
      </c>
      <c r="N19" s="297" t="s">
        <v>628</v>
      </c>
      <c r="O19" s="297" t="s">
        <v>629</v>
      </c>
      <c r="P19" s="297" t="s">
        <v>34</v>
      </c>
    </row>
    <row r="20" spans="2:16" x14ac:dyDescent="0.2">
      <c r="B20" s="338"/>
      <c r="C20" s="240"/>
      <c r="D20" s="294" t="s">
        <v>504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505</v>
      </c>
      <c r="J20" s="294" t="s">
        <v>625</v>
      </c>
      <c r="K20" s="294" t="s">
        <v>610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8"/>
      <c r="C21" s="240" t="s">
        <v>604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575</v>
      </c>
    </row>
    <row r="33" spans="3:3" x14ac:dyDescent="0.2">
      <c r="C33" s="3" t="s">
        <v>576</v>
      </c>
    </row>
    <row r="34" spans="3:3" x14ac:dyDescent="0.2">
      <c r="C34" s="3" t="s">
        <v>560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abSelected="1" topLeftCell="A117" zoomScaleNormal="120" workbookViewId="0">
      <selection activeCell="EF106" sqref="EF10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0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3" t="s">
        <v>364</v>
      </c>
      <c r="Q23" s="363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4"/>
      <c r="Q24" s="364"/>
    </row>
    <row r="25" spans="14:66" ht="16" x14ac:dyDescent="0.2">
      <c r="P25" s="353" t="s">
        <v>344</v>
      </c>
      <c r="Q25" s="138" t="s">
        <v>317</v>
      </c>
      <c r="AO25" s="350" t="s">
        <v>440</v>
      </c>
      <c r="AP25" s="350"/>
      <c r="AQ25" s="350"/>
      <c r="AR25" s="350"/>
      <c r="AS25" s="350"/>
      <c r="AT25" s="350"/>
      <c r="AU25" s="350"/>
      <c r="BH25" s="350" t="s">
        <v>444</v>
      </c>
      <c r="BI25" s="350"/>
      <c r="BJ25" s="350"/>
      <c r="BK25" s="350"/>
      <c r="BL25" s="350"/>
      <c r="BM25" s="350"/>
      <c r="BN25" s="350"/>
    </row>
    <row r="26" spans="14:66" x14ac:dyDescent="0.2">
      <c r="P26" s="354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640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52" t="s">
        <v>424</v>
      </c>
      <c r="F42" s="352"/>
      <c r="G42" s="352"/>
      <c r="H42" s="352"/>
      <c r="J42" s="4"/>
      <c r="K42" s="4"/>
      <c r="L42" s="4"/>
      <c r="M42" s="4"/>
      <c r="N42" s="4"/>
      <c r="O42" s="4"/>
      <c r="P42" s="271"/>
      <c r="Q42" s="271" t="s">
        <v>425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65" t="s">
        <v>417</v>
      </c>
      <c r="X42" s="365"/>
      <c r="Y42" s="365"/>
      <c r="Z42" s="365"/>
      <c r="AA42" s="365"/>
      <c r="AB42" s="4"/>
      <c r="AC42" s="4"/>
      <c r="AD42" s="4"/>
      <c r="AE42" s="4"/>
      <c r="AF42" s="4"/>
      <c r="AG42" s="4"/>
      <c r="AH42" s="4"/>
      <c r="AI42" s="97"/>
      <c r="AJ42" s="4" t="s">
        <v>554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65" t="s">
        <v>568</v>
      </c>
      <c r="AQ42" s="365"/>
      <c r="AR42" s="365"/>
      <c r="AS42" s="365"/>
      <c r="AT42" s="365"/>
      <c r="AV42" s="4"/>
      <c r="AW42" s="4"/>
      <c r="AX42" s="4"/>
      <c r="AY42" s="4"/>
      <c r="AZ42" s="4"/>
      <c r="BA42" s="4"/>
      <c r="BB42" s="4"/>
      <c r="BC42" s="4" t="s">
        <v>553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65" t="s">
        <v>445</v>
      </c>
      <c r="BJ42" s="365"/>
      <c r="BK42" s="365"/>
      <c r="BL42" s="365"/>
      <c r="BM42" s="365"/>
      <c r="BV42" s="3" t="s">
        <v>551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52"/>
      <c r="F43" s="352"/>
      <c r="G43" s="352"/>
      <c r="H43" s="352"/>
      <c r="J43" s="4"/>
      <c r="K43" s="4"/>
      <c r="L43" s="4"/>
      <c r="M43" s="4"/>
      <c r="N43" s="4"/>
      <c r="O43" s="4"/>
      <c r="P43" s="4"/>
      <c r="Q43" s="4"/>
      <c r="R43" s="4"/>
      <c r="S43" s="4"/>
      <c r="W43" s="366"/>
      <c r="X43" s="366"/>
      <c r="Y43" s="366"/>
      <c r="Z43" s="366"/>
      <c r="AA43" s="366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65"/>
      <c r="AQ43" s="365"/>
      <c r="AR43" s="365"/>
      <c r="AS43" s="365"/>
      <c r="AT43" s="36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65"/>
      <c r="BJ43" s="365"/>
      <c r="BK43" s="365"/>
      <c r="BL43" s="365"/>
      <c r="BM43" s="365"/>
    </row>
    <row r="44" spans="5:80" ht="19.25" customHeight="1" x14ac:dyDescent="0.25">
      <c r="J44" s="4"/>
      <c r="K44" s="1" t="s">
        <v>561</v>
      </c>
      <c r="L44" s="1" t="s">
        <v>562</v>
      </c>
      <c r="M44" s="1" t="s">
        <v>564</v>
      </c>
      <c r="N44" s="1" t="s">
        <v>85</v>
      </c>
      <c r="O44" s="1" t="s">
        <v>668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563</v>
      </c>
      <c r="V44" s="1" t="s">
        <v>50</v>
      </c>
      <c r="W44" s="22" t="s">
        <v>433</v>
      </c>
      <c r="X44" s="100" t="s">
        <v>481</v>
      </c>
      <c r="Y44" s="192" t="s">
        <v>337</v>
      </c>
      <c r="Z44" s="370" t="s">
        <v>344</v>
      </c>
      <c r="AA44" s="138" t="s">
        <v>317</v>
      </c>
      <c r="AB44" s="4"/>
      <c r="AC44" s="4"/>
      <c r="AD44" s="1" t="s">
        <v>561</v>
      </c>
      <c r="AE44" s="1" t="s">
        <v>562</v>
      </c>
      <c r="AF44" s="1" t="s">
        <v>564</v>
      </c>
      <c r="AG44" s="1" t="s">
        <v>85</v>
      </c>
      <c r="AH44" s="1" t="s">
        <v>668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563</v>
      </c>
      <c r="AO44" s="1" t="s">
        <v>50</v>
      </c>
      <c r="AP44" s="22" t="s">
        <v>433</v>
      </c>
      <c r="AQ44" s="22" t="s">
        <v>481</v>
      </c>
      <c r="AR44" s="161" t="s">
        <v>337</v>
      </c>
      <c r="AS44" s="353" t="s">
        <v>344</v>
      </c>
      <c r="AT44" s="138" t="s">
        <v>317</v>
      </c>
      <c r="AU44" s="4"/>
      <c r="AV44" s="4"/>
      <c r="AW44" s="1" t="s">
        <v>561</v>
      </c>
      <c r="AX44" s="1" t="s">
        <v>562</v>
      </c>
      <c r="AY44" s="1" t="s">
        <v>564</v>
      </c>
      <c r="AZ44" s="1" t="s">
        <v>85</v>
      </c>
      <c r="BA44" s="1" t="s">
        <v>668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563</v>
      </c>
      <c r="BH44" s="1" t="s">
        <v>50</v>
      </c>
      <c r="BI44" s="22" t="s">
        <v>433</v>
      </c>
      <c r="BJ44" s="22" t="s">
        <v>481</v>
      </c>
      <c r="BK44" s="192" t="s">
        <v>337</v>
      </c>
      <c r="BL44" s="353" t="s">
        <v>344</v>
      </c>
      <c r="BM44" s="138" t="s">
        <v>317</v>
      </c>
      <c r="BN44" s="1"/>
      <c r="BO44" s="4"/>
      <c r="BP44" s="1" t="s">
        <v>561</v>
      </c>
      <c r="BQ44" s="1" t="s">
        <v>562</v>
      </c>
      <c r="BR44" s="1" t="s">
        <v>564</v>
      </c>
      <c r="BS44" s="1" t="s">
        <v>85</v>
      </c>
      <c r="BT44" s="1" t="s">
        <v>668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563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653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71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653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653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653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3" t="s">
        <v>425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>N46/$AZ$52</f>
        <v>0.72360528709446914</v>
      </c>
      <c r="R46" s="62">
        <f>LN(Q46)</f>
        <v>-0.3235092188341952</v>
      </c>
      <c r="S46" s="62">
        <f t="shared" ref="S46:S51" si="3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4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3" t="s">
        <v>554</v>
      </c>
      <c r="AC46" s="8" t="s">
        <v>15</v>
      </c>
      <c r="AD46" s="62">
        <f>AW46</f>
        <v>881.06000000000006</v>
      </c>
      <c r="AE46" s="62">
        <f t="shared" ref="AE46:AE51" si="5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6">AG46/$AZ$52</f>
        <v>0.72360528709446914</v>
      </c>
      <c r="AK46" s="62">
        <f>LN(AJ46)</f>
        <v>-0.3235092188341952</v>
      </c>
      <c r="AL46" s="62">
        <f t="shared" ref="AL46:AL51" si="7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8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3" t="s">
        <v>553</v>
      </c>
      <c r="AV46" s="8" t="s">
        <v>15</v>
      </c>
      <c r="AW46" s="62">
        <f>BP46</f>
        <v>881.06000000000006</v>
      </c>
      <c r="AX46" s="62">
        <f t="shared" ref="AX46:AX51" si="9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0">AZ46/$AZ$52</f>
        <v>0.72360528709446914</v>
      </c>
      <c r="BD46" s="62">
        <f>LN(BC46)</f>
        <v>-0.3235092188341952</v>
      </c>
      <c r="BE46" s="62">
        <f t="shared" ref="BE46:BE51" si="11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2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3" t="s">
        <v>551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3"/>
      <c r="J47" s="1" t="s">
        <v>17</v>
      </c>
      <c r="K47" s="4">
        <f t="shared" ref="K47:K51" si="13">AD47</f>
        <v>118.94000000000001</v>
      </c>
      <c r="L47" s="4">
        <f t="shared" ref="L47:L51" si="14">K47/$K$52</f>
        <v>0.11755665604667312</v>
      </c>
      <c r="M47" s="4">
        <f>MW_SIO2</f>
        <v>6.00843E-2</v>
      </c>
      <c r="N47" s="4">
        <f>K47/M47</f>
        <v>1979.5520626852608</v>
      </c>
      <c r="O47" s="4">
        <f>h_SiO2</f>
        <v>-15157.037695371337</v>
      </c>
      <c r="P47" s="4">
        <f>b_ch_SiO2</f>
        <v>1.5260000000000673</v>
      </c>
      <c r="Q47" s="4">
        <f>N47/$AZ$52</f>
        <v>0.25961871767105915</v>
      </c>
      <c r="R47" s="4">
        <f t="shared" ref="R47:R51" si="15">LN(Q47)</f>
        <v>-1.3485411947827832</v>
      </c>
      <c r="S47" s="4">
        <f t="shared" si="3"/>
        <v>-3.0624953834287818</v>
      </c>
      <c r="T47" s="4">
        <f t="shared" ref="T47:T51" si="16">S47+P47</f>
        <v>-1.5364953834287145</v>
      </c>
      <c r="U47" s="4">
        <f t="shared" ref="U47:U51" si="17">Q47*T47</f>
        <v>-0.39890296115326523</v>
      </c>
      <c r="V47" s="4">
        <f t="shared" si="4"/>
        <v>-3041.5726055726927</v>
      </c>
      <c r="X47" s="4"/>
      <c r="Y47" s="4"/>
      <c r="Z47" s="139" t="s">
        <v>640</v>
      </c>
      <c r="AA47" s="136">
        <f>($AO$42+AO63)/(V59+V72+$V$42)</f>
        <v>0.54834789034775577</v>
      </c>
      <c r="AB47" s="343"/>
      <c r="AC47" s="1" t="s">
        <v>17</v>
      </c>
      <c r="AD47" s="4">
        <f>AW47</f>
        <v>118.94000000000001</v>
      </c>
      <c r="AE47" s="4">
        <f t="shared" si="5"/>
        <v>0.11755665604667312</v>
      </c>
      <c r="AF47" s="4">
        <f>MW_SIO2</f>
        <v>6.00843E-2</v>
      </c>
      <c r="AG47" s="4">
        <f t="shared" ref="AG47:AG51" si="18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6"/>
        <v>0.25961871767105915</v>
      </c>
      <c r="AK47" s="4">
        <f t="shared" ref="AK47:AK51" si="19">LN(AJ47)</f>
        <v>-1.3485411947827832</v>
      </c>
      <c r="AL47" s="4">
        <f t="shared" si="7"/>
        <v>-3.0624953834287818</v>
      </c>
      <c r="AM47" s="4">
        <f t="shared" ref="AM47:AM51" si="20">AL47+AI47</f>
        <v>-1.5364953834287145</v>
      </c>
      <c r="AN47" s="4">
        <f t="shared" ref="AN47:AN51" si="21">AJ47*AM47</f>
        <v>-0.39890296115326523</v>
      </c>
      <c r="AO47" s="4">
        <f t="shared" si="8"/>
        <v>-3041.5726055726927</v>
      </c>
      <c r="AP47" s="4"/>
      <c r="AQ47" s="4"/>
      <c r="AR47" s="4"/>
      <c r="AS47" s="139" t="s">
        <v>640</v>
      </c>
      <c r="AT47" s="136">
        <f>BH42/(AU28+AO42)</f>
        <v>0.15191900995389168</v>
      </c>
      <c r="AU47" s="343"/>
      <c r="AV47" s="1" t="s">
        <v>17</v>
      </c>
      <c r="AW47" s="4">
        <f>BP47</f>
        <v>118.94000000000001</v>
      </c>
      <c r="AX47" s="4">
        <f t="shared" si="9"/>
        <v>0.11755665604667312</v>
      </c>
      <c r="AY47" s="4">
        <f>MW_SIO2</f>
        <v>6.00843E-2</v>
      </c>
      <c r="AZ47" s="4">
        <f t="shared" ref="AZ47:AZ51" si="22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0"/>
        <v>0.25961871767105915</v>
      </c>
      <c r="BD47" s="4">
        <f t="shared" ref="BD47:BD51" si="23">LN(BC47)</f>
        <v>-1.3485411947827832</v>
      </c>
      <c r="BE47" s="4">
        <f t="shared" si="11"/>
        <v>-3.0624953834287818</v>
      </c>
      <c r="BF47" s="4">
        <f t="shared" ref="BF47:BF51" si="24">BE47+BB47</f>
        <v>-1.5364953834287145</v>
      </c>
      <c r="BG47" s="4">
        <f t="shared" ref="BG47:BG51" si="25">BC47*BF47</f>
        <v>-0.39890296115326523</v>
      </c>
      <c r="BH47" s="4">
        <f t="shared" si="12"/>
        <v>-3041.5726055726927</v>
      </c>
      <c r="BI47" s="4"/>
      <c r="BL47" s="139" t="s">
        <v>640</v>
      </c>
      <c r="BM47" s="136">
        <f>(CA42+CA55)/(BN35+BH42)</f>
        <v>0.9084965360427989</v>
      </c>
      <c r="BN47" s="343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3" t="s">
        <v>556</v>
      </c>
      <c r="J48" s="4" t="s">
        <v>315</v>
      </c>
      <c r="K48" s="4">
        <f t="shared" si="13"/>
        <v>1.249958452402667</v>
      </c>
      <c r="L48" s="4">
        <f t="shared" si="14"/>
        <v>1.2354206815346574E-3</v>
      </c>
      <c r="M48" s="4">
        <f>MW_K2O</f>
        <v>9.4196000000000002E-2</v>
      </c>
      <c r="N48" s="4">
        <f>K48/M48</f>
        <v>13.269761480345949</v>
      </c>
      <c r="O48" s="4">
        <f>h_K2O</f>
        <v>-3024.5445666482651</v>
      </c>
      <c r="P48" s="4">
        <f>b_ch_K2O</f>
        <v>412.83199999999999</v>
      </c>
      <c r="Q48" s="4">
        <f>N48/$AZ$52</f>
        <v>1.7403323328889792E-3</v>
      </c>
      <c r="R48" s="4">
        <f t="shared" si="15"/>
        <v>-6.35367918807989</v>
      </c>
      <c r="S48" s="4">
        <f t="shared" si="3"/>
        <v>-14.429009107442518</v>
      </c>
      <c r="T48" s="4">
        <f t="shared" si="16"/>
        <v>398.40299089255745</v>
      </c>
      <c r="U48" s="4">
        <f t="shared" si="17"/>
        <v>0.69335360656999123</v>
      </c>
      <c r="V48" s="4">
        <f t="shared" si="4"/>
        <v>5286.7126622006763</v>
      </c>
      <c r="X48" s="4"/>
      <c r="Y48" s="4"/>
      <c r="Z48" s="140" t="s">
        <v>408</v>
      </c>
      <c r="AA48" s="137">
        <f>$AO$46/(V59+V72+$V$42)</f>
        <v>0.4504526211892465</v>
      </c>
      <c r="AB48" s="343" t="s">
        <v>555</v>
      </c>
      <c r="AC48" s="4" t="s">
        <v>315</v>
      </c>
      <c r="AD48" s="4">
        <v>1.249958452402667</v>
      </c>
      <c r="AE48" s="4">
        <f t="shared" si="5"/>
        <v>1.2354206815346574E-3</v>
      </c>
      <c r="AF48" s="4">
        <f>MW_K2O</f>
        <v>9.4196000000000002E-2</v>
      </c>
      <c r="AG48" s="4">
        <f t="shared" si="18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6"/>
        <v>1.7403323328889792E-3</v>
      </c>
      <c r="AK48" s="4">
        <f t="shared" si="19"/>
        <v>-6.35367918807989</v>
      </c>
      <c r="AL48" s="4">
        <f t="shared" si="7"/>
        <v>-14.429009107442518</v>
      </c>
      <c r="AM48" s="4">
        <f t="shared" si="20"/>
        <v>398.40299089255745</v>
      </c>
      <c r="AN48" s="4">
        <f t="shared" si="21"/>
        <v>0.69335360656999123</v>
      </c>
      <c r="AO48" s="4">
        <f t="shared" si="8"/>
        <v>5286.7126622006763</v>
      </c>
      <c r="AP48" s="4"/>
      <c r="AQ48" s="4"/>
      <c r="AR48" s="4"/>
      <c r="AS48" s="140" t="s">
        <v>408</v>
      </c>
      <c r="AT48" s="137">
        <f>BH46/(AU28+AO42)</f>
        <v>0.12756053024900801</v>
      </c>
      <c r="AU48" s="343" t="s">
        <v>552</v>
      </c>
      <c r="AV48" s="4" t="s">
        <v>315</v>
      </c>
      <c r="AW48" s="4">
        <f>AD48</f>
        <v>1.249958452402667</v>
      </c>
      <c r="AX48" s="4">
        <f t="shared" si="9"/>
        <v>1.2354206815346574E-3</v>
      </c>
      <c r="AY48" s="4">
        <f>MW_K2O</f>
        <v>9.4196000000000002E-2</v>
      </c>
      <c r="AZ48" s="4">
        <f t="shared" si="22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0"/>
        <v>1.7403323328889792E-3</v>
      </c>
      <c r="BD48" s="4">
        <f t="shared" si="23"/>
        <v>-6.35367918807989</v>
      </c>
      <c r="BE48" s="4">
        <f t="shared" si="11"/>
        <v>-14.429009107442518</v>
      </c>
      <c r="BF48" s="4">
        <f t="shared" si="24"/>
        <v>398.40299089255745</v>
      </c>
      <c r="BG48" s="4">
        <f t="shared" si="25"/>
        <v>0.69335360656999123</v>
      </c>
      <c r="BH48" s="4">
        <f t="shared" si="12"/>
        <v>5286.7126622006763</v>
      </c>
      <c r="BI48" s="4"/>
      <c r="BL48" s="140" t="s">
        <v>408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3"/>
      <c r="J49" s="4" t="s">
        <v>307</v>
      </c>
      <c r="K49" s="4">
        <f t="shared" si="13"/>
        <v>9.9996676192213361</v>
      </c>
      <c r="L49" s="4">
        <f t="shared" si="14"/>
        <v>9.8833654522772589E-3</v>
      </c>
      <c r="M49" s="4">
        <f>MW_Al2O3</f>
        <v>0.10196127799999999</v>
      </c>
      <c r="N49" s="4">
        <f>K49/M49</f>
        <v>98.073188325683176</v>
      </c>
      <c r="O49" s="4">
        <f>h_Al2O3</f>
        <v>-16434.670424590011</v>
      </c>
      <c r="P49" s="4">
        <f>b_ch_Al2O3</f>
        <v>31.875999999999976</v>
      </c>
      <c r="Q49" s="4">
        <f>N49/$AZ$52</f>
        <v>1.2862321669119157E-2</v>
      </c>
      <c r="R49" s="4">
        <f t="shared" si="15"/>
        <v>-4.3534530423208677</v>
      </c>
      <c r="S49" s="4">
        <f t="shared" si="3"/>
        <v>-9.8865573374116824</v>
      </c>
      <c r="T49" s="4">
        <f t="shared" si="16"/>
        <v>21.989442662588296</v>
      </c>
      <c r="U49" s="4">
        <f t="shared" si="17"/>
        <v>0.28283528485086268</v>
      </c>
      <c r="V49" s="4">
        <f t="shared" si="4"/>
        <v>2156.5747514248337</v>
      </c>
      <c r="X49" s="4"/>
      <c r="Y49" s="4"/>
      <c r="Z49" s="4"/>
      <c r="AA49" s="4"/>
      <c r="AB49" s="343"/>
      <c r="AC49" s="4" t="s">
        <v>307</v>
      </c>
      <c r="AD49" s="4">
        <v>9.9996676192213361</v>
      </c>
      <c r="AE49" s="4">
        <f t="shared" si="5"/>
        <v>9.8833654522772589E-3</v>
      </c>
      <c r="AF49" s="4">
        <f>MW_Al2O3</f>
        <v>0.10196127799999999</v>
      </c>
      <c r="AG49" s="4">
        <f t="shared" si="18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6"/>
        <v>1.2862321669119157E-2</v>
      </c>
      <c r="AK49" s="4">
        <f t="shared" si="19"/>
        <v>-4.3534530423208677</v>
      </c>
      <c r="AL49" s="4">
        <f t="shared" si="7"/>
        <v>-9.8865573374116824</v>
      </c>
      <c r="AM49" s="4">
        <f t="shared" si="20"/>
        <v>21.989442662588296</v>
      </c>
      <c r="AN49" s="4">
        <f t="shared" si="21"/>
        <v>0.28283528485086268</v>
      </c>
      <c r="AO49" s="4">
        <f t="shared" si="8"/>
        <v>2156.5747514248337</v>
      </c>
      <c r="AP49" s="4"/>
      <c r="AQ49" s="4"/>
      <c r="AR49" s="4"/>
      <c r="AS49" s="4"/>
      <c r="AT49" s="4"/>
      <c r="AU49" s="343"/>
      <c r="AV49" s="4" t="s">
        <v>307</v>
      </c>
      <c r="AW49" s="4">
        <f>AD49</f>
        <v>9.9996676192213361</v>
      </c>
      <c r="AX49" s="4">
        <f t="shared" si="9"/>
        <v>9.8833654522772589E-3</v>
      </c>
      <c r="AY49" s="4">
        <f>MW_Al2O3</f>
        <v>0.10196127799999999</v>
      </c>
      <c r="AZ49" s="4">
        <f t="shared" si="22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0"/>
        <v>1.2862321669119157E-2</v>
      </c>
      <c r="BD49" s="4">
        <f t="shared" si="23"/>
        <v>-4.3534530423208677</v>
      </c>
      <c r="BE49" s="4">
        <f t="shared" si="11"/>
        <v>-9.8865573374116824</v>
      </c>
      <c r="BF49" s="4">
        <f t="shared" si="24"/>
        <v>21.989442662588296</v>
      </c>
      <c r="BG49" s="4">
        <f t="shared" si="25"/>
        <v>0.28283528485086268</v>
      </c>
      <c r="BH49" s="4">
        <f t="shared" si="12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669</v>
      </c>
      <c r="BU49" s="4"/>
      <c r="BV49" s="4"/>
      <c r="BZ49" s="3" t="s">
        <v>96</v>
      </c>
      <c r="CA49" s="1" t="s">
        <v>93</v>
      </c>
    </row>
    <row r="50" spans="2:86" x14ac:dyDescent="0.2">
      <c r="I50" s="343"/>
      <c r="J50" s="4" t="s">
        <v>181</v>
      </c>
      <c r="K50" s="4">
        <f t="shared" si="13"/>
        <v>0.38391581038081912</v>
      </c>
      <c r="L50" s="4">
        <f t="shared" si="14"/>
        <v>3.7945063789993045E-4</v>
      </c>
      <c r="M50" s="4">
        <f>MW_P</f>
        <v>3.0973762000000002E-2</v>
      </c>
      <c r="N50" s="4">
        <f>K50/M50</f>
        <v>12.394871839617645</v>
      </c>
      <c r="O50" s="4">
        <f>h_P</f>
        <v>0</v>
      </c>
      <c r="P50" s="4">
        <f>b_ch_P</f>
        <v>873.60807999999997</v>
      </c>
      <c r="Q50" s="4">
        <f>N50/$AZ$52</f>
        <v>1.6255903511491995E-3</v>
      </c>
      <c r="R50" s="4">
        <f t="shared" si="15"/>
        <v>-6.4218842361604729</v>
      </c>
      <c r="S50" s="4">
        <f t="shared" si="3"/>
        <v>-14.583900664097536</v>
      </c>
      <c r="T50" s="4">
        <f t="shared" si="16"/>
        <v>859.02417933590243</v>
      </c>
      <c r="U50" s="4">
        <f t="shared" si="17"/>
        <v>1.3964214173323026</v>
      </c>
      <c r="V50" s="4">
        <f t="shared" si="4"/>
        <v>10647.494610001237</v>
      </c>
      <c r="X50" s="4"/>
      <c r="Y50" s="4"/>
      <c r="Z50" s="4"/>
      <c r="AA50" s="4"/>
      <c r="AB50" s="343"/>
      <c r="AC50" s="4" t="s">
        <v>181</v>
      </c>
      <c r="AD50" s="4">
        <v>0.38391581038081912</v>
      </c>
      <c r="AE50" s="4">
        <f t="shared" si="5"/>
        <v>3.7945063789993045E-4</v>
      </c>
      <c r="AF50" s="4">
        <f>MW_P</f>
        <v>3.0973762000000002E-2</v>
      </c>
      <c r="AG50" s="4">
        <f t="shared" si="18"/>
        <v>12.394871839617645</v>
      </c>
      <c r="AH50" s="4">
        <f>h_P</f>
        <v>0</v>
      </c>
      <c r="AI50" s="4">
        <f>b_ch_P</f>
        <v>873.60807999999997</v>
      </c>
      <c r="AJ50" s="4">
        <f t="shared" si="6"/>
        <v>1.6255903511491995E-3</v>
      </c>
      <c r="AK50" s="4">
        <f t="shared" si="19"/>
        <v>-6.4218842361604729</v>
      </c>
      <c r="AL50" s="4">
        <f t="shared" si="7"/>
        <v>-14.583900664097536</v>
      </c>
      <c r="AM50" s="4">
        <f t="shared" si="20"/>
        <v>859.02417933590243</v>
      </c>
      <c r="AN50" s="4">
        <f t="shared" si="21"/>
        <v>1.3964214173323026</v>
      </c>
      <c r="AO50" s="4">
        <f t="shared" si="8"/>
        <v>10647.494610001237</v>
      </c>
      <c r="AP50" s="4"/>
      <c r="AQ50" s="4"/>
      <c r="AR50" s="4"/>
      <c r="AS50" s="4"/>
      <c r="AT50" s="4"/>
      <c r="AU50" s="343"/>
      <c r="AV50" s="4" t="s">
        <v>181</v>
      </c>
      <c r="AW50" s="4">
        <f>AD50</f>
        <v>0.38391581038081912</v>
      </c>
      <c r="AX50" s="4">
        <f t="shared" si="9"/>
        <v>3.7945063789993045E-4</v>
      </c>
      <c r="AY50" s="4">
        <f>MW_P</f>
        <v>3.0973762000000002E-2</v>
      </c>
      <c r="AZ50" s="4">
        <f t="shared" si="22"/>
        <v>12.394871839617645</v>
      </c>
      <c r="BA50" s="4">
        <f>h_P</f>
        <v>0</v>
      </c>
      <c r="BB50" s="4">
        <f>b_ch_P</f>
        <v>873.60807999999997</v>
      </c>
      <c r="BC50" s="4">
        <f t="shared" si="10"/>
        <v>1.6255903511491995E-3</v>
      </c>
      <c r="BD50" s="4">
        <f t="shared" si="23"/>
        <v>-6.4218842361604729</v>
      </c>
      <c r="BE50" s="4">
        <f t="shared" si="11"/>
        <v>-14.583900664097536</v>
      </c>
      <c r="BF50" s="4">
        <f t="shared" si="24"/>
        <v>859.02417933590243</v>
      </c>
      <c r="BG50" s="4">
        <f t="shared" si="25"/>
        <v>1.3964214173323026</v>
      </c>
      <c r="BH50" s="4">
        <f t="shared" si="12"/>
        <v>10647.494610001237</v>
      </c>
      <c r="BI50" s="4"/>
    </row>
    <row r="51" spans="2:86" x14ac:dyDescent="0.2">
      <c r="I51" s="343"/>
      <c r="J51" s="4" t="s">
        <v>180</v>
      </c>
      <c r="K51" s="4">
        <f t="shared" si="13"/>
        <v>0.13392411990028574</v>
      </c>
      <c r="L51" s="4">
        <f t="shared" si="14"/>
        <v>1.3236650159299899E-4</v>
      </c>
      <c r="M51" s="4">
        <f>MW_S</f>
        <v>3.2066000000000004E-2</v>
      </c>
      <c r="N51" s="4">
        <f>K51/M51</f>
        <v>4.1765146853454036</v>
      </c>
      <c r="O51" s="4">
        <f>h_S</f>
        <v>0</v>
      </c>
      <c r="P51" s="4">
        <f>b_ch_S</f>
        <v>607.29999999999995</v>
      </c>
      <c r="Q51" s="4">
        <f>N51/$AZ$52</f>
        <v>5.4775088131446613E-4</v>
      </c>
      <c r="R51" s="4">
        <f t="shared" si="15"/>
        <v>-7.5096899705178952</v>
      </c>
      <c r="S51" s="4">
        <f t="shared" si="3"/>
        <v>-17.054273873626048</v>
      </c>
      <c r="T51" s="4">
        <f t="shared" si="16"/>
        <v>590.24572612637394</v>
      </c>
      <c r="U51" s="4">
        <f t="shared" si="17"/>
        <v>0.32330761667781832</v>
      </c>
      <c r="V51" s="4">
        <f t="shared" si="4"/>
        <v>2465.1699431291622</v>
      </c>
      <c r="X51" s="4"/>
      <c r="Y51" s="4"/>
      <c r="Z51" s="4"/>
      <c r="AA51" s="4"/>
      <c r="AB51" s="343"/>
      <c r="AC51" s="4" t="s">
        <v>180</v>
      </c>
      <c r="AD51" s="4">
        <v>0.13392411990028574</v>
      </c>
      <c r="AE51" s="4">
        <f t="shared" si="5"/>
        <v>1.3236650159299899E-4</v>
      </c>
      <c r="AF51" s="4">
        <f>MW_S</f>
        <v>3.2066000000000004E-2</v>
      </c>
      <c r="AG51" s="4">
        <f t="shared" si="18"/>
        <v>4.1765146853454036</v>
      </c>
      <c r="AH51" s="4">
        <f>h_S</f>
        <v>0</v>
      </c>
      <c r="AI51" s="4">
        <f>b_ch_S</f>
        <v>607.29999999999995</v>
      </c>
      <c r="AJ51" s="4">
        <f t="shared" si="6"/>
        <v>5.4775088131446613E-4</v>
      </c>
      <c r="AK51" s="4">
        <f t="shared" si="19"/>
        <v>-7.5096899705178952</v>
      </c>
      <c r="AL51" s="4">
        <f t="shared" si="7"/>
        <v>-17.054273873626048</v>
      </c>
      <c r="AM51" s="4">
        <f t="shared" si="20"/>
        <v>590.24572612637394</v>
      </c>
      <c r="AN51" s="4">
        <f t="shared" si="21"/>
        <v>0.32330761667781832</v>
      </c>
      <c r="AO51" s="4">
        <f t="shared" si="8"/>
        <v>2465.1699431291622</v>
      </c>
      <c r="AP51" s="4"/>
      <c r="AQ51" s="4"/>
      <c r="AR51" s="4"/>
      <c r="AS51" s="4"/>
      <c r="AT51" s="4"/>
      <c r="AU51" s="343"/>
      <c r="AV51" s="4" t="s">
        <v>180</v>
      </c>
      <c r="AW51" s="4">
        <f>AD51</f>
        <v>0.13392411990028574</v>
      </c>
      <c r="AX51" s="4">
        <f t="shared" si="9"/>
        <v>1.3236650159299899E-4</v>
      </c>
      <c r="AY51" s="4">
        <f>MW_S</f>
        <v>3.2066000000000004E-2</v>
      </c>
      <c r="AZ51" s="4">
        <f t="shared" si="22"/>
        <v>4.1765146853454036</v>
      </c>
      <c r="BA51" s="4">
        <f>h_S</f>
        <v>0</v>
      </c>
      <c r="BB51" s="4">
        <f>b_ch_S</f>
        <v>607.29999999999995</v>
      </c>
      <c r="BC51" s="4">
        <f t="shared" si="10"/>
        <v>5.4775088131446613E-4</v>
      </c>
      <c r="BD51" s="4">
        <f t="shared" si="23"/>
        <v>-7.5096899705178952</v>
      </c>
      <c r="BE51" s="4">
        <f t="shared" si="11"/>
        <v>-17.054273873626048</v>
      </c>
      <c r="BF51" s="4">
        <f t="shared" si="24"/>
        <v>590.24572612637394</v>
      </c>
      <c r="BG51" s="4">
        <f t="shared" si="25"/>
        <v>0.32330761667781832</v>
      </c>
      <c r="BH51" s="4">
        <f t="shared" si="12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588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588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588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669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590</v>
      </c>
      <c r="Z53" s="1" t="s">
        <v>590</v>
      </c>
      <c r="AA53" s="1" t="s">
        <v>590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669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590</v>
      </c>
      <c r="AS53" s="1" t="s">
        <v>590</v>
      </c>
      <c r="AT53" s="1" t="s">
        <v>590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669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590</v>
      </c>
      <c r="BK53" s="1" t="s">
        <v>590</v>
      </c>
      <c r="BL53" s="1" t="s">
        <v>590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589</v>
      </c>
      <c r="Z54" s="3" t="s">
        <v>589</v>
      </c>
      <c r="AA54" s="3" t="s">
        <v>589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589</v>
      </c>
      <c r="AS54" s="3" t="s">
        <v>589</v>
      </c>
      <c r="AT54" s="3" t="s">
        <v>589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589</v>
      </c>
      <c r="BK54" s="3" t="s">
        <v>589</v>
      </c>
      <c r="BL54" s="3" t="s">
        <v>589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550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6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7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28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6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7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28"/>
        <v>0</v>
      </c>
      <c r="BO57" s="4"/>
      <c r="BP57" s="1" t="s">
        <v>561</v>
      </c>
      <c r="BQ57" s="1" t="s">
        <v>562</v>
      </c>
      <c r="BR57" s="1" t="s">
        <v>564</v>
      </c>
      <c r="BS57" s="1" t="s">
        <v>85</v>
      </c>
      <c r="BT57" s="1" t="s">
        <v>668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563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6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7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28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653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579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6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7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28"/>
        <v>0</v>
      </c>
      <c r="BM59" s="4"/>
      <c r="BN59" s="343" t="s">
        <v>550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29">LN(BV59)</f>
        <v>-2.2658729186291273</v>
      </c>
      <c r="BX59" s="4">
        <f t="shared" ref="BX59:BX62" si="30">RT0*BW59</f>
        <v>-5.1457273827335621</v>
      </c>
      <c r="BY59" s="4">
        <f t="shared" ref="BY59:BY62" si="31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6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7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28"/>
        <v>0</v>
      </c>
      <c r="BM60" s="4"/>
      <c r="BN60" s="343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2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29"/>
        <v>-0.26564677287010441</v>
      </c>
      <c r="BX60" s="4">
        <f t="shared" si="30"/>
        <v>-0.60327561270272534</v>
      </c>
      <c r="BY60" s="4">
        <f t="shared" si="31"/>
        <v>31.272724387297252</v>
      </c>
      <c r="BZ60" s="4">
        <f t="shared" ref="BZ60:BZ62" si="33">BV60*BY60</f>
        <v>23.977107463203758</v>
      </c>
      <c r="CA60" s="4">
        <f>BZ60*$BS$63</f>
        <v>3067.0157882925882</v>
      </c>
    </row>
    <row r="61" spans="2:86" ht="18" x14ac:dyDescent="0.25">
      <c r="B61" s="341" t="s">
        <v>491</v>
      </c>
      <c r="C61" s="341"/>
      <c r="D61" s="341"/>
      <c r="E61" s="341"/>
      <c r="F61" s="341"/>
      <c r="G61" s="341"/>
      <c r="H61" s="341"/>
      <c r="J61" s="4"/>
      <c r="K61" s="3" t="s">
        <v>567</v>
      </c>
      <c r="L61" s="1" t="s">
        <v>561</v>
      </c>
      <c r="M61" s="1" t="s">
        <v>564</v>
      </c>
      <c r="N61" s="1" t="s">
        <v>85</v>
      </c>
      <c r="O61" s="1" t="s">
        <v>668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563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6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7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28"/>
        <v>0</v>
      </c>
      <c r="BM61" s="4"/>
      <c r="BN61" s="343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2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29"/>
        <v>-2.3340779667097102</v>
      </c>
      <c r="BX61" s="4">
        <f t="shared" si="30"/>
        <v>-5.3006189393885803</v>
      </c>
      <c r="BY61" s="4">
        <f t="shared" si="31"/>
        <v>868.30746106061144</v>
      </c>
      <c r="BZ61" s="4">
        <f t="shared" si="33"/>
        <v>84.138807313832118</v>
      </c>
      <c r="CA61" s="4">
        <f>BZ61*$BS$63</f>
        <v>10762.559697230066</v>
      </c>
    </row>
    <row r="62" spans="2:86" ht="18" x14ac:dyDescent="0.25">
      <c r="B62" s="342"/>
      <c r="C62" s="342"/>
      <c r="D62" s="342"/>
      <c r="E62" s="342"/>
      <c r="F62" s="342"/>
      <c r="G62" s="342"/>
      <c r="H62" s="342"/>
      <c r="J62" s="4" t="s">
        <v>41</v>
      </c>
      <c r="K62" s="3" t="s">
        <v>566</v>
      </c>
      <c r="L62" s="1" t="s">
        <v>88</v>
      </c>
      <c r="M62" s="1" t="s">
        <v>90</v>
      </c>
      <c r="N62" s="1" t="s">
        <v>86</v>
      </c>
      <c r="O62" s="1" t="s">
        <v>653</v>
      </c>
      <c r="P62" s="1" t="s">
        <v>654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6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3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2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29"/>
        <v>-3.4218837010671326</v>
      </c>
      <c r="BX62" s="4">
        <f t="shared" si="30"/>
        <v>-7.7709921489170943</v>
      </c>
      <c r="BY62" s="4">
        <f t="shared" si="31"/>
        <v>599.52900785108284</v>
      </c>
      <c r="BZ62" s="4">
        <f t="shared" si="33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579</v>
      </c>
      <c r="J63" s="62" t="s">
        <v>494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6"/>
        <v>0</v>
      </c>
      <c r="AB63" s="1"/>
      <c r="AC63" s="1"/>
      <c r="AD63" s="1"/>
      <c r="AG63" s="4"/>
      <c r="AH63" s="4"/>
      <c r="AI63" s="4"/>
      <c r="AJ63" s="3" t="s">
        <v>519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6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669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4">D65*Btu_to_kJ</f>
        <v>52653.824360000006</v>
      </c>
      <c r="F65" s="61">
        <f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669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561</v>
      </c>
      <c r="AE65" s="1" t="s">
        <v>562</v>
      </c>
      <c r="AF65" s="1" t="s">
        <v>564</v>
      </c>
      <c r="AG65" s="1" t="s">
        <v>85</v>
      </c>
      <c r="AH65" s="1" t="s">
        <v>668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563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4"/>
        <v>20151.646000000001</v>
      </c>
      <c r="F66" s="61">
        <f>E66*($AD$52/1000)</f>
        <v>20388.779809187428</v>
      </c>
      <c r="G66" s="106">
        <v>1.06</v>
      </c>
      <c r="H66" s="13">
        <f t="shared" ref="H66:H71" si="35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653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4"/>
        <v>6119.3480000000009</v>
      </c>
      <c r="F67" s="61">
        <f>E67*($AD$52/1000)</f>
        <v>6191.3572195438273</v>
      </c>
      <c r="G67" s="106">
        <v>1.06</v>
      </c>
      <c r="H67" s="13">
        <f t="shared" si="35"/>
        <v>6562.8386527164575</v>
      </c>
      <c r="L67" s="1"/>
      <c r="P67" s="4"/>
      <c r="Q67" s="4"/>
      <c r="V67" s="1"/>
      <c r="X67" s="4"/>
      <c r="Y67" s="4"/>
      <c r="Z67" s="4"/>
      <c r="AA67" s="4"/>
      <c r="AB67" s="343" t="s">
        <v>519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4"/>
        <v>5834.4818000000005</v>
      </c>
      <c r="F68" s="61">
        <f>E68*($AD$52/1000)</f>
        <v>5903.1388662202344</v>
      </c>
      <c r="G68" s="106">
        <v>1.06</v>
      </c>
      <c r="H68" s="13">
        <f t="shared" si="35"/>
        <v>6257.3271981934486</v>
      </c>
      <c r="L68" s="1"/>
      <c r="P68" s="4"/>
      <c r="Q68" s="4"/>
      <c r="V68" s="1"/>
      <c r="X68" s="4"/>
      <c r="Y68" s="4"/>
      <c r="Z68" s="4"/>
      <c r="AA68" s="4"/>
      <c r="AB68" s="343"/>
      <c r="AC68" s="3" t="s">
        <v>68</v>
      </c>
      <c r="AD68" s="1">
        <f t="shared" ref="AD68:AD69" si="36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37">LN(AJ68)</f>
        <v>-2.0601257523805443</v>
      </c>
      <c r="AL68" s="1">
        <f>RT0*AK68</f>
        <v>-4.6784819257704671</v>
      </c>
      <c r="AM68" s="1">
        <f t="shared" ref="AM68:AM69" si="38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4"/>
        <v>224.72778000000002</v>
      </c>
      <c r="F69" s="61">
        <f>E69*($AD$52/1000)</f>
        <v>227.37225651083364</v>
      </c>
      <c r="G69" s="106">
        <v>1.06</v>
      </c>
      <c r="H69" s="13">
        <f t="shared" si="35"/>
        <v>241.01459190148367</v>
      </c>
      <c r="L69" s="1"/>
      <c r="P69" s="4"/>
      <c r="Q69" s="4"/>
      <c r="V69" s="1"/>
      <c r="X69" s="4"/>
      <c r="Y69" s="4"/>
      <c r="Z69" s="4"/>
      <c r="AA69" s="4"/>
      <c r="AB69" s="343"/>
      <c r="AC69" s="7" t="s">
        <v>67</v>
      </c>
      <c r="AD69" s="1">
        <f t="shared" si="36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37"/>
        <v>-0.30166831442652076</v>
      </c>
      <c r="AL69" s="1">
        <f>RT0*AK69</f>
        <v>-0.68507942051171278</v>
      </c>
      <c r="AM69" s="1">
        <f t="shared" si="38"/>
        <v>-0.65706594051171274</v>
      </c>
      <c r="AN69" s="1">
        <f t="shared" ref="AN69" si="39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4"/>
        <v>1266.0720000000001</v>
      </c>
      <c r="F70" s="61">
        <f>E70*($AD$52/1000)</f>
        <v>1280.9704592159642</v>
      </c>
      <c r="G70" s="106">
        <v>1.06</v>
      </c>
      <c r="H70" s="13">
        <f t="shared" si="35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3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4"/>
        <v>885.1953400000001</v>
      </c>
      <c r="F71" s="61">
        <f>E71*($AD$52/1000)</f>
        <v>895.61184606849497</v>
      </c>
      <c r="G71" s="106">
        <v>1.06</v>
      </c>
      <c r="H71" s="13">
        <f t="shared" si="35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669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530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1" t="s">
        <v>524</v>
      </c>
      <c r="F74" s="341"/>
      <c r="G74" s="341"/>
      <c r="H74" s="341"/>
      <c r="K74" s="1" t="s">
        <v>561</v>
      </c>
      <c r="L74" s="1" t="s">
        <v>562</v>
      </c>
      <c r="M74" s="1" t="s">
        <v>564</v>
      </c>
      <c r="N74" s="1" t="s">
        <v>85</v>
      </c>
      <c r="O74" s="1" t="s">
        <v>668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563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1"/>
      <c r="F75" s="341"/>
      <c r="G75" s="341"/>
      <c r="H75" s="34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653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3" t="s">
        <v>530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3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669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405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521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1" t="s">
        <v>520</v>
      </c>
      <c r="DU103" s="341"/>
      <c r="DV103" s="341"/>
      <c r="DW103" s="341"/>
      <c r="DX103" s="341"/>
      <c r="DY103" s="341"/>
      <c r="EA103" s="4"/>
      <c r="EB103" s="3" t="s">
        <v>567</v>
      </c>
      <c r="EC103" s="1" t="s">
        <v>561</v>
      </c>
      <c r="ED103" s="3" t="s">
        <v>5</v>
      </c>
      <c r="EE103" s="1" t="s">
        <v>85</v>
      </c>
      <c r="EF103" s="1" t="s">
        <v>668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563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2"/>
      <c r="DU104" s="342"/>
      <c r="DV104" s="342"/>
      <c r="DW104" s="342"/>
      <c r="DX104" s="342"/>
      <c r="DY104" s="342"/>
      <c r="EA104" s="4" t="s">
        <v>41</v>
      </c>
      <c r="EB104" s="3" t="s">
        <v>566</v>
      </c>
      <c r="EC104" s="1" t="s">
        <v>88</v>
      </c>
      <c r="ED104" s="1" t="s">
        <v>90</v>
      </c>
      <c r="EE104" s="1" t="s">
        <v>86</v>
      </c>
      <c r="EF104" s="1" t="s">
        <v>653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570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521</v>
      </c>
      <c r="EA105" s="96" t="s">
        <v>512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562</v>
      </c>
      <c r="FD106" s="1" t="s">
        <v>5</v>
      </c>
      <c r="FE106" s="1" t="s">
        <v>85</v>
      </c>
      <c r="FF106" s="1" t="s">
        <v>668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563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560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669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565</v>
      </c>
      <c r="FD107" s="2" t="s">
        <v>12</v>
      </c>
      <c r="FE107" s="2" t="s">
        <v>13</v>
      </c>
      <c r="FF107" s="1" t="s">
        <v>653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570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0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0">SUM(FF108:FF108)</f>
        <v>0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67" t="s">
        <v>440</v>
      </c>
      <c r="AP110" s="360"/>
      <c r="AQ110" s="360"/>
      <c r="AR110" s="360"/>
      <c r="AS110" s="360"/>
      <c r="AT110" s="360"/>
      <c r="AU110" s="36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60" t="s">
        <v>444</v>
      </c>
      <c r="BH110" s="360"/>
      <c r="BI110" s="360"/>
      <c r="BJ110" s="360"/>
      <c r="BK110" s="360"/>
      <c r="BL110" s="360"/>
      <c r="BM110" s="36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669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68" t="s">
        <v>364</v>
      </c>
      <c r="Q111" s="36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69"/>
      <c r="Q112" s="36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3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1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479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60" t="s">
        <v>446</v>
      </c>
      <c r="EQ114" s="360"/>
      <c r="ER114" s="360"/>
      <c r="ES114" s="360"/>
      <c r="ET114" s="360"/>
      <c r="EU114" s="360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1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640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561</v>
      </c>
      <c r="CM116" s="1" t="s">
        <v>562</v>
      </c>
      <c r="CN116" s="1" t="s">
        <v>564</v>
      </c>
      <c r="CO116" s="1" t="s">
        <v>85</v>
      </c>
      <c r="CP116" s="1" t="s">
        <v>668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563</v>
      </c>
      <c r="CW116" s="1" t="s">
        <v>50</v>
      </c>
      <c r="CX116" s="6"/>
      <c r="CY116" s="4"/>
      <c r="DB116" s="4"/>
      <c r="DC116" s="4"/>
      <c r="DT116" s="341" t="s">
        <v>478</v>
      </c>
      <c r="DU116" s="341"/>
      <c r="DV116" s="341"/>
      <c r="DW116" s="341"/>
      <c r="DX116" s="341"/>
      <c r="DY116" s="341"/>
      <c r="EA116" s="4"/>
      <c r="EB116" s="3" t="s">
        <v>567</v>
      </c>
      <c r="EC116" s="1" t="s">
        <v>561</v>
      </c>
      <c r="ED116" s="3" t="s">
        <v>5</v>
      </c>
      <c r="EE116" s="1" t="s">
        <v>85</v>
      </c>
      <c r="EF116" s="1" t="s">
        <v>668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563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653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2"/>
      <c r="DU117" s="342"/>
      <c r="DV117" s="342"/>
      <c r="DW117" s="342"/>
      <c r="DX117" s="342"/>
      <c r="DY117" s="342"/>
      <c r="EA117" s="4" t="s">
        <v>41</v>
      </c>
      <c r="EB117" s="3" t="s">
        <v>566</v>
      </c>
      <c r="EC117" s="1" t="s">
        <v>88</v>
      </c>
      <c r="ED117" s="1" t="s">
        <v>90</v>
      </c>
      <c r="EE117" s="1" t="s">
        <v>86</v>
      </c>
      <c r="EF117" s="1" t="s">
        <v>653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2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479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669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669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535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52" t="s">
        <v>523</v>
      </c>
      <c r="F126" s="352"/>
      <c r="G126" s="352"/>
      <c r="H126" s="352"/>
      <c r="J126" s="6"/>
      <c r="K126" s="121"/>
      <c r="L126" s="6"/>
      <c r="M126" s="6"/>
      <c r="N126" s="6"/>
      <c r="O126" s="6"/>
      <c r="P126" s="6"/>
      <c r="Q126" s="6" t="s">
        <v>427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1" t="s">
        <v>418</v>
      </c>
      <c r="X126" s="361"/>
      <c r="Y126" s="361"/>
      <c r="Z126" s="361"/>
      <c r="AA126" s="36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1" t="s">
        <v>547</v>
      </c>
      <c r="AR126" s="361"/>
      <c r="AS126" s="361"/>
      <c r="AT126" s="361"/>
      <c r="AU126" s="361"/>
      <c r="AV126" s="6"/>
      <c r="AW126" s="6"/>
      <c r="AX126" s="121"/>
      <c r="AY126" s="6"/>
      <c r="AZ126" s="6"/>
      <c r="BA126" s="6"/>
      <c r="BB126" s="6"/>
      <c r="BC126" s="6"/>
      <c r="BD126" s="6" t="s">
        <v>548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1" t="s">
        <v>442</v>
      </c>
      <c r="BK126" s="361"/>
      <c r="BL126" s="361"/>
      <c r="BM126" s="361"/>
      <c r="BN126" s="361"/>
      <c r="BO126" s="6"/>
      <c r="BP126" s="6"/>
      <c r="BQ126" s="121"/>
      <c r="BR126" s="6"/>
      <c r="BS126" s="6"/>
      <c r="BT126" s="6"/>
      <c r="BU126" s="6"/>
      <c r="BV126" s="6"/>
      <c r="BW126" s="6" t="s">
        <v>487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1" t="s">
        <v>443</v>
      </c>
      <c r="CD126" s="361"/>
      <c r="CE126" s="361"/>
      <c r="CF126" s="361"/>
      <c r="CG126" s="36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2" t="s">
        <v>81</v>
      </c>
      <c r="DT126" s="372"/>
      <c r="DU126" s="372"/>
      <c r="DV126" s="372"/>
      <c r="DW126" s="372"/>
      <c r="DX126" s="372"/>
      <c r="DY126" s="372"/>
      <c r="EG126" s="3" t="s">
        <v>557</v>
      </c>
      <c r="EL126" s="173">
        <f>EB134</f>
        <v>1309.8157778632656</v>
      </c>
      <c r="EM126" s="174">
        <f>EM134</f>
        <v>7072531.8830895294</v>
      </c>
      <c r="EN126" s="340" t="s">
        <v>429</v>
      </c>
      <c r="EO126" s="340"/>
      <c r="EP126" s="340"/>
      <c r="EQ126" s="340"/>
      <c r="ER126" s="340"/>
      <c r="ES126" s="340"/>
      <c r="ET126" s="340"/>
      <c r="EY126" s="1"/>
      <c r="EZ126" s="1"/>
      <c r="FA126" s="1"/>
      <c r="FB126" s="1"/>
      <c r="FC126" s="1"/>
      <c r="FD126" s="1"/>
      <c r="FE126" s="3" t="s">
        <v>558</v>
      </c>
      <c r="FL126" s="50">
        <f>FB131</f>
        <v>616.23583583508366</v>
      </c>
      <c r="FM126" s="48">
        <f>FM131</f>
        <v>4157895.2984628798</v>
      </c>
      <c r="FN126" s="340" t="s">
        <v>423</v>
      </c>
      <c r="FO126" s="340"/>
      <c r="FP126" s="340"/>
      <c r="FQ126" s="340"/>
      <c r="FR126" s="340"/>
      <c r="FS126" s="340"/>
      <c r="FT126" s="340"/>
    </row>
    <row r="127" spans="5:176" ht="16.25" customHeight="1" thickBot="1" x14ac:dyDescent="0.25">
      <c r="E127" s="352"/>
      <c r="F127" s="352"/>
      <c r="G127" s="352"/>
      <c r="H127" s="35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2"/>
      <c r="X127" s="362"/>
      <c r="Y127" s="362"/>
      <c r="Z127" s="362"/>
      <c r="AA127" s="362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1"/>
      <c r="AR127" s="361"/>
      <c r="AS127" s="361"/>
      <c r="AT127" s="361"/>
      <c r="AU127" s="36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1"/>
      <c r="BK127" s="361"/>
      <c r="BL127" s="361"/>
      <c r="BM127" s="361"/>
      <c r="BN127" s="36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1"/>
      <c r="CD127" s="361"/>
      <c r="CE127" s="361"/>
      <c r="CF127" s="361"/>
      <c r="CG127" s="36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2"/>
      <c r="DT127" s="372"/>
      <c r="DU127" s="372"/>
      <c r="DV127" s="372"/>
      <c r="DW127" s="372"/>
      <c r="DX127" s="372"/>
      <c r="DY127" s="372"/>
      <c r="EN127" s="340"/>
      <c r="EO127" s="340"/>
      <c r="EP127" s="340"/>
      <c r="EQ127" s="340"/>
      <c r="ER127" s="340"/>
      <c r="ES127" s="340"/>
      <c r="ET127" s="340"/>
      <c r="EY127" s="1"/>
      <c r="EZ127" s="1"/>
      <c r="FA127" s="1"/>
      <c r="FB127" s="1"/>
      <c r="FC127" s="1"/>
      <c r="FD127" s="1"/>
      <c r="FE127" s="1"/>
      <c r="FF127" s="1"/>
      <c r="FG127" s="1"/>
      <c r="FN127" s="340"/>
      <c r="FO127" s="340"/>
      <c r="FP127" s="340"/>
      <c r="FQ127" s="340"/>
      <c r="FR127" s="340"/>
      <c r="FS127" s="340"/>
      <c r="FT127" s="340"/>
    </row>
    <row r="128" spans="5:176" ht="19.75" customHeight="1" thickBot="1" x14ac:dyDescent="0.3">
      <c r="J128" s="4"/>
      <c r="K128" s="1" t="s">
        <v>561</v>
      </c>
      <c r="L128" s="1" t="s">
        <v>562</v>
      </c>
      <c r="M128" s="1" t="s">
        <v>564</v>
      </c>
      <c r="N128" s="1" t="s">
        <v>85</v>
      </c>
      <c r="O128" s="1" t="s">
        <v>668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563</v>
      </c>
      <c r="V128" s="1" t="s">
        <v>50</v>
      </c>
      <c r="W128" s="22" t="s">
        <v>433</v>
      </c>
      <c r="X128" s="100" t="s">
        <v>481</v>
      </c>
      <c r="Y128" s="135" t="s">
        <v>348</v>
      </c>
      <c r="Z128" s="353" t="s">
        <v>344</v>
      </c>
      <c r="AA128" s="138" t="s">
        <v>317</v>
      </c>
      <c r="AB128" s="1"/>
      <c r="AC128" s="6"/>
      <c r="AD128" s="4"/>
      <c r="AE128" s="1" t="s">
        <v>561</v>
      </c>
      <c r="AF128" s="1" t="s">
        <v>562</v>
      </c>
      <c r="AG128" s="1" t="s">
        <v>564</v>
      </c>
      <c r="AH128" s="1" t="s">
        <v>85</v>
      </c>
      <c r="AI128" s="1" t="s">
        <v>668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563</v>
      </c>
      <c r="AP128" s="1" t="s">
        <v>50</v>
      </c>
      <c r="AQ128" s="22" t="s">
        <v>433</v>
      </c>
      <c r="AR128" s="100" t="s">
        <v>481</v>
      </c>
      <c r="AS128" s="135" t="s">
        <v>348</v>
      </c>
      <c r="AT128" s="353" t="s">
        <v>344</v>
      </c>
      <c r="AU128" s="138" t="s">
        <v>317</v>
      </c>
      <c r="AV128" s="1"/>
      <c r="AW128" s="4"/>
      <c r="AX128" s="1" t="s">
        <v>561</v>
      </c>
      <c r="AY128" s="1" t="s">
        <v>562</v>
      </c>
      <c r="AZ128" s="1" t="s">
        <v>564</v>
      </c>
      <c r="BA128" s="1" t="s">
        <v>85</v>
      </c>
      <c r="BB128" s="1" t="s">
        <v>668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563</v>
      </c>
      <c r="BI128" s="1" t="s">
        <v>50</v>
      </c>
      <c r="BJ128" s="22" t="s">
        <v>433</v>
      </c>
      <c r="BK128" s="100" t="s">
        <v>481</v>
      </c>
      <c r="BL128" s="135" t="s">
        <v>348</v>
      </c>
      <c r="BM128" s="353" t="s">
        <v>344</v>
      </c>
      <c r="BN128" s="138" t="s">
        <v>317</v>
      </c>
      <c r="BO128" s="1"/>
      <c r="BP128" s="4"/>
      <c r="BQ128" s="1" t="s">
        <v>561</v>
      </c>
      <c r="BR128" s="1" t="s">
        <v>562</v>
      </c>
      <c r="BS128" s="1" t="s">
        <v>564</v>
      </c>
      <c r="BT128" s="1" t="s">
        <v>85</v>
      </c>
      <c r="BU128" s="1" t="s">
        <v>668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563</v>
      </c>
      <c r="CB128" s="1" t="s">
        <v>50</v>
      </c>
      <c r="CC128" s="22" t="s">
        <v>433</v>
      </c>
      <c r="CD128" s="100" t="s">
        <v>481</v>
      </c>
      <c r="CE128" s="135" t="s">
        <v>348</v>
      </c>
      <c r="CF128" s="353" t="s">
        <v>344</v>
      </c>
      <c r="CG128" s="138" t="s">
        <v>317</v>
      </c>
      <c r="CH128" s="113"/>
      <c r="CI128" s="113"/>
      <c r="CJ128" s="113"/>
      <c r="CK128" s="4"/>
      <c r="CL128" s="1" t="s">
        <v>561</v>
      </c>
      <c r="CM128" s="1" t="s">
        <v>562</v>
      </c>
      <c r="CN128" s="1" t="s">
        <v>564</v>
      </c>
      <c r="CO128" s="1" t="s">
        <v>85</v>
      </c>
      <c r="CP128" s="1" t="s">
        <v>668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563</v>
      </c>
      <c r="CW128" s="1" t="s">
        <v>50</v>
      </c>
      <c r="DS128" s="372"/>
      <c r="DT128" s="372"/>
      <c r="DU128" s="372"/>
      <c r="DV128" s="372"/>
      <c r="DW128" s="372"/>
      <c r="DX128" s="372"/>
      <c r="DY128" s="372"/>
      <c r="EA128" s="4"/>
      <c r="EB128" s="1" t="s">
        <v>561</v>
      </c>
      <c r="EC128" s="1" t="s">
        <v>562</v>
      </c>
      <c r="ED128" s="1" t="s">
        <v>564</v>
      </c>
      <c r="EE128" s="1" t="s">
        <v>85</v>
      </c>
      <c r="EF128" s="1" t="s">
        <v>668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563</v>
      </c>
      <c r="EM128" s="1" t="s">
        <v>50</v>
      </c>
      <c r="EN128" s="340"/>
      <c r="EO128" s="340"/>
      <c r="EP128" s="340"/>
      <c r="EQ128" s="340"/>
      <c r="ER128" s="340"/>
      <c r="ES128" s="340"/>
      <c r="ET128" s="340"/>
      <c r="EZ128" s="1"/>
      <c r="FA128" s="1"/>
      <c r="FB128" s="1" t="s">
        <v>561</v>
      </c>
      <c r="FC128" s="1" t="s">
        <v>562</v>
      </c>
      <c r="FD128" s="1" t="s">
        <v>564</v>
      </c>
      <c r="FE128" s="1" t="s">
        <v>85</v>
      </c>
      <c r="FF128" s="1" t="s">
        <v>668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563</v>
      </c>
      <c r="FM128" s="1" t="s">
        <v>50</v>
      </c>
      <c r="FN128" s="340"/>
      <c r="FO128" s="340"/>
      <c r="FP128" s="340"/>
      <c r="FQ128" s="340"/>
      <c r="FR128" s="340"/>
      <c r="FS128" s="340"/>
      <c r="FT128" s="340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653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653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653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653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653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433</v>
      </c>
      <c r="DU129" s="22" t="s">
        <v>481</v>
      </c>
      <c r="DV129" s="161" t="s">
        <v>337</v>
      </c>
      <c r="DW129" s="373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565</v>
      </c>
      <c r="ED129" s="1" t="s">
        <v>90</v>
      </c>
      <c r="EE129" s="1" t="s">
        <v>86</v>
      </c>
      <c r="EF129" s="1" t="s">
        <v>653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433</v>
      </c>
      <c r="EP129" s="22" t="s">
        <v>481</v>
      </c>
      <c r="EQ129" s="192" t="s">
        <v>337</v>
      </c>
      <c r="ER129" s="344" t="s">
        <v>344</v>
      </c>
      <c r="ES129" s="102" t="s">
        <v>317</v>
      </c>
      <c r="FA129" s="2" t="s">
        <v>41</v>
      </c>
      <c r="FB129" s="1" t="s">
        <v>88</v>
      </c>
      <c r="FC129" s="1" t="s">
        <v>565</v>
      </c>
      <c r="FD129" s="1" t="s">
        <v>90</v>
      </c>
      <c r="FE129" s="1" t="s">
        <v>86</v>
      </c>
      <c r="FF129" s="1" t="s">
        <v>653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46" t="s">
        <v>427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46" t="s">
        <v>522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46" t="s">
        <v>548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46" t="s">
        <v>534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74"/>
      <c r="DX130" s="136" t="s">
        <v>82</v>
      </c>
      <c r="DY130" s="4"/>
      <c r="DZ130" s="346" t="s">
        <v>557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45"/>
      <c r="ES130" s="136" t="s">
        <v>82</v>
      </c>
      <c r="EZ130" s="222" t="s">
        <v>558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46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640</v>
      </c>
      <c r="AA131" s="136">
        <f>($AP$126+AP142)/(SUM(V126,V140,V163,V151))</f>
        <v>0.98926908455007689</v>
      </c>
      <c r="AB131" s="4"/>
      <c r="AC131" s="346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640</v>
      </c>
      <c r="AU131" s="136">
        <f>BI126/(AU113+AP126)</f>
        <v>0.89989464623142024</v>
      </c>
      <c r="AV131" s="346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640</v>
      </c>
      <c r="BN131" s="136">
        <f>CB126/(BM113+BI126)</f>
        <v>0.99885105550639652</v>
      </c>
      <c r="BO131" s="346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640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46"/>
      <c r="EA131" s="1" t="s">
        <v>17</v>
      </c>
      <c r="EB131" s="178">
        <f>SiO2_BF_in</f>
        <v>118.94000000000001</v>
      </c>
      <c r="EC131" s="178">
        <f t="shared" ref="EC131:EC133" si="43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4">LN(EH131)</f>
        <v>-2.5763258093856205</v>
      </c>
      <c r="EJ131" s="179">
        <f>RT0*EI131</f>
        <v>-5.8507563046472342</v>
      </c>
      <c r="EK131" s="179">
        <f t="shared" ref="EK131:EK133" si="45">EG131+EJ131</f>
        <v>-4.3247563046471669</v>
      </c>
      <c r="EL131" s="179">
        <f t="shared" ref="EL131:EL133" si="46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47">SUM(FB130:FB130)</f>
        <v>616.23583583508366</v>
      </c>
      <c r="FC131" s="8"/>
      <c r="FD131" s="8">
        <f t="shared" ref="FD131:FM131" si="48">SUM(FD130:FD130)</f>
        <v>5.5844999999999999E-2</v>
      </c>
      <c r="FE131" s="8">
        <f t="shared" si="48"/>
        <v>11034.753976812313</v>
      </c>
      <c r="FF131" s="8">
        <f t="shared" si="48"/>
        <v>0</v>
      </c>
      <c r="FG131" s="8">
        <f t="shared" si="48"/>
        <v>376.8</v>
      </c>
      <c r="FH131" s="8">
        <f t="shared" si="48"/>
        <v>1</v>
      </c>
      <c r="FI131" s="8">
        <f t="shared" si="48"/>
        <v>0</v>
      </c>
      <c r="FJ131" s="8">
        <f t="shared" si="48"/>
        <v>0</v>
      </c>
      <c r="FK131" s="8">
        <f t="shared" si="48"/>
        <v>376.8</v>
      </c>
      <c r="FL131" s="8">
        <f t="shared" si="48"/>
        <v>376.8</v>
      </c>
      <c r="FM131" s="8">
        <f t="shared" si="48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-25062.103433021839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408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-25062.103433021839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408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-25062.103433021839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408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-25062.103433021839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408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669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640</v>
      </c>
      <c r="DX132" s="103">
        <f>EM126/(CW126+CW206+CA42)</f>
        <v>0.99300939590335358</v>
      </c>
      <c r="DY132" s="4"/>
      <c r="DZ132" s="346"/>
      <c r="EA132" s="1" t="s">
        <v>123</v>
      </c>
      <c r="EB132" s="178">
        <f>CV126</f>
        <v>111.00813284002646</v>
      </c>
      <c r="EC132" s="178">
        <f t="shared" si="43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4"/>
        <v>-2.5763258093856205</v>
      </c>
      <c r="EJ132" s="179">
        <f>RT0*EI132</f>
        <v>-5.8507563046472342</v>
      </c>
      <c r="EK132" s="179">
        <f t="shared" si="45"/>
        <v>116.40724369535269</v>
      </c>
      <c r="EL132" s="179">
        <f t="shared" si="46"/>
        <v>8.8531112865061079</v>
      </c>
      <c r="EM132" s="179">
        <f>$EE$134*EL132</f>
        <v>230434.19936864119</v>
      </c>
      <c r="EP132" s="4"/>
      <c r="EQ132" s="4"/>
      <c r="ER132" s="139" t="s">
        <v>640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669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669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669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669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669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408</v>
      </c>
      <c r="DX133" s="99">
        <f>EM130/(CW126+CW206+CA42)</f>
        <v>1.0717776463170951E-2</v>
      </c>
      <c r="DY133" s="4"/>
      <c r="DZ133" s="346"/>
      <c r="EA133" s="1" t="s">
        <v>18</v>
      </c>
      <c r="EB133" s="178">
        <f>Coking_BF_in</f>
        <v>198.80764502323905</v>
      </c>
      <c r="EC133" s="178">
        <f t="shared" si="43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4"/>
        <v>-0.45268154476892275</v>
      </c>
      <c r="EJ133" s="179">
        <f>RT0*EI133</f>
        <v>-1.0280258003104901</v>
      </c>
      <c r="EK133" s="179">
        <f t="shared" si="45"/>
        <v>409.27197419968951</v>
      </c>
      <c r="EL133" s="179">
        <f t="shared" si="46"/>
        <v>260.26448497473257</v>
      </c>
      <c r="EM133" s="179">
        <f>$EE$134*EL133</f>
        <v>6774323.3173467768</v>
      </c>
      <c r="ER133" s="140" t="s">
        <v>408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588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588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588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590</v>
      </c>
      <c r="AS135" s="1" t="s">
        <v>590</v>
      </c>
      <c r="AT135" s="1" t="s">
        <v>590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590</v>
      </c>
      <c r="BL135" s="1" t="s">
        <v>590</v>
      </c>
      <c r="BM135" s="1" t="s">
        <v>590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669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590</v>
      </c>
      <c r="Z136" s="1" t="s">
        <v>590</v>
      </c>
      <c r="AA136" s="1" t="s">
        <v>590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589</v>
      </c>
      <c r="AS136" s="3" t="s">
        <v>589</v>
      </c>
      <c r="AT136" s="3" t="s">
        <v>589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589</v>
      </c>
      <c r="BL136" s="3" t="s">
        <v>589</v>
      </c>
      <c r="BM136" s="3" t="s">
        <v>589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588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1" t="s">
        <v>491</v>
      </c>
      <c r="C137" s="341"/>
      <c r="D137" s="341"/>
      <c r="E137" s="341"/>
      <c r="F137" s="341"/>
      <c r="G137" s="341"/>
      <c r="H137" s="341"/>
      <c r="T137" s="4"/>
      <c r="U137" s="4"/>
      <c r="V137" s="4"/>
      <c r="W137" s="4"/>
      <c r="X137" s="4" t="s">
        <v>60</v>
      </c>
      <c r="Y137" s="3" t="s">
        <v>589</v>
      </c>
      <c r="Z137" s="3" t="s">
        <v>589</v>
      </c>
      <c r="AA137" s="3" t="s">
        <v>589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590</v>
      </c>
      <c r="CF137" s="1" t="s">
        <v>590</v>
      </c>
      <c r="CG137" s="1" t="s">
        <v>590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588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2"/>
      <c r="C138" s="342"/>
      <c r="D138" s="342"/>
      <c r="E138" s="342"/>
      <c r="F138" s="342"/>
      <c r="G138" s="342"/>
      <c r="H138" s="34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589</v>
      </c>
      <c r="CF138" s="3" t="s">
        <v>589</v>
      </c>
      <c r="CG138" s="3" t="s">
        <v>589</v>
      </c>
      <c r="CH138" s="1"/>
      <c r="CI138" s="1"/>
      <c r="CJ138" s="1"/>
      <c r="CK138" s="1"/>
      <c r="CL138" s="1"/>
      <c r="CO138" s="4"/>
      <c r="CP138" s="4"/>
      <c r="CQ138" s="4"/>
      <c r="CR138" s="3" t="s">
        <v>536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590</v>
      </c>
      <c r="ER138" s="1" t="s">
        <v>590</v>
      </c>
      <c r="ES138" s="1" t="s">
        <v>590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49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0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589</v>
      </c>
      <c r="ER139" s="3" t="s">
        <v>589</v>
      </c>
      <c r="ES139" s="3" t="s">
        <v>589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579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1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49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0"/>
        <v>0</v>
      </c>
      <c r="BN140" s="4"/>
      <c r="BO140" s="4"/>
      <c r="BW140" s="3" t="s">
        <v>530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561</v>
      </c>
      <c r="CM140" s="1" t="s">
        <v>562</v>
      </c>
      <c r="CN140" s="1" t="s">
        <v>564</v>
      </c>
      <c r="CO140" s="1" t="s">
        <v>85</v>
      </c>
      <c r="CP140" s="1" t="s">
        <v>668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563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530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2">D141*Btu_to_kJ</f>
        <v>5876.6842000000006</v>
      </c>
      <c r="F141" s="114">
        <f>E141*($AE$131/1000)</f>
        <v>61.28077095942907</v>
      </c>
      <c r="G141" s="114">
        <v>1.06</v>
      </c>
      <c r="H141" s="114">
        <f t="shared" ref="H141:H148" si="53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1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4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653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5">EQ141-ER141</f>
        <v>0</v>
      </c>
      <c r="EZ141" s="1"/>
      <c r="FA141" s="1"/>
      <c r="FB141" s="1"/>
      <c r="FE141" s="4"/>
      <c r="FF141" s="4"/>
      <c r="FG141" s="4" t="s">
        <v>559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2"/>
        <v>5423.0084000000006</v>
      </c>
      <c r="F142" s="114">
        <f>E142*($AE$131/1000)</f>
        <v>56.549939449096122</v>
      </c>
      <c r="G142" s="114">
        <v>1.06</v>
      </c>
      <c r="H142" s="114">
        <f t="shared" si="53"/>
        <v>59.942935816041896</v>
      </c>
      <c r="J142" s="4"/>
      <c r="K142" s="3" t="s">
        <v>567</v>
      </c>
      <c r="L142" s="1" t="s">
        <v>561</v>
      </c>
      <c r="M142" s="1" t="s">
        <v>564</v>
      </c>
      <c r="N142" s="1" t="s">
        <v>85</v>
      </c>
      <c r="O142" s="1" t="s">
        <v>668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563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1"/>
        <v>0</v>
      </c>
      <c r="AB142" s="4"/>
      <c r="AC142" s="1"/>
      <c r="AD142" s="1"/>
      <c r="AE142" s="1"/>
      <c r="AH142" s="4"/>
      <c r="AI142" s="4"/>
      <c r="AJ142" s="4"/>
      <c r="AK142" s="3" t="s">
        <v>549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1" t="s">
        <v>524</v>
      </c>
      <c r="BL142" s="341"/>
      <c r="BM142" s="341"/>
      <c r="BN142" s="341"/>
      <c r="BP142" s="4"/>
      <c r="BQ142" s="1" t="s">
        <v>561</v>
      </c>
      <c r="BR142" s="1" t="s">
        <v>562</v>
      </c>
      <c r="BS142" s="1" t="s">
        <v>564</v>
      </c>
      <c r="BT142" s="1" t="s">
        <v>85</v>
      </c>
      <c r="BU142" s="1" t="s">
        <v>668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563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4"/>
        <v>0</v>
      </c>
      <c r="CJ142" s="343" t="s">
        <v>536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1" t="s">
        <v>524</v>
      </c>
      <c r="DW142" s="341"/>
      <c r="DX142" s="341"/>
      <c r="DY142" s="341"/>
      <c r="EA142" s="4"/>
      <c r="EB142" s="1" t="s">
        <v>561</v>
      </c>
      <c r="EC142" s="1" t="s">
        <v>562</v>
      </c>
      <c r="ED142" s="1" t="s">
        <v>564</v>
      </c>
      <c r="EE142" s="1" t="s">
        <v>85</v>
      </c>
      <c r="EF142" s="1" t="s">
        <v>668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563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5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2"/>
        <v>7230.3261800000009</v>
      </c>
      <c r="F143" s="114">
        <f>E143*($AE$131/1000)</f>
        <v>75.396251954213184</v>
      </c>
      <c r="G143" s="114">
        <v>1.06</v>
      </c>
      <c r="H143" s="114">
        <f t="shared" si="53"/>
        <v>79.920027071465981</v>
      </c>
      <c r="J143" s="4" t="s">
        <v>41</v>
      </c>
      <c r="K143" s="3" t="s">
        <v>566</v>
      </c>
      <c r="L143" s="1" t="s">
        <v>88</v>
      </c>
      <c r="M143" s="1" t="s">
        <v>90</v>
      </c>
      <c r="N143" s="1" t="s">
        <v>86</v>
      </c>
      <c r="O143" s="1" t="s">
        <v>653</v>
      </c>
      <c r="P143" s="1" t="s">
        <v>653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1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1"/>
      <c r="BL143" s="341"/>
      <c r="BM143" s="341"/>
      <c r="BN143" s="341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653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4"/>
        <v>0</v>
      </c>
      <c r="CJ143" s="343"/>
      <c r="CK143" s="3" t="s">
        <v>593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56">LN(CR143)</f>
        <v>-7.5312690141997178</v>
      </c>
      <c r="CT143" s="1">
        <f>RT0*CS143</f>
        <v>-17.10327921503502</v>
      </c>
      <c r="CU143" s="1">
        <f t="shared" ref="CU143:CU146" si="57">CQ143+CT143</f>
        <v>2.7967207849650144</v>
      </c>
      <c r="CV143" s="1">
        <f t="shared" ref="CV143:CV146" si="58">CU143*CR143</f>
        <v>1.4992033205889182E-3</v>
      </c>
      <c r="CW143" s="1">
        <f t="shared" ref="CW143:CW146" si="59">$CO$147*CV143</f>
        <v>5882.146188381822</v>
      </c>
      <c r="DV143" s="341"/>
      <c r="DW143" s="341"/>
      <c r="DX143" s="341"/>
      <c r="DY143" s="341"/>
      <c r="EA143" s="94" t="s">
        <v>41</v>
      </c>
      <c r="EB143" s="186" t="s">
        <v>88</v>
      </c>
      <c r="EC143" s="1" t="s">
        <v>565</v>
      </c>
      <c r="ED143" s="187" t="s">
        <v>90</v>
      </c>
      <c r="EE143" s="187" t="s">
        <v>86</v>
      </c>
      <c r="EF143" s="1" t="s">
        <v>653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5"/>
        <v>0</v>
      </c>
      <c r="FA143" s="1"/>
      <c r="FB143" s="1" t="s">
        <v>561</v>
      </c>
      <c r="FC143" s="1" t="s">
        <v>562</v>
      </c>
      <c r="FD143" s="1" t="s">
        <v>564</v>
      </c>
      <c r="FE143" s="1" t="s">
        <v>85</v>
      </c>
      <c r="FF143" s="1" t="s">
        <v>668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563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2"/>
        <v>3270.6860000000001</v>
      </c>
      <c r="F144" s="114">
        <f>E144*($AE$131/1000)</f>
        <v>34.105994609377035</v>
      </c>
      <c r="G144" s="114">
        <v>1.06</v>
      </c>
      <c r="H144" s="114">
        <f t="shared" si="53"/>
        <v>36.152354285939658</v>
      </c>
      <c r="I144" s="282" t="s">
        <v>579</v>
      </c>
      <c r="J144" s="62" t="s">
        <v>494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561</v>
      </c>
      <c r="AF144" s="1" t="s">
        <v>562</v>
      </c>
      <c r="AG144" s="1" t="s">
        <v>564</v>
      </c>
      <c r="AH144" s="1" t="s">
        <v>85</v>
      </c>
      <c r="AI144" s="1" t="s">
        <v>668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563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3" t="s">
        <v>530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4"/>
        <v>0</v>
      </c>
      <c r="CJ144" s="343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56"/>
        <v>-1.1073734586454635</v>
      </c>
      <c r="CT144" s="1">
        <f>RT0*CS144</f>
        <v>-2.5148109067439752</v>
      </c>
      <c r="CU144" s="1">
        <f t="shared" si="57"/>
        <v>407.78518909325601</v>
      </c>
      <c r="CV144" s="1">
        <f t="shared" si="58"/>
        <v>134.74270618001128</v>
      </c>
      <c r="CW144" s="1">
        <f t="shared" si="59"/>
        <v>528664981.38335544</v>
      </c>
      <c r="DZ144" s="343" t="s">
        <v>530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5"/>
        <v>0</v>
      </c>
      <c r="FA144" s="2" t="s">
        <v>41</v>
      </c>
      <c r="FB144" s="1" t="s">
        <v>88</v>
      </c>
      <c r="FC144" s="1" t="s">
        <v>565</v>
      </c>
      <c r="FD144" s="1" t="s">
        <v>90</v>
      </c>
      <c r="FE144" s="1" t="s">
        <v>86</v>
      </c>
      <c r="FF144" s="1" t="s">
        <v>653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2"/>
        <v>1118.3636000000001</v>
      </c>
      <c r="F145" s="114">
        <f>E145*($AE$131/1000)</f>
        <v>11.662049769657957</v>
      </c>
      <c r="G145" s="114">
        <v>1.06</v>
      </c>
      <c r="H145" s="114">
        <f t="shared" si="53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653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3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3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56"/>
        <v>-0.42083762217318171</v>
      </c>
      <c r="CT145" s="1">
        <f>RT0*CS145</f>
        <v>-0.95570923607277047</v>
      </c>
      <c r="CU145" s="1">
        <f t="shared" si="57"/>
        <v>235.14429076392722</v>
      </c>
      <c r="CV145" s="1">
        <f t="shared" si="58"/>
        <v>154.37144932577434</v>
      </c>
      <c r="CW145" s="1">
        <f t="shared" si="59"/>
        <v>605678642.63393295</v>
      </c>
      <c r="DZ145" s="343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5"/>
        <v>0</v>
      </c>
      <c r="EZ145" s="343" t="s">
        <v>559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2"/>
        <v>63.303600000000003</v>
      </c>
      <c r="F146" s="114">
        <f>E146*($AE$131/1000)</f>
        <v>0.6601160246976201</v>
      </c>
      <c r="G146" s="114">
        <v>1.06</v>
      </c>
      <c r="H146" s="114">
        <f t="shared" si="53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669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3" t="s">
        <v>502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56"/>
        <v>-4.8052266562804711</v>
      </c>
      <c r="CT146" s="1">
        <f>RT0*CS146</f>
        <v>-10.91252125490927</v>
      </c>
      <c r="CU146" s="1">
        <f t="shared" si="57"/>
        <v>-10.212521254909271</v>
      </c>
      <c r="CV146" s="1">
        <f t="shared" si="58"/>
        <v>-8.3608330658378457E-2</v>
      </c>
      <c r="CW146" s="1">
        <f t="shared" si="59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5"/>
        <v>0</v>
      </c>
      <c r="EZ146" s="343"/>
      <c r="FA146" s="3" t="s">
        <v>457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2"/>
        <v>179.36020000000002</v>
      </c>
      <c r="F147" s="114">
        <f>E147*($AE$131/1000)</f>
        <v>1.8703287366432571</v>
      </c>
      <c r="G147" s="114">
        <v>1.06</v>
      </c>
      <c r="H147" s="114">
        <f t="shared" si="53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3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0">LN(AK147)</f>
        <v>-2.0512116991307763</v>
      </c>
      <c r="AM147" s="1">
        <f>RT0*AL147</f>
        <v>-4.6582383862844896</v>
      </c>
      <c r="AN147" s="1">
        <f t="shared" ref="AN147:AN148" si="61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669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669</v>
      </c>
      <c r="EG147" s="4"/>
      <c r="EH147" s="4"/>
      <c r="EL147" s="3" t="s">
        <v>96</v>
      </c>
      <c r="EM147" s="1" t="s">
        <v>93</v>
      </c>
      <c r="EZ147" s="343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2"/>
        <v>6.3303600000000007</v>
      </c>
      <c r="F148" s="114">
        <f>E148*($AE$131/1000)</f>
        <v>6.601160246976201E-2</v>
      </c>
      <c r="G148" s="114">
        <v>1.06</v>
      </c>
      <c r="H148" s="114">
        <f t="shared" si="53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3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0"/>
        <v>-0.30227786144786772</v>
      </c>
      <c r="AM148" s="1">
        <f>RT0*AL148</f>
        <v>-0.68646368296218885</v>
      </c>
      <c r="AN148" s="1">
        <f t="shared" si="61"/>
        <v>-0.65845020296218881</v>
      </c>
      <c r="AO148" s="1">
        <f t="shared" ref="AO148" si="62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669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3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669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669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580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529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1" t="s">
        <v>492</v>
      </c>
      <c r="C153" s="341"/>
      <c r="D153" s="341"/>
      <c r="E153" s="341"/>
      <c r="F153" s="341"/>
      <c r="G153" s="341"/>
      <c r="H153" s="341"/>
      <c r="J153" s="4"/>
      <c r="K153" s="3" t="s">
        <v>567</v>
      </c>
      <c r="L153" s="1" t="s">
        <v>561</v>
      </c>
      <c r="M153" s="1" t="s">
        <v>564</v>
      </c>
      <c r="N153" s="1" t="s">
        <v>85</v>
      </c>
      <c r="O153" s="1" t="s">
        <v>668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563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2"/>
      <c r="C154" s="342"/>
      <c r="D154" s="342"/>
      <c r="E154" s="342"/>
      <c r="F154" s="342"/>
      <c r="G154" s="342"/>
      <c r="H154" s="342"/>
      <c r="J154" s="4" t="s">
        <v>41</v>
      </c>
      <c r="K154" s="3" t="s">
        <v>566</v>
      </c>
      <c r="L154" s="1" t="s">
        <v>88</v>
      </c>
      <c r="M154" s="1" t="s">
        <v>90</v>
      </c>
      <c r="N154" s="1" t="s">
        <v>86</v>
      </c>
      <c r="O154" s="1" t="s">
        <v>653</v>
      </c>
      <c r="P154" s="1" t="s">
        <v>653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1" t="s">
        <v>478</v>
      </c>
      <c r="BL154" s="341"/>
      <c r="BM154" s="341"/>
      <c r="BN154" s="341"/>
      <c r="BP154" s="4"/>
      <c r="BQ154" s="3" t="s">
        <v>567</v>
      </c>
      <c r="BR154" s="1" t="s">
        <v>561</v>
      </c>
      <c r="BS154" s="3" t="s">
        <v>5</v>
      </c>
      <c r="BT154" s="3" t="s">
        <v>363</v>
      </c>
      <c r="BU154" s="1" t="s">
        <v>668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561</v>
      </c>
      <c r="EC154" s="1" t="s">
        <v>562</v>
      </c>
      <c r="ED154" s="1" t="s">
        <v>564</v>
      </c>
      <c r="EE154" s="1" t="s">
        <v>85</v>
      </c>
      <c r="EF154" s="1" t="s">
        <v>668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563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580</v>
      </c>
      <c r="J155" s="62" t="s">
        <v>493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1"/>
      <c r="BL155" s="341"/>
      <c r="BM155" s="341"/>
      <c r="BN155" s="341"/>
      <c r="BP155" s="4"/>
      <c r="BQ155" s="3" t="s">
        <v>566</v>
      </c>
      <c r="BR155" s="1" t="s">
        <v>88</v>
      </c>
      <c r="BS155" s="1" t="s">
        <v>90</v>
      </c>
      <c r="BT155" s="2" t="s">
        <v>86</v>
      </c>
      <c r="BU155" s="1" t="s">
        <v>653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565</v>
      </c>
      <c r="ED155" s="1" t="s">
        <v>84</v>
      </c>
      <c r="EE155" s="3" t="s">
        <v>42</v>
      </c>
      <c r="EF155" s="1" t="s">
        <v>653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47" t="s">
        <v>529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490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669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406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47"/>
      <c r="EA157" s="3" t="s">
        <v>65</v>
      </c>
      <c r="EB157" s="3">
        <f>CH4_to_BF</f>
        <v>18.691700922521807</v>
      </c>
      <c r="EC157" s="3">
        <f t="shared" ref="EC157:EC159" si="63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4">LN(EH157)</f>
        <v>-2.5429226700357286</v>
      </c>
      <c r="EJ157" s="3">
        <f>RT0*EI157</f>
        <v>-5.7748988073406355</v>
      </c>
      <c r="EK157" s="3">
        <f t="shared" ref="EK157:EK159" si="65">EG157+EJ157</f>
        <v>826.02510119265935</v>
      </c>
      <c r="EL157" s="3">
        <f t="shared" ref="EL157:EL159" si="66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669</v>
      </c>
      <c r="BV158" s="4"/>
      <c r="BW158" s="4"/>
      <c r="CA158" s="3" t="s">
        <v>96</v>
      </c>
      <c r="CB158" s="1" t="s">
        <v>93</v>
      </c>
      <c r="DZ158" s="347"/>
      <c r="EA158" s="239" t="s">
        <v>24</v>
      </c>
      <c r="EB158" s="3">
        <f>O2_to_BF_from_coke</f>
        <v>1.7477818558410245</v>
      </c>
      <c r="EC158" s="3">
        <f t="shared" si="63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4"/>
        <v>-5.6030955660719171</v>
      </c>
      <c r="EJ158" s="3">
        <f>RT0*EI158</f>
        <v>-12.724456894896331</v>
      </c>
      <c r="EK158" s="3">
        <f t="shared" si="65"/>
        <v>-8.7244568948963312</v>
      </c>
      <c r="EL158" s="3">
        <f t="shared" si="66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47"/>
      <c r="EA159" s="7" t="s">
        <v>67</v>
      </c>
      <c r="EB159" s="3">
        <f>N2_to_BF_from_coke</f>
        <v>0.92544958758317764</v>
      </c>
      <c r="EC159" s="3">
        <f t="shared" si="63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4"/>
        <v>-6.1059060788071511</v>
      </c>
      <c r="EJ159" s="3">
        <f>RT0*EI159</f>
        <v>-13.866324032473203</v>
      </c>
      <c r="EK159" s="3">
        <f t="shared" si="65"/>
        <v>-13.166324032473204</v>
      </c>
      <c r="EL159" s="3">
        <f t="shared" si="66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669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530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1" t="s">
        <v>524</v>
      </c>
      <c r="F165" s="341"/>
      <c r="G165" s="341"/>
      <c r="H165" s="341"/>
      <c r="J165" s="4"/>
      <c r="K165" s="1" t="s">
        <v>561</v>
      </c>
      <c r="L165" s="1" t="s">
        <v>562</v>
      </c>
      <c r="M165" s="1" t="s">
        <v>564</v>
      </c>
      <c r="N165" s="1" t="s">
        <v>85</v>
      </c>
      <c r="O165" s="1" t="s">
        <v>668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563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1"/>
      <c r="F166" s="341"/>
      <c r="G166" s="341"/>
      <c r="H166" s="341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653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3" t="s">
        <v>530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3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669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0" t="s">
        <v>439</v>
      </c>
      <c r="X182" s="350"/>
      <c r="Y182" s="350"/>
      <c r="Z182" s="350"/>
      <c r="AA182" s="350"/>
      <c r="AB182" s="350"/>
      <c r="AC182" s="350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67">Y185*Btu_to_kJ</f>
        <v>139267.92000000001</v>
      </c>
      <c r="AA185" s="13">
        <f t="shared" ref="AA185:AA194" si="68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67"/>
        <v>61826.516000000003</v>
      </c>
      <c r="AA186" s="13">
        <f t="shared" si="68"/>
        <v>17737.041629099938</v>
      </c>
      <c r="AB186" s="13">
        <v>1</v>
      </c>
      <c r="AC186" s="13">
        <f t="shared" ref="AC186:AC194" si="69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67"/>
        <v>4346.8472000000002</v>
      </c>
      <c r="AA187" s="13">
        <f t="shared" si="68"/>
        <v>1247.041152080064</v>
      </c>
      <c r="AB187" s="13">
        <v>1</v>
      </c>
      <c r="AC187" s="13">
        <f t="shared" si="69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0" t="s">
        <v>440</v>
      </c>
      <c r="AP187" s="350"/>
      <c r="AQ187" s="350"/>
      <c r="AR187" s="350"/>
      <c r="AS187" s="350"/>
      <c r="AT187" s="350"/>
      <c r="AU187" s="350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0" t="s">
        <v>441</v>
      </c>
      <c r="BH187" s="350"/>
      <c r="BI187" s="350"/>
      <c r="BJ187" s="350"/>
      <c r="BK187" s="350"/>
      <c r="BL187" s="350"/>
      <c r="BM187" s="350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67"/>
        <v>36610.582000000002</v>
      </c>
      <c r="AA188" s="13">
        <f t="shared" si="68"/>
        <v>10502.99222747044</v>
      </c>
      <c r="AB188" s="13">
        <v>1</v>
      </c>
      <c r="AC188" s="13">
        <f t="shared" si="69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27" t="s">
        <v>364</v>
      </c>
      <c r="Q189" s="42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67"/>
        <v>18463.550000000003</v>
      </c>
      <c r="AA189" s="13">
        <f t="shared" si="68"/>
        <v>5296.8980974274564</v>
      </c>
      <c r="AB189" s="13">
        <v>1</v>
      </c>
      <c r="AC189" s="13">
        <f t="shared" si="69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28"/>
      <c r="Q190" s="42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67"/>
        <v>4948.2314000000006</v>
      </c>
      <c r="AA190" s="13">
        <f t="shared" si="68"/>
        <v>1419.5686901105582</v>
      </c>
      <c r="AB190" s="13">
        <v>1</v>
      </c>
      <c r="AC190" s="13">
        <f t="shared" si="69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3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67"/>
        <v>1856.9056000000003</v>
      </c>
      <c r="AA191" s="13">
        <f t="shared" si="68"/>
        <v>532.71660865556134</v>
      </c>
      <c r="AB191" s="13">
        <v>1</v>
      </c>
      <c r="AC191" s="13">
        <f t="shared" si="69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0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67"/>
        <v>2489.9416000000001</v>
      </c>
      <c r="AA192" s="13">
        <f t="shared" si="68"/>
        <v>714.32454342450262</v>
      </c>
      <c r="AB192" s="13">
        <v>1</v>
      </c>
      <c r="AC192" s="13">
        <f t="shared" si="69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0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67"/>
        <v>150.87358</v>
      </c>
      <c r="AA193" s="13">
        <f t="shared" si="68"/>
        <v>43.283224453264353</v>
      </c>
      <c r="AB193" s="13">
        <v>1</v>
      </c>
      <c r="AC193" s="13">
        <f t="shared" si="69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0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640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67"/>
        <v>6.3303600000000007</v>
      </c>
      <c r="AA194" s="13">
        <f t="shared" si="68"/>
        <v>1.8160793476894135</v>
      </c>
      <c r="AB194" s="13">
        <v>1</v>
      </c>
      <c r="AC194" s="13">
        <f t="shared" si="69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0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57" t="s">
        <v>508</v>
      </c>
      <c r="X195" s="358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545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51" t="s">
        <v>428</v>
      </c>
      <c r="Q206" s="351"/>
      <c r="R206" s="351"/>
      <c r="S206" s="4"/>
      <c r="T206" s="4"/>
      <c r="U206" s="50">
        <f>K217</f>
        <v>286.88405520213911</v>
      </c>
      <c r="V206" s="48">
        <f>V217</f>
        <v>8753719.7068998404</v>
      </c>
      <c r="W206" s="355" t="s">
        <v>419</v>
      </c>
      <c r="X206" s="355"/>
      <c r="Y206" s="355"/>
      <c r="Z206" s="355"/>
      <c r="AA206" s="355"/>
      <c r="AB206" s="355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55" t="s">
        <v>546</v>
      </c>
      <c r="AR206" s="355"/>
      <c r="AS206" s="355"/>
      <c r="AT206" s="355"/>
      <c r="AU206" s="355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55" t="s">
        <v>460</v>
      </c>
      <c r="BK206" s="355"/>
      <c r="BL206" s="355"/>
      <c r="BM206" s="355"/>
      <c r="BN206" s="355"/>
      <c r="BO206" s="4"/>
      <c r="BP206" s="4"/>
      <c r="BQ206" s="4"/>
      <c r="BR206" s="4"/>
      <c r="BS206" s="4"/>
      <c r="BT206" s="4"/>
      <c r="BU206" s="4"/>
      <c r="BV206" s="4"/>
      <c r="BW206" s="4" t="s">
        <v>528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55" t="s">
        <v>438</v>
      </c>
      <c r="CE206" s="355"/>
      <c r="CF206" s="355"/>
      <c r="CG206" s="355"/>
      <c r="CH206" s="355"/>
      <c r="CI206" s="426"/>
      <c r="CR206" s="3" t="s">
        <v>635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5"/>
      <c r="X207" s="355"/>
      <c r="Y207" s="355"/>
      <c r="Z207" s="355"/>
      <c r="AA207" s="355"/>
      <c r="AB207" s="355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5"/>
      <c r="AR207" s="355"/>
      <c r="AS207" s="355"/>
      <c r="AT207" s="355"/>
      <c r="AU207" s="355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5"/>
      <c r="BK207" s="355"/>
      <c r="BL207" s="355"/>
      <c r="BM207" s="355"/>
      <c r="BN207" s="355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24"/>
      <c r="CE207" s="424"/>
      <c r="CF207" s="424"/>
      <c r="CG207" s="424"/>
      <c r="CH207" s="424"/>
      <c r="CI207" s="426"/>
      <c r="CU207" s="4"/>
      <c r="CV207" s="4"/>
    </row>
    <row r="208" spans="5:101" ht="19.25" customHeight="1" x14ac:dyDescent="0.25">
      <c r="E208" s="341" t="s">
        <v>450</v>
      </c>
      <c r="F208" s="341"/>
      <c r="G208" s="341"/>
      <c r="H208" s="341"/>
      <c r="J208" s="4"/>
      <c r="K208" s="1" t="s">
        <v>561</v>
      </c>
      <c r="L208" s="1" t="s">
        <v>562</v>
      </c>
      <c r="M208" s="1" t="s">
        <v>564</v>
      </c>
      <c r="N208" s="1" t="s">
        <v>85</v>
      </c>
      <c r="O208" s="1" t="s">
        <v>668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563</v>
      </c>
      <c r="V208" s="1" t="s">
        <v>50</v>
      </c>
      <c r="W208" s="4"/>
      <c r="X208" s="22" t="s">
        <v>433</v>
      </c>
      <c r="Y208" s="22" t="s">
        <v>481</v>
      </c>
      <c r="Z208" s="257" t="s">
        <v>337</v>
      </c>
      <c r="AA208" s="353" t="s">
        <v>344</v>
      </c>
      <c r="AB208" s="102" t="s">
        <v>317</v>
      </c>
      <c r="AC208" s="1"/>
      <c r="AD208" s="4"/>
      <c r="AE208" s="1" t="s">
        <v>561</v>
      </c>
      <c r="AF208" s="1" t="s">
        <v>562</v>
      </c>
      <c r="AG208" s="1" t="s">
        <v>564</v>
      </c>
      <c r="AH208" s="1" t="s">
        <v>85</v>
      </c>
      <c r="AI208" s="1" t="s">
        <v>668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563</v>
      </c>
      <c r="AP208" s="1" t="s">
        <v>50</v>
      </c>
      <c r="AQ208" s="22" t="s">
        <v>433</v>
      </c>
      <c r="AR208" s="22" t="s">
        <v>481</v>
      </c>
      <c r="AS208" s="161" t="s">
        <v>337</v>
      </c>
      <c r="AT208" s="353" t="s">
        <v>344</v>
      </c>
      <c r="AU208" s="138" t="s">
        <v>317</v>
      </c>
      <c r="AV208" s="1"/>
      <c r="AW208" s="4"/>
      <c r="AX208" s="1" t="s">
        <v>561</v>
      </c>
      <c r="AY208" s="1" t="s">
        <v>562</v>
      </c>
      <c r="AZ208" s="1" t="s">
        <v>564</v>
      </c>
      <c r="BA208" s="1" t="s">
        <v>85</v>
      </c>
      <c r="BB208" s="1" t="s">
        <v>668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563</v>
      </c>
      <c r="BI208" s="1" t="s">
        <v>50</v>
      </c>
      <c r="BJ208" s="22" t="s">
        <v>433</v>
      </c>
      <c r="BK208" s="22" t="s">
        <v>481</v>
      </c>
      <c r="BL208" s="161" t="s">
        <v>337</v>
      </c>
      <c r="BM208" s="353" t="s">
        <v>344</v>
      </c>
      <c r="BN208" s="138" t="s">
        <v>317</v>
      </c>
      <c r="BO208" s="1"/>
      <c r="BP208" s="4"/>
      <c r="BQ208" s="1" t="s">
        <v>561</v>
      </c>
      <c r="BR208" s="1" t="s">
        <v>562</v>
      </c>
      <c r="BS208" s="1" t="s">
        <v>564</v>
      </c>
      <c r="BT208" s="1" t="s">
        <v>85</v>
      </c>
      <c r="BU208" s="1" t="s">
        <v>668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563</v>
      </c>
      <c r="CB208" s="1" t="s">
        <v>50</v>
      </c>
      <c r="CD208" s="22" t="s">
        <v>433</v>
      </c>
      <c r="CE208" s="22" t="s">
        <v>481</v>
      </c>
      <c r="CF208" s="192" t="s">
        <v>337</v>
      </c>
      <c r="CG208" s="353" t="s">
        <v>344</v>
      </c>
      <c r="CH208" s="138" t="s">
        <v>317</v>
      </c>
      <c r="CI208" s="422"/>
      <c r="CJ208" s="1"/>
      <c r="CK208" s="4"/>
      <c r="CL208" s="1" t="s">
        <v>561</v>
      </c>
      <c r="CM208" s="1" t="s">
        <v>562</v>
      </c>
      <c r="CN208" s="1" t="s">
        <v>564</v>
      </c>
      <c r="CO208" s="1" t="s">
        <v>85</v>
      </c>
      <c r="CP208" s="1" t="s">
        <v>668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563</v>
      </c>
      <c r="CW208" s="1" t="s">
        <v>50</v>
      </c>
    </row>
    <row r="209" spans="2:101" ht="18" x14ac:dyDescent="0.25">
      <c r="E209" s="341"/>
      <c r="F209" s="341"/>
      <c r="G209" s="341"/>
      <c r="H209" s="341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653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653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653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653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425"/>
      <c r="CH209" s="136" t="s">
        <v>82</v>
      </c>
      <c r="CI209" s="423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653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428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>K210/$AX$217</f>
        <v>0.93553585817888796</v>
      </c>
      <c r="M210" s="62" t="s">
        <v>389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>N210/$BA$217</f>
        <v>0.98615312780371323</v>
      </c>
      <c r="R210" s="62">
        <f>LN(Q210)</f>
        <v>-1.3943634405450302E-2</v>
      </c>
      <c r="S210" s="62">
        <f t="shared" ref="S210:S216" si="71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541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>AE210/$AX$217</f>
        <v>0.93553585817888796</v>
      </c>
      <c r="AG210" s="62" t="s">
        <v>389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>AH210/$BA$217</f>
        <v>0.98615312780371323</v>
      </c>
      <c r="AL210" s="62">
        <f>LN(AK210)</f>
        <v>-1.3943634405450302E-2</v>
      </c>
      <c r="AM210" s="62">
        <f t="shared" ref="AM210:AM216" si="72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545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73">AX210/$AX$217</f>
        <v>0.93553585817888796</v>
      </c>
      <c r="AZ210" s="62" t="s">
        <v>389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>BA210/$BA$217</f>
        <v>0.98615312780371323</v>
      </c>
      <c r="BE210" s="62">
        <f>LN(BD210)</f>
        <v>-1.3943634405450302E-2</v>
      </c>
      <c r="BF210" s="62">
        <f t="shared" ref="BF210:BF216" si="74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75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488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389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>BT210/$BT$217</f>
        <v>0.98615312780371323</v>
      </c>
      <c r="BX210" s="62">
        <f>LN(BW210)</f>
        <v>-1.3943634405450302E-2</v>
      </c>
      <c r="BY210" s="62">
        <f t="shared" ref="BY210:BY216" si="76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23"/>
      <c r="CJ210" s="256" t="s">
        <v>636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56" t="s">
        <v>543</v>
      </c>
      <c r="J211" s="62" t="s">
        <v>307</v>
      </c>
      <c r="K211" s="62">
        <f t="shared" ref="K211:K216" si="77">AE211</f>
        <v>6.8833679514092623</v>
      </c>
      <c r="L211" s="62">
        <f>K211/$AX$217</f>
        <v>2.3993553585817892E-2</v>
      </c>
      <c r="M211" s="62">
        <f>MW_Al2O3</f>
        <v>0.10196127799999999</v>
      </c>
      <c r="N211" s="62">
        <f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>N211/$BA$217</f>
        <v>3.6546274931056905E-3</v>
      </c>
      <c r="R211" s="62">
        <f t="shared" ref="R211:R216" si="78">LN(Q211)</f>
        <v>-5.611761108045239</v>
      </c>
      <c r="S211" s="62">
        <f t="shared" si="71"/>
        <v>-12.744136072952498</v>
      </c>
      <c r="T211" s="62">
        <f t="shared" ref="T211:T216" si="79">S211+P211</f>
        <v>19.131863927047476</v>
      </c>
      <c r="U211" s="62">
        <f t="shared" ref="U211:U216" si="80">T211*Q211</f>
        <v>6.9919835902144706E-2</v>
      </c>
      <c r="V211" s="62">
        <f>U211*$BA$217</f>
        <v>1291.5850172666683</v>
      </c>
      <c r="W211" s="4"/>
      <c r="X211" s="4"/>
      <c r="Y211" s="4"/>
      <c r="Z211" s="4"/>
      <c r="AA211" s="139" t="s">
        <v>640</v>
      </c>
      <c r="AB211" s="103">
        <f>(AP206+AP227)/($AC$195+V206+V222+V236)</f>
        <v>0.98878157674342848</v>
      </c>
      <c r="AC211" s="356" t="s">
        <v>542</v>
      </c>
      <c r="AD211" s="62" t="s">
        <v>307</v>
      </c>
      <c r="AE211" s="62">
        <f t="shared" ref="AE211:AE216" si="81">AX211</f>
        <v>6.8833679514092623</v>
      </c>
      <c r="AF211" s="62">
        <f>AE211/$AX$217</f>
        <v>2.3993553585817892E-2</v>
      </c>
      <c r="AG211" s="62">
        <f>MW_Al2O3</f>
        <v>0.10196127799999999</v>
      </c>
      <c r="AH211" s="62">
        <f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>AH211/$BA$217</f>
        <v>3.6546274931056905E-3</v>
      </c>
      <c r="AL211" s="62">
        <f t="shared" ref="AL211:AL216" si="82">LN(AK211)</f>
        <v>-5.611761108045239</v>
      </c>
      <c r="AM211" s="62">
        <f t="shared" si="72"/>
        <v>-12.744136072952498</v>
      </c>
      <c r="AN211" s="62">
        <f t="shared" ref="AN211:AN216" si="83">AM211+AJ211</f>
        <v>19.131863927047476</v>
      </c>
      <c r="AO211" s="62">
        <f t="shared" ref="AO211:AO216" si="84">AN211*AK211</f>
        <v>6.9919835902144706E-2</v>
      </c>
      <c r="AP211" s="62">
        <f>AO211*$BA$217</f>
        <v>1291.5850172666683</v>
      </c>
      <c r="AQ211" s="4"/>
      <c r="AR211" s="4"/>
      <c r="AT211" s="139" t="s">
        <v>640</v>
      </c>
      <c r="AU211" s="136">
        <f>BI206/(AP206+AU190)</f>
        <v>0.98202222166069097</v>
      </c>
      <c r="AV211" s="356" t="s">
        <v>540</v>
      </c>
      <c r="AW211" s="62" t="s">
        <v>307</v>
      </c>
      <c r="AX211" s="62">
        <f>CL221</f>
        <v>6.8833679514092623</v>
      </c>
      <c r="AY211" s="62">
        <f t="shared" si="73"/>
        <v>2.3993553585817892E-2</v>
      </c>
      <c r="AZ211" s="62">
        <f>MW_Al2O3</f>
        <v>0.10196127799999999</v>
      </c>
      <c r="BA211" s="62">
        <f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>BA211/$BA$217</f>
        <v>3.6546274931056905E-3</v>
      </c>
      <c r="BE211" s="62">
        <f t="shared" ref="BE211:BE216" si="85">LN(BD211)</f>
        <v>-5.611761108045239</v>
      </c>
      <c r="BF211" s="62">
        <f t="shared" si="74"/>
        <v>-12.744136072952498</v>
      </c>
      <c r="BG211" s="62">
        <f t="shared" ref="BG211:BG216" si="86">BF211+BC211</f>
        <v>19.131863927047476</v>
      </c>
      <c r="BH211" s="62">
        <f t="shared" ref="BH211:BH216" si="87">BG211*BD211</f>
        <v>6.9919835902144706E-2</v>
      </c>
      <c r="BI211" s="62">
        <f t="shared" si="75"/>
        <v>1291.5850172666683</v>
      </c>
      <c r="BJ211" s="4"/>
      <c r="BK211" s="4"/>
      <c r="BM211" s="139" t="s">
        <v>640</v>
      </c>
      <c r="BN211" s="136">
        <f>CB206/(BM195+BI206)</f>
        <v>0.9967429853184</v>
      </c>
      <c r="BO211" s="356" t="s">
        <v>539</v>
      </c>
      <c r="BP211" s="62" t="s">
        <v>307</v>
      </c>
      <c r="BQ211" s="62">
        <f>AX211</f>
        <v>6.8833679514092623</v>
      </c>
      <c r="BR211" s="62">
        <f t="shared" ref="BR211:BR216" si="88">BQ211/$BQ$217</f>
        <v>2.3993553585817892E-2</v>
      </c>
      <c r="BS211" s="62">
        <f>MW_Al2O3</f>
        <v>0.10196127799999999</v>
      </c>
      <c r="BT211" s="62">
        <f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>BT211/$BT$217</f>
        <v>3.6546274931056905E-3</v>
      </c>
      <c r="BX211" s="62">
        <f t="shared" ref="BX211:BX216" si="89">LN(BW211)</f>
        <v>-5.611761108045239</v>
      </c>
      <c r="BY211" s="62">
        <f t="shared" si="76"/>
        <v>-12.744136072952498</v>
      </c>
      <c r="BZ211" s="62">
        <f t="shared" ref="BZ211:BZ216" si="90">BY211+BV211</f>
        <v>19.131863927047476</v>
      </c>
      <c r="CA211" s="62">
        <f t="shared" ref="CA211:CA216" si="91">BZ211*BW211</f>
        <v>6.9919835902144706E-2</v>
      </c>
      <c r="CB211" s="62">
        <f>CA211*$BT$217</f>
        <v>1291.5850172666683</v>
      </c>
      <c r="CD211" s="4"/>
      <c r="CE211" s="4"/>
      <c r="CG211" s="139" t="s">
        <v>640</v>
      </c>
      <c r="CH211" s="136">
        <f>(CW217+CW206+CW233+CW250)/(CB254+CB206+CB225+CB242)</f>
        <v>1.2140142164545837</v>
      </c>
      <c r="CI211" s="423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56"/>
      <c r="J212" s="4" t="s">
        <v>123</v>
      </c>
      <c r="K212" s="4">
        <f t="shared" si="77"/>
        <v>1.2908626625694963</v>
      </c>
      <c r="L212" s="4">
        <f>K212/$AX$217</f>
        <v>4.4995970991136185E-3</v>
      </c>
      <c r="M212" s="4">
        <f>MW_CaO</f>
        <v>5.6077400000000006E-2</v>
      </c>
      <c r="N212" s="4">
        <f>K212/M212</f>
        <v>23.019303009224682</v>
      </c>
      <c r="O212" s="4">
        <f>h_CaO</f>
        <v>-11321.85158370395</v>
      </c>
      <c r="P212" s="4">
        <f>b_ch_CaO</f>
        <v>122.25799999999992</v>
      </c>
      <c r="Q212" s="4">
        <f>N212/$BA$217</f>
        <v>1.2461478473889942E-3</v>
      </c>
      <c r="R212" s="4">
        <f t="shared" si="78"/>
        <v>-6.6876982080405689</v>
      </c>
      <c r="S212" s="4">
        <f t="shared" si="71"/>
        <v>-15.187555980585502</v>
      </c>
      <c r="T212" s="4">
        <f t="shared" si="79"/>
        <v>107.07044401941442</v>
      </c>
      <c r="U212" s="4">
        <f t="shared" si="80"/>
        <v>0.13342560333377709</v>
      </c>
      <c r="V212" s="4">
        <f>U212*$BA$217</f>
        <v>2464.6869942151293</v>
      </c>
      <c r="W212" s="4"/>
      <c r="X212" s="4"/>
      <c r="Y212" s="4"/>
      <c r="Z212" s="4"/>
      <c r="AA212" s="140" t="s">
        <v>408</v>
      </c>
      <c r="AB212" s="99">
        <f>$AP$210/($AC$195+V206+V222+V236)</f>
        <v>0.98839130078384352</v>
      </c>
      <c r="AC212" s="356"/>
      <c r="AD212" s="4" t="s">
        <v>123</v>
      </c>
      <c r="AE212" s="4">
        <f t="shared" si="81"/>
        <v>1.2908626625694963</v>
      </c>
      <c r="AF212" s="4">
        <f>AE212/$AX$217</f>
        <v>4.4995970991136185E-3</v>
      </c>
      <c r="AG212" s="4">
        <f>MW_CaO</f>
        <v>5.6077400000000006E-2</v>
      </c>
      <c r="AH212" s="4">
        <f>AE212/AG212</f>
        <v>23.019303009224682</v>
      </c>
      <c r="AI212" s="4">
        <f>h_CaO</f>
        <v>-11321.85158370395</v>
      </c>
      <c r="AJ212" s="4">
        <f>b_ch_CaO</f>
        <v>122.25799999999992</v>
      </c>
      <c r="AK212" s="4">
        <f>AH212/$BA$217</f>
        <v>1.2461478473889942E-3</v>
      </c>
      <c r="AL212" s="4">
        <f t="shared" si="82"/>
        <v>-6.6876982080405689</v>
      </c>
      <c r="AM212" s="4">
        <f t="shared" si="72"/>
        <v>-15.187555980585502</v>
      </c>
      <c r="AN212" s="4">
        <f t="shared" si="83"/>
        <v>107.07044401941442</v>
      </c>
      <c r="AO212" s="4">
        <f t="shared" si="84"/>
        <v>0.13342560333377709</v>
      </c>
      <c r="AP212" s="4">
        <f>AO212*$BA$217</f>
        <v>2464.6869942151293</v>
      </c>
      <c r="AQ212" s="4"/>
      <c r="AR212" s="4"/>
      <c r="AT212" s="140" t="s">
        <v>408</v>
      </c>
      <c r="AU212" s="137">
        <f>BI210/(AP206+AU190)</f>
        <v>0.9816991267994748</v>
      </c>
      <c r="AV212" s="356"/>
      <c r="AW212" s="4" t="s">
        <v>123</v>
      </c>
      <c r="AX212" s="4">
        <f t="shared" ref="AX212:AX216" si="92">CL222</f>
        <v>1.2908626625694963</v>
      </c>
      <c r="AY212" s="4">
        <f t="shared" si="73"/>
        <v>4.4995970991136185E-3</v>
      </c>
      <c r="AZ212" s="4">
        <f>MW_CaO</f>
        <v>5.6077400000000006E-2</v>
      </c>
      <c r="BA212" s="4">
        <f>AX212/AZ212</f>
        <v>23.019303009224682</v>
      </c>
      <c r="BB212" s="4">
        <f>h_CaO</f>
        <v>-11321.85158370395</v>
      </c>
      <c r="BC212" s="4">
        <f>b_ch_CaO</f>
        <v>122.25799999999992</v>
      </c>
      <c r="BD212" s="4">
        <f>BA212/$BA$217</f>
        <v>1.2461478473889942E-3</v>
      </c>
      <c r="BE212" s="4">
        <f t="shared" si="85"/>
        <v>-6.6876982080405689</v>
      </c>
      <c r="BF212" s="4">
        <f t="shared" si="74"/>
        <v>-15.187555980585502</v>
      </c>
      <c r="BG212" s="4">
        <f t="shared" si="86"/>
        <v>107.07044401941442</v>
      </c>
      <c r="BH212" s="4">
        <f t="shared" si="87"/>
        <v>0.13342560333377709</v>
      </c>
      <c r="BI212" s="4">
        <f t="shared" si="75"/>
        <v>2464.6869942151293</v>
      </c>
      <c r="BJ212" s="4"/>
      <c r="BK212" s="4"/>
      <c r="BM212" s="140" t="s">
        <v>408</v>
      </c>
      <c r="BN212" s="137">
        <f>CB210/(BM195+BI206)</f>
        <v>0.99641504718277929</v>
      </c>
      <c r="BO212" s="356"/>
      <c r="BP212" s="4" t="s">
        <v>123</v>
      </c>
      <c r="BQ212" s="4">
        <f>AX212</f>
        <v>1.2908626625694963</v>
      </c>
      <c r="BR212" s="4">
        <f t="shared" si="88"/>
        <v>4.4995970991136185E-3</v>
      </c>
      <c r="BS212" s="4">
        <f>MW_CaO</f>
        <v>5.6077400000000006E-2</v>
      </c>
      <c r="BT212" s="4">
        <f>BQ212/BS212</f>
        <v>23.019303009224682</v>
      </c>
      <c r="BU212" s="4">
        <f>h_CaO</f>
        <v>-11321.85158370395</v>
      </c>
      <c r="BV212" s="4">
        <f>b_ch_CaO</f>
        <v>122.25799999999992</v>
      </c>
      <c r="BW212" s="4">
        <f>BT212/$BT$217</f>
        <v>1.2461478473889942E-3</v>
      </c>
      <c r="BX212" s="4">
        <f t="shared" si="89"/>
        <v>-6.6876982080405689</v>
      </c>
      <c r="BY212" s="4">
        <f t="shared" si="76"/>
        <v>-15.187555980585502</v>
      </c>
      <c r="BZ212" s="4">
        <f t="shared" si="90"/>
        <v>107.07044401941442</v>
      </c>
      <c r="CA212" s="4">
        <f t="shared" si="91"/>
        <v>0.13342560333377709</v>
      </c>
      <c r="CB212" s="4">
        <f t="shared" ref="CB212:CB216" si="93">CA212*$BT$217</f>
        <v>2464.6869942151293</v>
      </c>
      <c r="CD212" s="4"/>
      <c r="CE212" s="4"/>
      <c r="CG212" s="140" t="s">
        <v>408</v>
      </c>
      <c r="CH212" s="137">
        <f>CW206/(CB254+CB206+CB225+CB242)</f>
        <v>0.64499412077538865</v>
      </c>
      <c r="CI212" s="423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669</v>
      </c>
      <c r="CQ212" s="4"/>
      <c r="CR212" s="4"/>
      <c r="CV212" s="3" t="s">
        <v>96</v>
      </c>
      <c r="CW212" s="1" t="s">
        <v>93</v>
      </c>
    </row>
    <row r="213" spans="2:101" x14ac:dyDescent="0.2">
      <c r="I213" s="356"/>
      <c r="J213" s="4" t="s">
        <v>179</v>
      </c>
      <c r="K213" s="4">
        <f t="shared" si="77"/>
        <v>0.22932230681750362</v>
      </c>
      <c r="L213" s="4">
        <f>K213/$AX$217</f>
        <v>7.993553585817889E-4</v>
      </c>
      <c r="M213" s="4">
        <f>MW_MgO</f>
        <v>4.0304400000000004E-2</v>
      </c>
      <c r="N213" s="4">
        <f>K213/M213</f>
        <v>5.6897586074350093</v>
      </c>
      <c r="O213" s="4">
        <f>h_MgO</f>
        <v>-14926.410019749705</v>
      </c>
      <c r="P213" s="4">
        <f>b_ch_MgO</f>
        <v>62.576000000000022</v>
      </c>
      <c r="Q213" s="4">
        <f>N213/$BA$217</f>
        <v>3.0801455795498246E-4</v>
      </c>
      <c r="R213" s="4">
        <f t="shared" si="78"/>
        <v>-8.0853635100201</v>
      </c>
      <c r="S213" s="4">
        <f t="shared" si="71"/>
        <v>-18.361610693523186</v>
      </c>
      <c r="T213" s="4">
        <f t="shared" si="79"/>
        <v>44.214389306476832</v>
      </c>
      <c r="U213" s="4">
        <f t="shared" si="80"/>
        <v>1.3618675577483965E-2</v>
      </c>
      <c r="V213" s="4">
        <f>U213*$BA$217</f>
        <v>251.56920212900897</v>
      </c>
      <c r="W213" s="4"/>
      <c r="X213" s="4"/>
      <c r="Y213" s="4"/>
      <c r="Z213" s="4"/>
      <c r="AA213" s="4"/>
      <c r="AB213" s="4"/>
      <c r="AC213" s="356"/>
      <c r="AD213" s="4" t="s">
        <v>179</v>
      </c>
      <c r="AE213" s="4">
        <f t="shared" si="81"/>
        <v>0.22932230681750362</v>
      </c>
      <c r="AF213" s="4">
        <f>AE213/$AX$217</f>
        <v>7.993553585817889E-4</v>
      </c>
      <c r="AG213" s="4">
        <f>MW_MgO</f>
        <v>4.0304400000000004E-2</v>
      </c>
      <c r="AH213" s="4">
        <f>AE213/AG213</f>
        <v>5.6897586074350093</v>
      </c>
      <c r="AI213" s="4">
        <f>h_MgO</f>
        <v>-14926.410019749705</v>
      </c>
      <c r="AJ213" s="4">
        <f>b_ch_MgO</f>
        <v>62.576000000000022</v>
      </c>
      <c r="AK213" s="4">
        <f>AH213/$BA$217</f>
        <v>3.0801455795498246E-4</v>
      </c>
      <c r="AL213" s="4">
        <f t="shared" si="82"/>
        <v>-8.0853635100201</v>
      </c>
      <c r="AM213" s="4">
        <f t="shared" si="72"/>
        <v>-18.361610693523186</v>
      </c>
      <c r="AN213" s="4">
        <f t="shared" si="83"/>
        <v>44.214389306476832</v>
      </c>
      <c r="AO213" s="4">
        <f t="shared" si="84"/>
        <v>1.3618675577483965E-2</v>
      </c>
      <c r="AP213" s="4">
        <f>AO213*$BA$217</f>
        <v>251.56920212900897</v>
      </c>
      <c r="AQ213" s="4"/>
      <c r="AR213" s="4"/>
      <c r="AT213" s="4"/>
      <c r="AU213" s="4"/>
      <c r="AV213" s="356"/>
      <c r="AW213" s="4" t="s">
        <v>179</v>
      </c>
      <c r="AX213" s="4">
        <f t="shared" si="92"/>
        <v>0.22932230681750362</v>
      </c>
      <c r="AY213" s="4">
        <f t="shared" si="73"/>
        <v>7.993553585817889E-4</v>
      </c>
      <c r="AZ213" s="4">
        <f>MW_MgO</f>
        <v>4.0304400000000004E-2</v>
      </c>
      <c r="BA213" s="4">
        <f>AX213/AZ213</f>
        <v>5.6897586074350093</v>
      </c>
      <c r="BB213" s="4">
        <f>h_MgO</f>
        <v>-14926.410019749705</v>
      </c>
      <c r="BC213" s="4">
        <f>b_ch_MgO</f>
        <v>62.576000000000022</v>
      </c>
      <c r="BD213" s="4">
        <f>BA213/$BA$217</f>
        <v>3.0801455795498246E-4</v>
      </c>
      <c r="BE213" s="4">
        <f t="shared" si="85"/>
        <v>-8.0853635100201</v>
      </c>
      <c r="BF213" s="4">
        <f t="shared" si="74"/>
        <v>-18.361610693523186</v>
      </c>
      <c r="BG213" s="4">
        <f t="shared" si="86"/>
        <v>44.214389306476832</v>
      </c>
      <c r="BH213" s="4">
        <f t="shared" si="87"/>
        <v>1.3618675577483965E-2</v>
      </c>
      <c r="BI213" s="4">
        <f t="shared" si="75"/>
        <v>251.56920212900897</v>
      </c>
      <c r="BJ213" s="4"/>
      <c r="BK213" s="4"/>
      <c r="BL213" s="4"/>
      <c r="BM213" s="4"/>
      <c r="BN213" s="4"/>
      <c r="BO213" s="356"/>
      <c r="BP213" s="4" t="s">
        <v>179</v>
      </c>
      <c r="BQ213" s="4">
        <f>AX213</f>
        <v>0.22932230681750362</v>
      </c>
      <c r="BR213" s="4">
        <f t="shared" si="88"/>
        <v>7.993553585817889E-4</v>
      </c>
      <c r="BS213" s="4">
        <f>MW_MgO</f>
        <v>4.0304400000000004E-2</v>
      </c>
      <c r="BT213" s="4">
        <f>BQ213/BS213</f>
        <v>5.6897586074350093</v>
      </c>
      <c r="BU213" s="4">
        <f>h_MgO</f>
        <v>-14926.410019749705</v>
      </c>
      <c r="BV213" s="4">
        <f>b_ch_MgO</f>
        <v>62.576000000000022</v>
      </c>
      <c r="BW213" s="4">
        <f>BT213/$BT$217</f>
        <v>3.0801455795498246E-4</v>
      </c>
      <c r="BX213" s="4">
        <f t="shared" si="89"/>
        <v>-8.0853635100201</v>
      </c>
      <c r="BY213" s="4">
        <f t="shared" si="76"/>
        <v>-18.361610693523186</v>
      </c>
      <c r="BZ213" s="4">
        <f t="shared" si="90"/>
        <v>44.214389306476832</v>
      </c>
      <c r="CA213" s="4">
        <f t="shared" si="91"/>
        <v>1.3618675577483965E-2</v>
      </c>
      <c r="CB213" s="4">
        <f t="shared" si="93"/>
        <v>251.56920212900897</v>
      </c>
      <c r="CC213" s="4"/>
      <c r="CD213" s="4"/>
      <c r="CU213" s="4"/>
      <c r="CV213" s="4"/>
    </row>
    <row r="214" spans="2:101" ht="19" thickBot="1" x14ac:dyDescent="0.3">
      <c r="I214" s="356"/>
      <c r="J214" s="4" t="s">
        <v>308</v>
      </c>
      <c r="K214" s="4">
        <f t="shared" si="77"/>
        <v>7.0276190798912411E-2</v>
      </c>
      <c r="L214" s="4">
        <f>K214/$AX$217</f>
        <v>2.4496373892022569E-4</v>
      </c>
      <c r="M214" s="4">
        <f>MW_Na2O</f>
        <v>6.1978936000000005E-2</v>
      </c>
      <c r="N214" s="4">
        <f>K214/M214</f>
        <v>1.1338721722959622</v>
      </c>
      <c r="O214" s="4">
        <f>h_Na2O</f>
        <v>-6682.9156279804474</v>
      </c>
      <c r="P214" s="4">
        <f>b_ch_Na2O</f>
        <v>298.64000000000004</v>
      </c>
      <c r="Q214" s="4">
        <f>N214/$BA$217</f>
        <v>6.1382065571432198E-5</v>
      </c>
      <c r="R214" s="4">
        <f t="shared" si="78"/>
        <v>-9.6983928571487432</v>
      </c>
      <c r="S214" s="4">
        <f t="shared" si="71"/>
        <v>-22.02475049824551</v>
      </c>
      <c r="T214" s="4">
        <f t="shared" si="79"/>
        <v>276.61524950175453</v>
      </c>
      <c r="U214" s="4">
        <f t="shared" si="80"/>
        <v>1.6979215382974776E-2</v>
      </c>
      <c r="V214" s="4">
        <f>U214*$BA$217</f>
        <v>313.64633384274396</v>
      </c>
      <c r="W214" s="4"/>
      <c r="X214" s="4" t="s">
        <v>380</v>
      </c>
      <c r="Y214" s="1" t="s">
        <v>131</v>
      </c>
      <c r="Z214" s="1" t="s">
        <v>282</v>
      </c>
      <c r="AA214" s="1" t="s">
        <v>282</v>
      </c>
      <c r="AB214" s="4"/>
      <c r="AC214" s="356"/>
      <c r="AD214" s="4" t="s">
        <v>308</v>
      </c>
      <c r="AE214" s="4">
        <f t="shared" si="81"/>
        <v>7.0276190798912411E-2</v>
      </c>
      <c r="AF214" s="4">
        <f>AE214/$AX$217</f>
        <v>2.4496373892022569E-4</v>
      </c>
      <c r="AG214" s="4">
        <f>MW_Na2O</f>
        <v>6.1978936000000005E-2</v>
      </c>
      <c r="AH214" s="4">
        <f>AE214/AG214</f>
        <v>1.1338721722959622</v>
      </c>
      <c r="AI214" s="4">
        <f>h_Na2O</f>
        <v>-6682.9156279804474</v>
      </c>
      <c r="AJ214" s="4">
        <f>b_ch_Na2O</f>
        <v>298.64000000000004</v>
      </c>
      <c r="AK214" s="4">
        <f>AH214/$BA$217</f>
        <v>6.1382065571432198E-5</v>
      </c>
      <c r="AL214" s="4">
        <f t="shared" si="82"/>
        <v>-9.6983928571487432</v>
      </c>
      <c r="AM214" s="4">
        <f t="shared" si="72"/>
        <v>-22.02475049824551</v>
      </c>
      <c r="AN214" s="4">
        <f t="shared" si="83"/>
        <v>276.61524950175453</v>
      </c>
      <c r="AO214" s="4">
        <f t="shared" si="84"/>
        <v>1.6979215382974776E-2</v>
      </c>
      <c r="AP214" s="4">
        <f>AO214*$BA$217</f>
        <v>313.64633384274396</v>
      </c>
      <c r="AQ214" s="4"/>
      <c r="AR214" s="4"/>
      <c r="AS214" s="4"/>
      <c r="AT214" s="4"/>
      <c r="AU214" s="4"/>
      <c r="AV214" s="356"/>
      <c r="AW214" s="4" t="s">
        <v>308</v>
      </c>
      <c r="AX214" s="4">
        <f t="shared" si="92"/>
        <v>7.0276190798912411E-2</v>
      </c>
      <c r="AY214" s="4">
        <f t="shared" si="73"/>
        <v>2.4496373892022569E-4</v>
      </c>
      <c r="AZ214" s="4">
        <f>MW_Na2O</f>
        <v>6.1978936000000005E-2</v>
      </c>
      <c r="BA214" s="4">
        <f>AX214/AZ214</f>
        <v>1.1338721722959622</v>
      </c>
      <c r="BB214" s="4">
        <f>h_Na2O</f>
        <v>-6682.9156279804474</v>
      </c>
      <c r="BC214" s="4">
        <f>b_ch_Na2O</f>
        <v>298.64000000000004</v>
      </c>
      <c r="BD214" s="4">
        <f>BA214/$BA$217</f>
        <v>6.1382065571432198E-5</v>
      </c>
      <c r="BE214" s="4">
        <f t="shared" si="85"/>
        <v>-9.6983928571487432</v>
      </c>
      <c r="BF214" s="4">
        <f t="shared" si="74"/>
        <v>-22.02475049824551</v>
      </c>
      <c r="BG214" s="4">
        <f t="shared" si="86"/>
        <v>276.61524950175453</v>
      </c>
      <c r="BH214" s="4">
        <f t="shared" si="87"/>
        <v>1.6979215382974776E-2</v>
      </c>
      <c r="BI214" s="4">
        <f t="shared" si="75"/>
        <v>313.64633384274396</v>
      </c>
      <c r="BJ214" s="4"/>
      <c r="BK214" s="4"/>
      <c r="BL214" s="4"/>
      <c r="BM214" s="4"/>
      <c r="BN214" s="4"/>
      <c r="BO214" s="356"/>
      <c r="BP214" s="4" t="s">
        <v>308</v>
      </c>
      <c r="BQ214" s="4">
        <f>AX214</f>
        <v>7.0276190798912411E-2</v>
      </c>
      <c r="BR214" s="4">
        <f t="shared" si="88"/>
        <v>2.4496373892022569E-4</v>
      </c>
      <c r="BS214" s="4">
        <f>MW_Na2O</f>
        <v>6.1978936000000005E-2</v>
      </c>
      <c r="BT214" s="4">
        <f>BQ214/BS214</f>
        <v>1.1338721722959622</v>
      </c>
      <c r="BU214" s="4">
        <f>h_Na2O</f>
        <v>-6682.9156279804474</v>
      </c>
      <c r="BV214" s="4">
        <f>b_ch_Na2O</f>
        <v>298.64000000000004</v>
      </c>
      <c r="BW214" s="4">
        <f>BT214/$BT$217</f>
        <v>6.1382065571432198E-5</v>
      </c>
      <c r="BX214" s="4">
        <f t="shared" si="89"/>
        <v>-9.6983928571487432</v>
      </c>
      <c r="BY214" s="4">
        <f t="shared" si="76"/>
        <v>-22.02475049824551</v>
      </c>
      <c r="BZ214" s="4">
        <f t="shared" si="90"/>
        <v>276.61524950175453</v>
      </c>
      <c r="CA214" s="4">
        <f t="shared" si="91"/>
        <v>1.6979215382974776E-2</v>
      </c>
      <c r="CB214" s="4">
        <f t="shared" si="93"/>
        <v>313.64633384274396</v>
      </c>
      <c r="CC214" s="4"/>
      <c r="CD214" s="4"/>
      <c r="CU214" s="4"/>
      <c r="CV214" s="4"/>
    </row>
    <row r="215" spans="2:101" ht="18" x14ac:dyDescent="0.25">
      <c r="I215" s="356"/>
      <c r="J215" s="1" t="s">
        <v>15</v>
      </c>
      <c r="K215" s="4">
        <f t="shared" si="77"/>
        <v>0.80262807386126278</v>
      </c>
      <c r="L215" s="4">
        <f>K215/$AX$217</f>
        <v>2.7977437550362615E-3</v>
      </c>
      <c r="M215" s="4">
        <f>MW_Fe2O3</f>
        <v>0.1596882</v>
      </c>
      <c r="N215" s="4">
        <f>K215/M215</f>
        <v>5.0262203084590018</v>
      </c>
      <c r="O215" s="4">
        <f>h_Fe2O3</f>
        <v>-5161.3080991582347</v>
      </c>
      <c r="P215" s="4">
        <f>b_ch_Fe2O3</f>
        <v>17.358400000000074</v>
      </c>
      <c r="Q215" s="4">
        <f>N215/$BA$217</f>
        <v>2.7209397327881957E-4</v>
      </c>
      <c r="R215" s="4">
        <f t="shared" si="78"/>
        <v>-8.2093630613405431</v>
      </c>
      <c r="S215" s="4">
        <f t="shared" si="71"/>
        <v>-18.643209842985776</v>
      </c>
      <c r="T215" s="4">
        <f t="shared" si="79"/>
        <v>-1.2848098429857018</v>
      </c>
      <c r="U215" s="4">
        <f t="shared" si="80"/>
        <v>-3.4958901508571591E-4</v>
      </c>
      <c r="V215" s="4">
        <f>U215*$BA$217</f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56"/>
      <c r="AD215" s="1" t="s">
        <v>15</v>
      </c>
      <c r="AE215" s="4">
        <f t="shared" si="81"/>
        <v>0.80262807386126278</v>
      </c>
      <c r="AF215" s="4">
        <f>AE215/$AX$217</f>
        <v>2.7977437550362615E-3</v>
      </c>
      <c r="AG215" s="4">
        <f>MW_Fe2O3</f>
        <v>0.1596882</v>
      </c>
      <c r="AH215" s="4">
        <f>AE215/AG215</f>
        <v>5.0262203084590018</v>
      </c>
      <c r="AI215" s="4">
        <f>h_Fe2O3</f>
        <v>-5161.3080991582347</v>
      </c>
      <c r="AJ215" s="4">
        <f>b_ch_Fe2O3</f>
        <v>17.358400000000074</v>
      </c>
      <c r="AK215" s="4">
        <f>AH215/$BA$217</f>
        <v>2.7209397327881957E-4</v>
      </c>
      <c r="AL215" s="4">
        <f t="shared" si="82"/>
        <v>-8.2093630613405431</v>
      </c>
      <c r="AM215" s="4">
        <f t="shared" si="72"/>
        <v>-18.643209842985776</v>
      </c>
      <c r="AN215" s="4">
        <f t="shared" si="83"/>
        <v>-1.2848098429857018</v>
      </c>
      <c r="AO215" s="4">
        <f t="shared" si="84"/>
        <v>-3.4958901508571591E-4</v>
      </c>
      <c r="AP215" s="4">
        <f>AO215*$BA$217</f>
        <v>-6.4577373253227552</v>
      </c>
      <c r="AQ215" s="4"/>
      <c r="AR215" s="3" t="s">
        <v>2</v>
      </c>
      <c r="AS215" s="3" t="s">
        <v>3</v>
      </c>
      <c r="AT215" s="132" t="s">
        <v>588</v>
      </c>
      <c r="AU215" s="4"/>
      <c r="AV215" s="356"/>
      <c r="AW215" s="1" t="s">
        <v>15</v>
      </c>
      <c r="AX215" s="4">
        <f t="shared" si="92"/>
        <v>0.80262807386126278</v>
      </c>
      <c r="AY215" s="4">
        <f t="shared" si="73"/>
        <v>2.7977437550362615E-3</v>
      </c>
      <c r="AZ215" s="4">
        <f>MW_Fe2O3</f>
        <v>0.1596882</v>
      </c>
      <c r="BA215" s="4">
        <f>AX215/AZ215</f>
        <v>5.0262203084590018</v>
      </c>
      <c r="BB215" s="4">
        <f>h_Fe2O3</f>
        <v>-5161.3080991582347</v>
      </c>
      <c r="BC215" s="4">
        <f>b_ch_Fe2O3</f>
        <v>17.358400000000074</v>
      </c>
      <c r="BD215" s="4">
        <f>BA215/$BA$217</f>
        <v>2.7209397327881957E-4</v>
      </c>
      <c r="BE215" s="4">
        <f t="shared" si="85"/>
        <v>-8.2093630613405431</v>
      </c>
      <c r="BF215" s="4">
        <f t="shared" si="74"/>
        <v>-18.643209842985776</v>
      </c>
      <c r="BG215" s="4">
        <f t="shared" si="86"/>
        <v>-1.2848098429857018</v>
      </c>
      <c r="BH215" s="4">
        <f t="shared" si="87"/>
        <v>-3.4958901508571591E-4</v>
      </c>
      <c r="BI215" s="4">
        <f t="shared" si="75"/>
        <v>-6.4577373253227552</v>
      </c>
      <c r="BJ215" s="4"/>
      <c r="BK215" s="3" t="s">
        <v>2</v>
      </c>
      <c r="BL215" s="3" t="s">
        <v>3</v>
      </c>
      <c r="BM215" s="132" t="s">
        <v>588</v>
      </c>
      <c r="BN215" s="4"/>
      <c r="BO215" s="356"/>
      <c r="BP215" s="1" t="s">
        <v>15</v>
      </c>
      <c r="BQ215" s="4">
        <f>AX215</f>
        <v>0.80262807386126278</v>
      </c>
      <c r="BR215" s="4">
        <f t="shared" si="88"/>
        <v>2.7977437550362615E-3</v>
      </c>
      <c r="BS215" s="4">
        <f>MW_Fe2O3</f>
        <v>0.1596882</v>
      </c>
      <c r="BT215" s="4">
        <f>BQ215/BS215</f>
        <v>5.0262203084590018</v>
      </c>
      <c r="BU215" s="4">
        <f>h_Fe2O3</f>
        <v>-5161.3080991582347</v>
      </c>
      <c r="BV215" s="4">
        <f>b_ch_Fe2O3</f>
        <v>17.358400000000074</v>
      </c>
      <c r="BW215" s="4">
        <f>BT215/$BT$217</f>
        <v>2.7209397327881957E-4</v>
      </c>
      <c r="BX215" s="4">
        <f t="shared" si="89"/>
        <v>-8.2093630613405431</v>
      </c>
      <c r="BY215" s="4">
        <f t="shared" si="76"/>
        <v>-18.643209842985776</v>
      </c>
      <c r="BZ215" s="4">
        <f t="shared" si="90"/>
        <v>-1.2848098429857018</v>
      </c>
      <c r="CA215" s="4">
        <f t="shared" si="91"/>
        <v>-3.4958901508571591E-4</v>
      </c>
      <c r="CB215" s="4">
        <f t="shared" si="93"/>
        <v>-6.4577373253227552</v>
      </c>
      <c r="CC215" s="4"/>
      <c r="CD215" s="4"/>
      <c r="CE215" s="3" t="s">
        <v>2</v>
      </c>
      <c r="CF215" s="3" t="s">
        <v>3</v>
      </c>
      <c r="CG215" s="132" t="s">
        <v>588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56"/>
      <c r="J216" s="1" t="s">
        <v>17</v>
      </c>
      <c r="K216" s="4">
        <f t="shared" si="77"/>
        <v>9.2172772353099859</v>
      </c>
      <c r="L216" s="4">
        <f>K216/$AX$217</f>
        <v>3.2128928283642229E-2</v>
      </c>
      <c r="M216" s="3">
        <f>MW_SIO2</f>
        <v>6.00843E-2</v>
      </c>
      <c r="N216" s="4">
        <f>K216/M216</f>
        <v>153.40575217336286</v>
      </c>
      <c r="O216" s="4">
        <f>h_SiO2</f>
        <v>-15157.037695371337</v>
      </c>
      <c r="P216" s="3">
        <f>b_ch_SiO2</f>
        <v>1.5260000000000673</v>
      </c>
      <c r="Q216" s="4">
        <f>N216/$BA$217</f>
        <v>8.3046062589870028E-3</v>
      </c>
      <c r="R216" s="4">
        <f t="shared" si="78"/>
        <v>-4.7909449471567278</v>
      </c>
      <c r="S216" s="4">
        <f t="shared" si="71"/>
        <v>-10.88008793479406</v>
      </c>
      <c r="T216" s="4">
        <f t="shared" si="79"/>
        <v>-9.3540879347939931</v>
      </c>
      <c r="U216" s="4">
        <f t="shared" si="80"/>
        <v>-7.7682017210405005E-2</v>
      </c>
      <c r="V216" s="4">
        <f>U216*$BA$217</f>
        <v>-1434.9708955328508</v>
      </c>
      <c r="W216" s="356" t="s">
        <v>380</v>
      </c>
      <c r="X216" s="62" t="s">
        <v>307</v>
      </c>
      <c r="Y216" s="62">
        <f t="shared" ref="Y216:Y221" si="94">$Y$222*Z216</f>
        <v>16.732655961692366</v>
      </c>
      <c r="Z216" s="172">
        <v>0.3715</v>
      </c>
      <c r="AA216" s="172">
        <v>0.37219999999999998</v>
      </c>
      <c r="AC216" s="356"/>
      <c r="AD216" s="1" t="s">
        <v>17</v>
      </c>
      <c r="AE216" s="4">
        <f t="shared" si="81"/>
        <v>9.2172772353099859</v>
      </c>
      <c r="AF216" s="4">
        <f>AE216/$AX$217</f>
        <v>3.2128928283642229E-2</v>
      </c>
      <c r="AG216" s="3">
        <f>MW_SIO2</f>
        <v>6.00843E-2</v>
      </c>
      <c r="AH216" s="4">
        <f>AE216/AG216</f>
        <v>153.40575217336286</v>
      </c>
      <c r="AI216" s="4">
        <f>h_SiO2</f>
        <v>-15157.037695371337</v>
      </c>
      <c r="AJ216" s="3">
        <f>b_ch_SiO2</f>
        <v>1.5260000000000673</v>
      </c>
      <c r="AK216" s="4">
        <f>AH216/$BA$217</f>
        <v>8.3046062589870028E-3</v>
      </c>
      <c r="AL216" s="4">
        <f t="shared" si="82"/>
        <v>-4.7909449471567278</v>
      </c>
      <c r="AM216" s="4">
        <f t="shared" si="72"/>
        <v>-10.88008793479406</v>
      </c>
      <c r="AN216" s="4">
        <f t="shared" si="83"/>
        <v>-9.3540879347939931</v>
      </c>
      <c r="AO216" s="4">
        <f t="shared" si="84"/>
        <v>-7.7682017210405005E-2</v>
      </c>
      <c r="AP216" s="4">
        <f>AO216*$BA$217</f>
        <v>-1434.9708955328508</v>
      </c>
      <c r="AQ216" s="4"/>
      <c r="AR216" s="1" t="s">
        <v>590</v>
      </c>
      <c r="AS216" s="1" t="s">
        <v>590</v>
      </c>
      <c r="AT216" s="1" t="s">
        <v>590</v>
      </c>
      <c r="AU216" s="4"/>
      <c r="AV216" s="356"/>
      <c r="AW216" s="1" t="s">
        <v>17</v>
      </c>
      <c r="AX216" s="4">
        <f t="shared" si="92"/>
        <v>9.2172772353099859</v>
      </c>
      <c r="AY216" s="4">
        <f t="shared" si="73"/>
        <v>3.2128928283642229E-2</v>
      </c>
      <c r="AZ216" s="3">
        <f>MW_SIO2</f>
        <v>6.00843E-2</v>
      </c>
      <c r="BA216" s="4">
        <f>AX216/AZ216</f>
        <v>153.40575217336286</v>
      </c>
      <c r="BB216" s="4">
        <f>h_SiO2</f>
        <v>-15157.037695371337</v>
      </c>
      <c r="BC216" s="3">
        <f>b_ch_SiO2</f>
        <v>1.5260000000000673</v>
      </c>
      <c r="BD216" s="4">
        <f>BA216/$BA$217</f>
        <v>8.3046062589870028E-3</v>
      </c>
      <c r="BE216" s="4">
        <f t="shared" si="85"/>
        <v>-4.7909449471567278</v>
      </c>
      <c r="BF216" s="4">
        <f t="shared" si="74"/>
        <v>-10.88008793479406</v>
      </c>
      <c r="BG216" s="4">
        <f t="shared" si="86"/>
        <v>-9.3540879347939931</v>
      </c>
      <c r="BH216" s="4">
        <f t="shared" si="87"/>
        <v>-7.7682017210405005E-2</v>
      </c>
      <c r="BI216" s="4">
        <f t="shared" si="75"/>
        <v>-1434.9708955328508</v>
      </c>
      <c r="BJ216" s="4"/>
      <c r="BK216" s="1" t="s">
        <v>590</v>
      </c>
      <c r="BL216" s="1" t="s">
        <v>590</v>
      </c>
      <c r="BM216" s="1" t="s">
        <v>590</v>
      </c>
      <c r="BN216" s="4"/>
      <c r="BO216" s="356"/>
      <c r="BP216" s="1" t="s">
        <v>17</v>
      </c>
      <c r="BQ216" s="4">
        <f>AX216</f>
        <v>9.2172772353099859</v>
      </c>
      <c r="BR216" s="4">
        <f t="shared" si="88"/>
        <v>3.2128928283642229E-2</v>
      </c>
      <c r="BS216" s="3">
        <f>MW_SIO2</f>
        <v>6.00843E-2</v>
      </c>
      <c r="BT216" s="4">
        <f>BQ216/BS216</f>
        <v>153.40575217336286</v>
      </c>
      <c r="BU216" s="4">
        <f>h_SiO2</f>
        <v>-15157.037695371337</v>
      </c>
      <c r="BV216" s="3">
        <f>b_ch_SiO2</f>
        <v>1.5260000000000673</v>
      </c>
      <c r="BW216" s="4">
        <f>BT216/$BT$217</f>
        <v>8.3046062589870028E-3</v>
      </c>
      <c r="BX216" s="4">
        <f t="shared" si="89"/>
        <v>-4.7909449471567278</v>
      </c>
      <c r="BY216" s="4">
        <f t="shared" si="76"/>
        <v>-10.88008793479406</v>
      </c>
      <c r="BZ216" s="4">
        <f t="shared" si="90"/>
        <v>-9.3540879347939931</v>
      </c>
      <c r="CA216" s="4">
        <f t="shared" si="91"/>
        <v>-7.7682017210405005E-2</v>
      </c>
      <c r="CB216" s="4">
        <f t="shared" si="93"/>
        <v>-1434.9708955328508</v>
      </c>
      <c r="CC216" s="4"/>
      <c r="CD216" s="4"/>
      <c r="CE216" s="1" t="s">
        <v>590</v>
      </c>
      <c r="CF216" s="1" t="s">
        <v>590</v>
      </c>
      <c r="CG216" s="1" t="s">
        <v>590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56"/>
      <c r="X217" s="4" t="s">
        <v>123</v>
      </c>
      <c r="Y217" s="4">
        <f t="shared" si="94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589</v>
      </c>
      <c r="AS217" s="3" t="s">
        <v>589</v>
      </c>
      <c r="AT217" s="3" t="s">
        <v>589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589</v>
      </c>
      <c r="BL217" s="3" t="s">
        <v>589</v>
      </c>
      <c r="BM217" s="3" t="s">
        <v>589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17"/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589</v>
      </c>
      <c r="CF217" s="3" t="s">
        <v>589</v>
      </c>
      <c r="CG217" s="3" t="s">
        <v>589</v>
      </c>
      <c r="CR217" s="3" t="s">
        <v>531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669</v>
      </c>
      <c r="P218" s="4"/>
      <c r="Q218" s="4"/>
      <c r="U218" s="3" t="s">
        <v>96</v>
      </c>
      <c r="V218" s="1" t="s">
        <v>93</v>
      </c>
      <c r="W218" s="356"/>
      <c r="X218" s="4" t="s">
        <v>179</v>
      </c>
      <c r="Y218" s="4">
        <f t="shared" si="94"/>
        <v>0.55850587866752444</v>
      </c>
      <c r="Z218" s="4">
        <v>1.24E-2</v>
      </c>
      <c r="AA218" s="4">
        <f t="shared" ref="AA218:AA221" si="95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669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669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669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56"/>
      <c r="X219" s="4" t="s">
        <v>308</v>
      </c>
      <c r="Y219" s="4">
        <f t="shared" si="94"/>
        <v>0.17115502733359619</v>
      </c>
      <c r="Z219" s="4">
        <v>3.8E-3</v>
      </c>
      <c r="AA219" s="4">
        <f t="shared" si="95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96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97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561</v>
      </c>
      <c r="CM219" s="1" t="s">
        <v>562</v>
      </c>
      <c r="CN219" s="1" t="s">
        <v>564</v>
      </c>
      <c r="CO219" s="1" t="s">
        <v>85</v>
      </c>
      <c r="CP219" s="1" t="s">
        <v>668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563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56"/>
      <c r="X220" s="1" t="s">
        <v>15</v>
      </c>
      <c r="Y220" s="4">
        <f t="shared" si="94"/>
        <v>1.9547705753363356</v>
      </c>
      <c r="Z220" s="4">
        <v>4.3400000000000001E-2</v>
      </c>
      <c r="AA220" s="4">
        <f t="shared" si="95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96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97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98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653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56"/>
      <c r="X221" s="1" t="s">
        <v>17</v>
      </c>
      <c r="Y221" s="4">
        <f t="shared" si="94"/>
        <v>22.448333058701145</v>
      </c>
      <c r="Z221" s="4">
        <v>0.49840000000000001</v>
      </c>
      <c r="AA221" s="4">
        <f t="shared" si="95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96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97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98"/>
        <v>0</v>
      </c>
      <c r="CJ221" s="359" t="s">
        <v>531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99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>CO221/$CO$227</f>
        <v>0.26393162595128805</v>
      </c>
      <c r="CS221" s="62">
        <f>LN(CR221)</f>
        <v>-1.3320652019889558</v>
      </c>
      <c r="CT221" s="62">
        <f t="shared" ref="CT221:CT226" si="100">RT0*CS221</f>
        <v>-3.0250789129021771</v>
      </c>
      <c r="CU221" s="62">
        <f>CT221+CQ221</f>
        <v>28.850921087097799</v>
      </c>
      <c r="CV221" s="62">
        <f>CU221*CR221</f>
        <v>7.6146705127100249</v>
      </c>
      <c r="CW221" s="62">
        <f>CV221*$CO$227</f>
        <v>1947.7149509597818</v>
      </c>
    </row>
    <row r="222" spans="2:101" ht="16" thickBot="1" x14ac:dyDescent="0.25">
      <c r="B222" s="341" t="s">
        <v>491</v>
      </c>
      <c r="C222" s="341"/>
      <c r="D222" s="341"/>
      <c r="E222" s="341"/>
      <c r="F222" s="341"/>
      <c r="G222" s="341"/>
      <c r="H222" s="341"/>
      <c r="J222" s="4"/>
      <c r="K222" s="4"/>
      <c r="L222" s="4"/>
      <c r="M222" s="4"/>
      <c r="N222" s="4"/>
      <c r="O222" s="4"/>
      <c r="P222" s="4"/>
      <c r="Q222" s="204" t="s">
        <v>579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96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97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98"/>
        <v>0</v>
      </c>
      <c r="CJ222" s="359"/>
      <c r="CK222" s="4" t="s">
        <v>123</v>
      </c>
      <c r="CL222" s="4">
        <f>Z217*$CL$227</f>
        <v>1.2908626625694963</v>
      </c>
      <c r="CM222" s="4">
        <f t="shared" ref="CM222:CM226" si="101">CL222/$CL$227</f>
        <v>6.9800000000000001E-2</v>
      </c>
      <c r="CN222" s="4">
        <f>MW_CaO</f>
        <v>5.6077400000000006E-2</v>
      </c>
      <c r="CO222" s="4">
        <f t="shared" si="99"/>
        <v>23.019303009224682</v>
      </c>
      <c r="CP222" s="4">
        <f>h_CaO</f>
        <v>-11321.85158370395</v>
      </c>
      <c r="CQ222" s="4">
        <f>b_ch_CaO</f>
        <v>122.25799999999992</v>
      </c>
      <c r="CR222" s="4">
        <f>CO222/$CO$227</f>
        <v>8.9994897744716112E-2</v>
      </c>
      <c r="CS222" s="4">
        <f>LN(CR222)</f>
        <v>-2.4080023019842853</v>
      </c>
      <c r="CT222" s="4">
        <f t="shared" si="100"/>
        <v>-5.4684988205351805</v>
      </c>
      <c r="CU222" s="4">
        <f>CT222+CQ222</f>
        <v>116.78950117946475</v>
      </c>
      <c r="CV222" s="4">
        <f>CU222*CR222</f>
        <v>10.510459216302332</v>
      </c>
      <c r="CW222" s="4">
        <f t="shared" ref="CW222:CW226" si="102">CV222*$CO$227</f>
        <v>2688.4129159463023</v>
      </c>
    </row>
    <row r="223" spans="2:101" x14ac:dyDescent="0.2">
      <c r="B223" s="342"/>
      <c r="C223" s="342"/>
      <c r="D223" s="342"/>
      <c r="E223" s="342"/>
      <c r="F223" s="342"/>
      <c r="G223" s="342"/>
      <c r="H223" s="34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96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97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98"/>
        <v>0</v>
      </c>
      <c r="CJ223" s="359"/>
      <c r="CK223" s="4" t="s">
        <v>179</v>
      </c>
      <c r="CL223" s="4">
        <f>Z218*$CL$227</f>
        <v>0.22932230681750362</v>
      </c>
      <c r="CM223" s="4">
        <f t="shared" si="101"/>
        <v>1.24E-2</v>
      </c>
      <c r="CN223" s="4">
        <f>MW_MgO</f>
        <v>4.0304400000000004E-2</v>
      </c>
      <c r="CO223" s="4">
        <f t="shared" si="99"/>
        <v>5.6897586074350093</v>
      </c>
      <c r="CP223" s="4">
        <f>h_MgO</f>
        <v>-14926.410019749705</v>
      </c>
      <c r="CQ223" s="4">
        <f>b_ch_MgO</f>
        <v>62.576000000000022</v>
      </c>
      <c r="CR223" s="4">
        <f>CO223/$CO$227</f>
        <v>2.2244341797101112E-2</v>
      </c>
      <c r="CS223" s="4">
        <f>LN(CR223)</f>
        <v>-3.8056676039638173</v>
      </c>
      <c r="CT223" s="4">
        <f t="shared" si="100"/>
        <v>-8.6425535334728654</v>
      </c>
      <c r="CU223" s="4">
        <f>CT223+CQ223</f>
        <v>53.933446466527158</v>
      </c>
      <c r="CV223" s="4">
        <f>CU223*CR223</f>
        <v>1.1997140174970853</v>
      </c>
      <c r="CW223" s="4">
        <f t="shared" si="102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567</v>
      </c>
      <c r="L224" s="1" t="s">
        <v>561</v>
      </c>
      <c r="M224" s="3" t="s">
        <v>5</v>
      </c>
      <c r="N224" s="1" t="s">
        <v>85</v>
      </c>
      <c r="O224" s="1" t="s">
        <v>668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563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96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97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98"/>
        <v>0</v>
      </c>
      <c r="CJ224" s="359"/>
      <c r="CK224" s="4" t="s">
        <v>308</v>
      </c>
      <c r="CL224" s="4">
        <f>Z219*$CL$227</f>
        <v>7.0276190798912411E-2</v>
      </c>
      <c r="CM224" s="4">
        <f t="shared" si="101"/>
        <v>3.8000000000000004E-3</v>
      </c>
      <c r="CN224" s="4">
        <f>MW_Na2O</f>
        <v>6.1978936000000005E-2</v>
      </c>
      <c r="CO224" s="4">
        <f t="shared" si="99"/>
        <v>1.1338721722959622</v>
      </c>
      <c r="CP224" s="4">
        <f>h_Na2O</f>
        <v>-6682.9156279804474</v>
      </c>
      <c r="CQ224" s="4">
        <f>b_ch_Na2O</f>
        <v>298.64000000000004</v>
      </c>
      <c r="CR224" s="4">
        <f>CO224/$CO$227</f>
        <v>4.4329191965743692E-3</v>
      </c>
      <c r="CS224" s="4">
        <f>LN(CR224)</f>
        <v>-5.4186969510924596</v>
      </c>
      <c r="CT224" s="4">
        <f t="shared" si="100"/>
        <v>-12.305693338195185</v>
      </c>
      <c r="CU224" s="4">
        <f>CT224+CQ224</f>
        <v>286.33430666180487</v>
      </c>
      <c r="CV224" s="4">
        <f>CU224*CR224</f>
        <v>1.269296844638927</v>
      </c>
      <c r="CW224" s="4">
        <f t="shared" si="102"/>
        <v>324.66650229747881</v>
      </c>
    </row>
    <row r="225" spans="2:160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566</v>
      </c>
      <c r="L225" s="1" t="s">
        <v>88</v>
      </c>
      <c r="M225" s="1" t="s">
        <v>90</v>
      </c>
      <c r="N225" s="1" t="s">
        <v>86</v>
      </c>
      <c r="O225" s="1" t="s">
        <v>653</v>
      </c>
      <c r="P225" s="1" t="s">
        <v>653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96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97"/>
        <v>0</v>
      </c>
      <c r="BW225" s="3" t="s">
        <v>529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98"/>
        <v>0</v>
      </c>
      <c r="CJ225" s="359"/>
      <c r="CK225" s="1" t="s">
        <v>15</v>
      </c>
      <c r="CL225" s="4">
        <f>Z220*$CL$227</f>
        <v>0.80262807386126278</v>
      </c>
      <c r="CM225" s="4">
        <f t="shared" si="101"/>
        <v>4.3400000000000001E-2</v>
      </c>
      <c r="CN225" s="4">
        <f>MW_Fe2O3</f>
        <v>0.1596882</v>
      </c>
      <c r="CO225" s="4">
        <f t="shared" si="99"/>
        <v>5.0262203084590018</v>
      </c>
      <c r="CP225" s="4">
        <f>h_Fe2O3</f>
        <v>-5161.3080991582347</v>
      </c>
      <c r="CQ225" s="4">
        <f>b_ch_Fe2O3</f>
        <v>17.358400000000074</v>
      </c>
      <c r="CR225" s="4">
        <f>CO225/$CO$227</f>
        <v>1.9650211933911133E-2</v>
      </c>
      <c r="CS225" s="4">
        <f>LN(CR225)</f>
        <v>-3.929667155284259</v>
      </c>
      <c r="CT225" s="4">
        <f t="shared" si="100"/>
        <v>-8.9241526829354534</v>
      </c>
      <c r="CU225" s="4">
        <f>CT225+CQ225</f>
        <v>8.4342473170646208</v>
      </c>
      <c r="CV225" s="4">
        <f>CU225*CR225</f>
        <v>0.16573474728334117</v>
      </c>
      <c r="CW225" s="4">
        <f t="shared" si="102"/>
        <v>42.392385151596045</v>
      </c>
      <c r="DB225" s="16" t="s">
        <v>637</v>
      </c>
    </row>
    <row r="226" spans="2:160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579</v>
      </c>
      <c r="J226" s="96" t="s">
        <v>494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96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97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98"/>
        <v>0</v>
      </c>
      <c r="CJ226" s="359"/>
      <c r="CK226" s="1" t="s">
        <v>17</v>
      </c>
      <c r="CL226" s="4">
        <f>Z221*$CL$227</f>
        <v>9.2172772353099859</v>
      </c>
      <c r="CM226" s="4">
        <f t="shared" si="101"/>
        <v>0.49840000000000007</v>
      </c>
      <c r="CN226" s="3">
        <f>MW_SIO2</f>
        <v>6.00843E-2</v>
      </c>
      <c r="CO226" s="4">
        <f t="shared" si="99"/>
        <v>153.40575217336286</v>
      </c>
      <c r="CP226" s="4">
        <f>h_SiO2</f>
        <v>-15157.037695371337</v>
      </c>
      <c r="CQ226" s="3">
        <f>b_ch_SiO2</f>
        <v>1.5260000000000673</v>
      </c>
      <c r="CR226" s="4">
        <f>CO226/$CO$227</f>
        <v>0.59974600337640915</v>
      </c>
      <c r="CS226" s="4">
        <f>LN(CR226)</f>
        <v>-0.51124904110044445</v>
      </c>
      <c r="CT226" s="4">
        <f t="shared" si="100"/>
        <v>-1.1610307747437392</v>
      </c>
      <c r="CU226" s="4">
        <f>CT226+CQ226</f>
        <v>0.36496922525632813</v>
      </c>
      <c r="CV226" s="4">
        <f>CU226*CR226</f>
        <v>0.2188888342028672</v>
      </c>
      <c r="CW226" s="4">
        <f t="shared" si="102"/>
        <v>55.988378520576518</v>
      </c>
      <c r="CY226" s="350" t="s">
        <v>441</v>
      </c>
      <c r="CZ226" s="350"/>
      <c r="DA226" s="350"/>
      <c r="DB226" s="350"/>
      <c r="DC226" s="350"/>
      <c r="DD226" s="350"/>
    </row>
    <row r="227" spans="2:160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526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96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97"/>
        <v>0</v>
      </c>
      <c r="BN227" s="1"/>
      <c r="BP227" s="4"/>
      <c r="BQ227" s="1" t="s">
        <v>561</v>
      </c>
      <c r="BR227" s="1" t="s">
        <v>562</v>
      </c>
      <c r="BS227" s="1" t="s">
        <v>564</v>
      </c>
      <c r="BT227" s="1" t="s">
        <v>85</v>
      </c>
      <c r="BU227" s="1" t="s">
        <v>668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563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98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0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669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653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669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573</v>
      </c>
      <c r="DA228" s="13" t="s">
        <v>459</v>
      </c>
      <c r="DB228" s="13" t="s">
        <v>48</v>
      </c>
      <c r="DC228" s="34" t="s">
        <v>98</v>
      </c>
      <c r="DD228" s="13" t="s">
        <v>48</v>
      </c>
    </row>
    <row r="229" spans="2:16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561</v>
      </c>
      <c r="AF229" s="1" t="s">
        <v>562</v>
      </c>
      <c r="AG229" s="1" t="s">
        <v>564</v>
      </c>
      <c r="AH229" s="1" t="s">
        <v>85</v>
      </c>
      <c r="AI229" s="1" t="s">
        <v>668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563</v>
      </c>
      <c r="AP229" s="1" t="s">
        <v>50</v>
      </c>
      <c r="BO229" s="343" t="s">
        <v>538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0" ht="19" thickBot="1" x14ac:dyDescent="0.3">
      <c r="X230" s="4"/>
      <c r="Y230" s="3" t="s">
        <v>2</v>
      </c>
      <c r="Z230" s="3" t="s">
        <v>3</v>
      </c>
      <c r="AA230" s="132" t="s">
        <v>588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653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3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0" ht="18" customHeight="1" x14ac:dyDescent="0.25">
      <c r="X231" s="4"/>
      <c r="Y231" s="1" t="s">
        <v>590</v>
      </c>
      <c r="Z231" s="1" t="s">
        <v>590</v>
      </c>
      <c r="AA231" s="1" t="s">
        <v>590</v>
      </c>
      <c r="AC231" s="343" t="s">
        <v>526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3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W231" s="63" t="s">
        <v>1</v>
      </c>
      <c r="EX231" s="58" t="s">
        <v>0</v>
      </c>
    </row>
    <row r="232" spans="2:160" ht="18" x14ac:dyDescent="0.25">
      <c r="X232" s="4" t="s">
        <v>60</v>
      </c>
      <c r="Y232" s="3" t="s">
        <v>589</v>
      </c>
      <c r="Z232" s="3" t="s">
        <v>589</v>
      </c>
      <c r="AA232" s="3" t="s">
        <v>589</v>
      </c>
      <c r="AC232" s="343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03">LN(AK232)</f>
        <v>-2.0601257523805443</v>
      </c>
      <c r="AM232" s="1">
        <f>RT0*AL232</f>
        <v>-4.6784819257704671</v>
      </c>
      <c r="AN232" s="1">
        <f t="shared" ref="AN232:AN233" si="104">AJ232+AM232</f>
        <v>4.8328620742295412</v>
      </c>
      <c r="AO232" s="1">
        <f>AN232*AK232</f>
        <v>0.61589000281072381</v>
      </c>
      <c r="AP232" s="1">
        <f t="shared" ref="AP232:AP233" si="105">$AH$234*AO232</f>
        <v>163.51221401600938</v>
      </c>
      <c r="BO232" s="343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W232" s="65" t="s">
        <v>89</v>
      </c>
      <c r="EX232" s="64" t="s">
        <v>93</v>
      </c>
    </row>
    <row r="233" spans="2:160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3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03"/>
        <v>-0.30166831442652092</v>
      </c>
      <c r="AM233" s="1">
        <f>RT0*AL233</f>
        <v>-0.68507942051171322</v>
      </c>
      <c r="AN233" s="1">
        <f t="shared" si="104"/>
        <v>-0.65706594051171319</v>
      </c>
      <c r="AO233" s="1">
        <f t="shared" ref="AO233" si="106">AN233*AK233</f>
        <v>-0.48595501850345452</v>
      </c>
      <c r="AP233" s="1">
        <f t="shared" si="105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532</v>
      </c>
      <c r="CV233" s="50">
        <f>CL243</f>
        <v>69.582675758133661</v>
      </c>
      <c r="CW233" s="48">
        <f>CW243</f>
        <v>5935408.0537775028</v>
      </c>
      <c r="CY233" s="355" t="s">
        <v>458</v>
      </c>
      <c r="CZ233" s="355"/>
      <c r="DA233" s="355"/>
      <c r="DB233" s="355"/>
      <c r="DC233" s="355"/>
      <c r="DL233" s="3" t="s">
        <v>529</v>
      </c>
      <c r="DP233" s="50">
        <f>DF241</f>
        <v>69.582675758133661</v>
      </c>
      <c r="DQ233" s="48">
        <f>DQ241</f>
        <v>5944558.1059355522</v>
      </c>
      <c r="ER233" s="3" t="s">
        <v>529</v>
      </c>
      <c r="EW233" s="50">
        <f>EM241</f>
        <v>10.437401363720047</v>
      </c>
      <c r="EX233" s="48">
        <f>EX241</f>
        <v>891683.71589033271</v>
      </c>
      <c r="EZ233" s="348" t="s">
        <v>423</v>
      </c>
      <c r="FA233" s="349"/>
      <c r="FB233" s="349"/>
      <c r="FC233" s="349"/>
      <c r="FD233" s="349"/>
    </row>
    <row r="234" spans="2:160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07">Y234-Z234</f>
        <v>0</v>
      </c>
      <c r="AC234" s="343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669</v>
      </c>
      <c r="BV234" s="4"/>
      <c r="BW234" s="4"/>
      <c r="CA234" s="3" t="s">
        <v>96</v>
      </c>
      <c r="CB234" s="1" t="s">
        <v>93</v>
      </c>
      <c r="CY234" s="355"/>
      <c r="CZ234" s="355"/>
      <c r="DA234" s="355"/>
      <c r="DB234" s="355"/>
      <c r="DC234" s="355"/>
      <c r="EZ234" s="349"/>
      <c r="FA234" s="349"/>
      <c r="FB234" s="349"/>
      <c r="FC234" s="349"/>
      <c r="FD234" s="349"/>
    </row>
    <row r="235" spans="2:160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07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669</v>
      </c>
      <c r="AJ235" s="4"/>
      <c r="AK235" s="4"/>
      <c r="AO235" s="3" t="s">
        <v>96</v>
      </c>
      <c r="AP235" s="1" t="s">
        <v>93</v>
      </c>
      <c r="CK235" s="4"/>
      <c r="CL235" s="1" t="s">
        <v>561</v>
      </c>
      <c r="CM235" s="1" t="s">
        <v>562</v>
      </c>
      <c r="CN235" s="1" t="s">
        <v>564</v>
      </c>
      <c r="CO235" s="1" t="s">
        <v>85</v>
      </c>
      <c r="CP235" s="1" t="s">
        <v>668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563</v>
      </c>
      <c r="CW235" s="1" t="s">
        <v>50</v>
      </c>
      <c r="CY235" s="22" t="s">
        <v>433</v>
      </c>
      <c r="CZ235" s="22" t="s">
        <v>481</v>
      </c>
      <c r="DA235" s="161" t="s">
        <v>337</v>
      </c>
      <c r="DB235" s="373" t="s">
        <v>344</v>
      </c>
      <c r="DC235" s="138" t="s">
        <v>317</v>
      </c>
      <c r="DE235" s="4"/>
      <c r="DF235" s="1" t="s">
        <v>561</v>
      </c>
      <c r="DG235" s="1" t="s">
        <v>562</v>
      </c>
      <c r="DH235" s="1" t="s">
        <v>564</v>
      </c>
      <c r="DI235" s="1" t="s">
        <v>85</v>
      </c>
      <c r="DJ235" s="1" t="s">
        <v>668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563</v>
      </c>
      <c r="DQ235" s="1" t="s">
        <v>50</v>
      </c>
      <c r="EL235" s="4"/>
      <c r="EM235" s="1" t="s">
        <v>561</v>
      </c>
      <c r="EN235" s="1" t="s">
        <v>562</v>
      </c>
      <c r="EO235" s="1" t="s">
        <v>564</v>
      </c>
      <c r="EP235" s="1" t="s">
        <v>85</v>
      </c>
      <c r="EQ235" s="1" t="s">
        <v>668</v>
      </c>
      <c r="ER235" s="1" t="s">
        <v>6</v>
      </c>
      <c r="ES235" s="1" t="s">
        <v>7</v>
      </c>
      <c r="ET235" s="1" t="s">
        <v>8</v>
      </c>
      <c r="EU235" s="1" t="s">
        <v>9</v>
      </c>
      <c r="EV235" s="1" t="s">
        <v>49</v>
      </c>
      <c r="EW235" s="1" t="s">
        <v>563</v>
      </c>
      <c r="EX235" s="1" t="s">
        <v>50</v>
      </c>
      <c r="EZ235" s="349"/>
      <c r="FA235" s="349"/>
      <c r="FB235" s="349"/>
      <c r="FC235" s="349"/>
      <c r="FD235" s="349"/>
    </row>
    <row r="236" spans="2:160" ht="19" thickBot="1" x14ac:dyDescent="0.3">
      <c r="Q236" s="3" t="s">
        <v>544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07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653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74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653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EL236" s="4" t="s">
        <v>41</v>
      </c>
      <c r="EM236" s="1" t="s">
        <v>88</v>
      </c>
      <c r="EN236" s="4" t="s">
        <v>283</v>
      </c>
      <c r="EO236" s="2" t="s">
        <v>90</v>
      </c>
      <c r="EP236" s="2" t="s">
        <v>86</v>
      </c>
      <c r="EQ236" s="1" t="s">
        <v>653</v>
      </c>
      <c r="ER236" s="2" t="s">
        <v>95</v>
      </c>
      <c r="ES236" s="2" t="s">
        <v>25</v>
      </c>
      <c r="ET236" s="2" t="s">
        <v>98</v>
      </c>
      <c r="EU236" s="2" t="s">
        <v>95</v>
      </c>
      <c r="EV236" s="2" t="s">
        <v>95</v>
      </c>
      <c r="EW236" s="2" t="s">
        <v>94</v>
      </c>
      <c r="EX236" s="2" t="s">
        <v>92</v>
      </c>
    </row>
    <row r="237" spans="2:160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07"/>
        <v>0</v>
      </c>
      <c r="CJ237" s="343" t="s">
        <v>532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08">CL237/CN237</f>
        <v>19743.878868609463</v>
      </c>
      <c r="CP237" s="17">
        <f>h_H2</f>
        <v>0</v>
      </c>
      <c r="CQ237" s="17">
        <f>b_ch_H2</f>
        <v>236.1</v>
      </c>
      <c r="CR237" s="17">
        <f>CO237/$CO$243</f>
        <v>0.92235600940319784</v>
      </c>
      <c r="CS237" s="17">
        <f>LN(CR237)</f>
        <v>-8.0824002618162957E-2</v>
      </c>
      <c r="CT237" s="17">
        <f t="shared" ref="CT237:CT242" si="109">RT0*CS237</f>
        <v>-0.18354881248416716</v>
      </c>
      <c r="CU237" s="17">
        <f>CQ237+CT237</f>
        <v>235.91645118751583</v>
      </c>
      <c r="CV237" s="17">
        <f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46" t="s">
        <v>529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EK237" s="347" t="s">
        <v>529</v>
      </c>
      <c r="EL237" s="17" t="s">
        <v>66</v>
      </c>
      <c r="EM237" s="17">
        <f>H2_to_coke_oven</f>
        <v>5.8592015710173317</v>
      </c>
      <c r="EN237" s="17">
        <f>EM237/$BQ$233</f>
        <v>0.56136593456908357</v>
      </c>
      <c r="EO237" s="17">
        <f>MW_H*2</f>
        <v>2.0158800000000003E-3</v>
      </c>
      <c r="EP237" s="17">
        <f>EM237/EO237</f>
        <v>2906.5229929446846</v>
      </c>
      <c r="EQ237" s="17">
        <f>h_H2</f>
        <v>0</v>
      </c>
      <c r="ER237" s="17">
        <f>b_ch_H2</f>
        <v>236.1</v>
      </c>
      <c r="ES237" s="17">
        <f>EP237/$BT$233</f>
        <v>0.91544766952145873</v>
      </c>
      <c r="ET237" s="17">
        <f>LN(ES237)</f>
        <v>-8.8342077045854117E-2</v>
      </c>
      <c r="EU237" s="17">
        <f>RT0*ET237</f>
        <v>-0.20062212720095396</v>
      </c>
      <c r="EV237" s="17">
        <f>ER237+EU237</f>
        <v>235.89937787279905</v>
      </c>
      <c r="EW237" s="17">
        <f>EV237*ES237</f>
        <v>215.95353571521585</v>
      </c>
      <c r="EX237" s="17">
        <f>EW237*$BT$233</f>
        <v>685646.96580863697</v>
      </c>
    </row>
    <row r="238" spans="2:160" ht="18" x14ac:dyDescent="0.25">
      <c r="E238" s="341" t="s">
        <v>524</v>
      </c>
      <c r="F238" s="341"/>
      <c r="G238" s="341"/>
      <c r="H238" s="341"/>
      <c r="J238" s="4"/>
      <c r="K238" s="1" t="s">
        <v>561</v>
      </c>
      <c r="L238" s="1" t="s">
        <v>562</v>
      </c>
      <c r="M238" s="1" t="s">
        <v>564</v>
      </c>
      <c r="N238" s="1" t="s">
        <v>85</v>
      </c>
      <c r="O238" s="1" t="s">
        <v>668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563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07"/>
        <v>0</v>
      </c>
      <c r="CJ238" s="343"/>
      <c r="CK238" s="4" t="s">
        <v>371</v>
      </c>
      <c r="CL238" s="3">
        <f t="shared" ref="CL238:CL242" si="110">$CL$243*CM238</f>
        <v>1.3916535151626732</v>
      </c>
      <c r="CM238" s="3">
        <v>0.02</v>
      </c>
      <c r="CN238" s="3">
        <f>MW_C2H4</f>
        <v>2.8053759999999997E-2</v>
      </c>
      <c r="CO238" s="3">
        <f t="shared" si="108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>CO238/$CO$243</f>
        <v>2.3174274526721371E-3</v>
      </c>
      <c r="CS238" s="3">
        <f>LN(CR238)</f>
        <v>-6.0672975651470908</v>
      </c>
      <c r="CT238" s="3">
        <f t="shared" si="109"/>
        <v>-13.778645290954278</v>
      </c>
      <c r="CU238" s="3">
        <f>CQ238+CT238</f>
        <v>1347.4513547090457</v>
      </c>
      <c r="CV238" s="3">
        <f>CR238*CU238</f>
        <v>3.1226207605430041</v>
      </c>
      <c r="CW238" s="3">
        <f t="shared" ref="CW238:CW242" si="111">CV238*$CO$243</f>
        <v>66842.569919025103</v>
      </c>
      <c r="CY238" s="4"/>
      <c r="CZ238" s="4"/>
      <c r="DB238" s="139" t="s">
        <v>640</v>
      </c>
      <c r="DC238" s="136">
        <f>DQ233/(CW233+DD229)</f>
        <v>0.99315856277211589</v>
      </c>
      <c r="DD238" s="346"/>
      <c r="DE238" s="3" t="s">
        <v>65</v>
      </c>
      <c r="DF238" s="3">
        <f>CH4_out_COtreatment</f>
        <v>26.702429889316871</v>
      </c>
      <c r="DG238" s="3">
        <f t="shared" ref="DG238:DG240" si="112">DF238/$DF$241</f>
        <v>0.38375112193347305</v>
      </c>
      <c r="DH238" s="3">
        <f>MW_CH4</f>
        <v>1.604276E-2</v>
      </c>
      <c r="DI238" s="3">
        <f t="shared" ref="DI238:DI240" si="113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14">LN(DL238)</f>
        <v>-2.5429226700357286</v>
      </c>
      <c r="DN238" s="3">
        <f>RT0*DM238</f>
        <v>-5.7748988073406355</v>
      </c>
      <c r="DO238" s="3">
        <f t="shared" ref="DO238:DO240" si="115">DK238+DN238</f>
        <v>826.02510119265935</v>
      </c>
      <c r="DP238" s="3">
        <f t="shared" ref="DP238:DP240" si="116">DO238*DL238</f>
        <v>64.955504665215983</v>
      </c>
      <c r="DQ238" s="3">
        <f t="shared" ref="DQ238:DQ240" si="117">DP238*$DI$241</f>
        <v>1374880.4664168048</v>
      </c>
      <c r="DW238" s="4"/>
      <c r="DX238" s="3" t="s">
        <v>2</v>
      </c>
      <c r="DY238" s="3" t="s">
        <v>3</v>
      </c>
      <c r="DZ238" s="132" t="s">
        <v>588</v>
      </c>
      <c r="EK238" s="347"/>
      <c r="EL238" s="3" t="s">
        <v>65</v>
      </c>
      <c r="EM238" s="3">
        <f>CH4_to_coke_oven</f>
        <v>4.0053644833975302</v>
      </c>
      <c r="EN238" s="3">
        <f>EM238/$BQ$233</f>
        <v>0.3837511219334731</v>
      </c>
      <c r="EO238" s="3">
        <f>MW_CH4</f>
        <v>1.604276E-2</v>
      </c>
      <c r="EP238" s="3">
        <f>EM238/EO238</f>
        <v>249.66804236911418</v>
      </c>
      <c r="EQ238" s="3">
        <f>h_CH4</f>
        <v>1.604276E-2</v>
      </c>
      <c r="ER238" s="3">
        <f>b_ch_CH4</f>
        <v>831.8</v>
      </c>
      <c r="ES238" s="3">
        <f>EP238/$BT$233</f>
        <v>7.8636235837663701E-2</v>
      </c>
      <c r="ET238" s="3">
        <f>LN(ES238)</f>
        <v>-2.5429226700357286</v>
      </c>
      <c r="EU238" s="3">
        <f>RT0*ET238</f>
        <v>-5.7748988073406355</v>
      </c>
      <c r="EV238" s="3">
        <f>ER238+EU238</f>
        <v>826.02510119265935</v>
      </c>
      <c r="EW238" s="3">
        <f>EV238*ES238</f>
        <v>64.955504665215983</v>
      </c>
      <c r="EX238" s="3">
        <f>EW238*$BT$233</f>
        <v>206232.06996252068</v>
      </c>
    </row>
    <row r="239" spans="2:160" ht="19" thickBot="1" x14ac:dyDescent="0.3">
      <c r="E239" s="341"/>
      <c r="F239" s="341"/>
      <c r="G239" s="341"/>
      <c r="H239" s="341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653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07"/>
        <v>0</v>
      </c>
      <c r="CJ239" s="343"/>
      <c r="CK239" s="3" t="s">
        <v>122</v>
      </c>
      <c r="CL239" s="3">
        <f t="shared" si="110"/>
        <v>3.1312204091160147</v>
      </c>
      <c r="CM239" s="3">
        <v>4.4999999999999998E-2</v>
      </c>
      <c r="CN239" s="3">
        <f>MW_CO</f>
        <v>2.8010399999999998E-2</v>
      </c>
      <c r="CO239" s="3">
        <f t="shared" si="108"/>
        <v>111.78777915045893</v>
      </c>
      <c r="CP239" s="3">
        <f>h_CO</f>
        <v>-3944.9632993459577</v>
      </c>
      <c r="CQ239" s="3">
        <f>b_ch_CO</f>
        <v>275.02296000000001</v>
      </c>
      <c r="CR239" s="3">
        <f>CO239/$CO$243</f>
        <v>5.2222833498636167E-3</v>
      </c>
      <c r="CS239" s="3">
        <f>LN(CR239)</f>
        <v>-5.254820549383771</v>
      </c>
      <c r="CT239" s="3">
        <f t="shared" si="109"/>
        <v>-11.933535093695568</v>
      </c>
      <c r="CU239" s="3">
        <f>CQ239+CT239</f>
        <v>263.08942490630443</v>
      </c>
      <c r="CV239" s="3">
        <f>CR239*CU239</f>
        <v>1.3739275232133878</v>
      </c>
      <c r="CW239" s="3">
        <f t="shared" si="111"/>
        <v>29410.182528247205</v>
      </c>
      <c r="CY239" s="4"/>
      <c r="CZ239" s="4"/>
      <c r="DB239" s="140" t="s">
        <v>408</v>
      </c>
      <c r="DC239" s="137">
        <f>DQ238/(CW233+DD229)</f>
        <v>0.22970156631938118</v>
      </c>
      <c r="DD239" s="346"/>
      <c r="DE239" s="239" t="s">
        <v>24</v>
      </c>
      <c r="DF239" s="3">
        <f>O2_out_COtreatment</f>
        <v>2.4968312226300351</v>
      </c>
      <c r="DG239" s="3">
        <f t="shared" si="112"/>
        <v>3.5882943497443406E-2</v>
      </c>
      <c r="DH239" s="3">
        <f>MW_O2</f>
        <v>3.1998800000000001E-2</v>
      </c>
      <c r="DI239" s="3">
        <f t="shared" si="113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14"/>
        <v>-5.6030955660719179</v>
      </c>
      <c r="DN239" s="3">
        <f>RT0*DM239</f>
        <v>-12.724456894896333</v>
      </c>
      <c r="DO239" s="3">
        <f t="shared" si="115"/>
        <v>-8.724456894896333</v>
      </c>
      <c r="DP239" s="3">
        <f t="shared" si="116"/>
        <v>-3.2162138317036203E-2</v>
      </c>
      <c r="DQ239" s="3">
        <f t="shared" si="117"/>
        <v>-680.75979023172897</v>
      </c>
      <c r="DW239" s="4"/>
      <c r="DX239" s="1" t="s">
        <v>590</v>
      </c>
      <c r="DY239" s="1" t="s">
        <v>590</v>
      </c>
      <c r="DZ239" s="1" t="s">
        <v>590</v>
      </c>
      <c r="EK239" s="347"/>
      <c r="EL239" s="239" t="s">
        <v>24</v>
      </c>
      <c r="EM239" s="3">
        <f>O2_to_coke_oven</f>
        <v>0.37452468339450529</v>
      </c>
      <c r="EN239" s="3">
        <f>EM239/$BQ$233</f>
        <v>3.5882943497443413E-2</v>
      </c>
      <c r="EO239" s="3">
        <f>MW_O2</f>
        <v>3.1998800000000001E-2</v>
      </c>
      <c r="EP239" s="3">
        <f>EM239/EO239</f>
        <v>11.704335268650864</v>
      </c>
      <c r="EQ239" s="3">
        <f>h_O2</f>
        <v>0</v>
      </c>
      <c r="ER239" s="3">
        <f>b_ch_O2</f>
        <v>4</v>
      </c>
      <c r="ES239" s="3">
        <f>EP239/$BT$233</f>
        <v>3.6864344341996287E-3</v>
      </c>
      <c r="ET239" s="3">
        <f>LN(ES239)</f>
        <v>-5.6030955660719171</v>
      </c>
      <c r="EU239" s="3">
        <f>RT0*ET239</f>
        <v>-12.724456894896331</v>
      </c>
      <c r="EV239" s="3">
        <f>ER239+EU239</f>
        <v>-8.7244568948963312</v>
      </c>
      <c r="EW239" s="3">
        <f>EV239*ES239</f>
        <v>-3.2162138317036203E-2</v>
      </c>
      <c r="EX239" s="3">
        <f>EW239*$BT$233</f>
        <v>-102.11396853475932</v>
      </c>
    </row>
    <row r="240" spans="2:160" ht="18" customHeight="1" x14ac:dyDescent="0.25">
      <c r="I240" s="343" t="s">
        <v>530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07"/>
        <v>0</v>
      </c>
      <c r="CA240" s="63" t="s">
        <v>1</v>
      </c>
      <c r="CB240" s="58" t="s">
        <v>0</v>
      </c>
      <c r="CJ240" s="343"/>
      <c r="CK240" s="7" t="s">
        <v>64</v>
      </c>
      <c r="CL240" s="3">
        <f t="shared" si="110"/>
        <v>0.97415746061387132</v>
      </c>
      <c r="CM240" s="3">
        <v>1.4E-2</v>
      </c>
      <c r="CN240" s="3">
        <f>MW_CO2</f>
        <v>4.4009800000000002E-2</v>
      </c>
      <c r="CO240" s="3">
        <f t="shared" si="108"/>
        <v>22.135012215776289</v>
      </c>
      <c r="CP240" s="3">
        <f>h_CO2</f>
        <v>-8941.1903712354979</v>
      </c>
      <c r="CQ240" s="3">
        <f>b_ch_CO2</f>
        <v>19.900000000000034</v>
      </c>
      <c r="CR240" s="3">
        <f>CO240/$CO$243</f>
        <v>1.0340603116186133E-3</v>
      </c>
      <c r="CS240" s="3">
        <f>LN(CR240)</f>
        <v>-6.8742621761456677</v>
      </c>
      <c r="CT240" s="3">
        <f t="shared" si="109"/>
        <v>-15.611236987325567</v>
      </c>
      <c r="CU240" s="3">
        <f>CQ240+CT240</f>
        <v>4.2887630126744671</v>
      </c>
      <c r="CV240" s="3">
        <f>CR240*CU240</f>
        <v>4.4348396173445421E-3</v>
      </c>
      <c r="CW240" s="3">
        <f t="shared" si="111"/>
        <v>94.931821676118844</v>
      </c>
      <c r="DD240" s="346"/>
      <c r="DE240" s="7" t="s">
        <v>67</v>
      </c>
      <c r="DF240" s="3">
        <f>N2_out_COtreatment</f>
        <v>1.3220708394045395</v>
      </c>
      <c r="DG240" s="3">
        <f t="shared" si="112"/>
        <v>1.9E-2</v>
      </c>
      <c r="DH240" s="3">
        <f>MW_N2</f>
        <v>2.801348E-2</v>
      </c>
      <c r="DI240" s="3">
        <f t="shared" si="113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14"/>
        <v>-6.1059060788071511</v>
      </c>
      <c r="DN240" s="3">
        <f>RT0*DM240</f>
        <v>-13.866324032473203</v>
      </c>
      <c r="DO240" s="3">
        <f t="shared" si="115"/>
        <v>-13.166324032473204</v>
      </c>
      <c r="DP240" s="3">
        <f t="shared" si="116"/>
        <v>-2.9356428763433841E-2</v>
      </c>
      <c r="DQ240" s="3">
        <f t="shared" si="117"/>
        <v>-621.37274860117384</v>
      </c>
      <c r="DW240" s="4" t="s">
        <v>60</v>
      </c>
      <c r="DX240" s="3" t="s">
        <v>589</v>
      </c>
      <c r="DY240" s="3" t="s">
        <v>589</v>
      </c>
      <c r="DZ240" s="3" t="s">
        <v>589</v>
      </c>
      <c r="EK240" s="347"/>
      <c r="EL240" s="7" t="s">
        <v>67</v>
      </c>
      <c r="EM240" s="3">
        <f>N2_to_coke_oven</f>
        <v>0.19831062591068094</v>
      </c>
      <c r="EN240" s="3">
        <f>EM240/$BQ$233</f>
        <v>1.9000000000000003E-2</v>
      </c>
      <c r="EO240" s="3">
        <f>MW_N2</f>
        <v>2.801348E-2</v>
      </c>
      <c r="EP240" s="3">
        <f>EM240/EO240</f>
        <v>7.0791142660847894</v>
      </c>
      <c r="EQ240" s="3">
        <f>h_N2</f>
        <v>0</v>
      </c>
      <c r="ER240" s="3">
        <f>b_ch_N2</f>
        <v>0.7</v>
      </c>
      <c r="ES240" s="3">
        <f>EP240/$BT$233</f>
        <v>2.2296602066780094E-3</v>
      </c>
      <c r="ET240" s="3">
        <f>LN(ES240)</f>
        <v>-6.1059060788071502</v>
      </c>
      <c r="EU240" s="3">
        <f>RT0*ET240</f>
        <v>-13.866324032473202</v>
      </c>
      <c r="EV240" s="3">
        <f>ER240+EU240</f>
        <v>-13.166324032473202</v>
      </c>
      <c r="EW240" s="3">
        <f>EV240*ES240</f>
        <v>-2.9356428763433841E-2</v>
      </c>
      <c r="EX240" s="3">
        <f>EW240*$BT$233</f>
        <v>-93.205912290176059</v>
      </c>
    </row>
    <row r="241" spans="9:154" ht="18" x14ac:dyDescent="0.25">
      <c r="I241" s="343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07"/>
        <v>0</v>
      </c>
      <c r="CA241" s="65" t="s">
        <v>89</v>
      </c>
      <c r="CB241" s="64" t="s">
        <v>93</v>
      </c>
      <c r="CJ241" s="343"/>
      <c r="CK241" s="7" t="s">
        <v>67</v>
      </c>
      <c r="CL241" s="3">
        <f t="shared" si="110"/>
        <v>1.3220708394045395</v>
      </c>
      <c r="CM241" s="3">
        <v>1.9E-2</v>
      </c>
      <c r="CN241" s="3">
        <f>MW_N2</f>
        <v>2.801348E-2</v>
      </c>
      <c r="CO241" s="3">
        <f t="shared" si="108"/>
        <v>47.194095107231931</v>
      </c>
      <c r="CP241" s="3">
        <f>h_N2</f>
        <v>0</v>
      </c>
      <c r="CQ241" s="3">
        <f>b_ch_N2</f>
        <v>0.7</v>
      </c>
      <c r="CR241" s="3">
        <f>CO241/$CO$243</f>
        <v>2.2047216517170204E-3</v>
      </c>
      <c r="CS241" s="3">
        <f>LN(CR241)</f>
        <v>-6.1171540131006124</v>
      </c>
      <c r="CT241" s="3">
        <f t="shared" si="109"/>
        <v>-13.891867743692485</v>
      </c>
      <c r="CU241" s="3">
        <f>CQ241+CT241</f>
        <v>-13.191867743692486</v>
      </c>
      <c r="CV241" s="3">
        <f>CR241*CU241</f>
        <v>-2.9084396441106181E-2</v>
      </c>
      <c r="CW241" s="3">
        <f t="shared" si="111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W241" s="3" t="s">
        <v>18</v>
      </c>
      <c r="DX241" s="83">
        <f>DI238</f>
        <v>1664.4536157940947</v>
      </c>
      <c r="DY241" s="83">
        <f>EP238+EE157+BT230</f>
        <v>1664.4536157940945</v>
      </c>
      <c r="DZ241" s="3">
        <f>DX241-DY241</f>
        <v>0</v>
      </c>
      <c r="EL241" s="17" t="s">
        <v>19</v>
      </c>
      <c r="EM241" s="17">
        <f>SUM(EM237:EM240)</f>
        <v>10.437401363720047</v>
      </c>
      <c r="EN241" s="17">
        <f>SUM(EN237:EN240)</f>
        <v>1</v>
      </c>
      <c r="EO241" s="17"/>
      <c r="EP241" s="17">
        <f>SUM(EP237:EP240)</f>
        <v>3174.9744848485343</v>
      </c>
      <c r="EQ241" s="17">
        <f>SUM(EQ237:EQ240)</f>
        <v>1.604276E-2</v>
      </c>
      <c r="ER241" s="17">
        <f>SUM(ER237:ER240)</f>
        <v>1072.5999999999999</v>
      </c>
      <c r="ES241" s="17">
        <f>SUM(ES237:ES240)</f>
        <v>1</v>
      </c>
      <c r="ET241" s="17"/>
      <c r="EU241" s="17"/>
      <c r="EV241" s="17"/>
      <c r="EW241" s="17">
        <f>SUM(EW237:EW240)</f>
        <v>280.84752181335136</v>
      </c>
      <c r="EX241" s="17">
        <f>SUM(EX237:EX240)</f>
        <v>891683.71589033271</v>
      </c>
    </row>
    <row r="242" spans="9:15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07"/>
        <v>0</v>
      </c>
      <c r="BW242" s="3" t="s">
        <v>530</v>
      </c>
      <c r="CA242" s="50">
        <f>BQ248</f>
        <v>556.96479760636817</v>
      </c>
      <c r="CB242" s="48">
        <f>CB248</f>
        <v>4359.9448543333856</v>
      </c>
      <c r="CJ242" s="343"/>
      <c r="CK242" s="3" t="s">
        <v>65</v>
      </c>
      <c r="CL242" s="3">
        <f t="shared" si="110"/>
        <v>22.962283000184108</v>
      </c>
      <c r="CM242" s="3">
        <v>0.33</v>
      </c>
      <c r="CN242" s="3">
        <f>MW_CH4</f>
        <v>1.604276E-2</v>
      </c>
      <c r="CO242" s="3">
        <f t="shared" si="108"/>
        <v>1431.3174915154318</v>
      </c>
      <c r="CP242" s="3">
        <f>h_CH4</f>
        <v>1.604276E-2</v>
      </c>
      <c r="CQ242" s="3">
        <f>b_ch_CH4</f>
        <v>831.8</v>
      </c>
      <c r="CR242" s="3">
        <f>CO242/$CO$243</f>
        <v>6.6865497830930945E-2</v>
      </c>
      <c r="CS242" s="3">
        <f>LN(CR242)</f>
        <v>-2.7050721723709388</v>
      </c>
      <c r="CT242" s="3">
        <f t="shared" si="109"/>
        <v>-6.1431353167242753</v>
      </c>
      <c r="CU242" s="3">
        <f>CQ242+CT242</f>
        <v>825.65686468327567</v>
      </c>
      <c r="CV242" s="3">
        <f>CR242*CU242</f>
        <v>55.207957294572815</v>
      </c>
      <c r="CW242" s="3">
        <f t="shared" si="111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669</v>
      </c>
      <c r="DK242" s="4"/>
      <c r="DL242" s="4"/>
      <c r="DP242" s="3" t="s">
        <v>96</v>
      </c>
      <c r="DQ242" s="1" t="s">
        <v>93</v>
      </c>
      <c r="DW242" s="3" t="s">
        <v>182</v>
      </c>
      <c r="DX242" s="83">
        <f>(2*DI237)+(4*DI238)</f>
        <v>45411.454369105508</v>
      </c>
      <c r="DY242" s="83">
        <f>(2*EP237)+(4*EP238)+(2*EE156)+(4*EE157)+(2*BT229)+(4*BT230)</f>
        <v>45411.454369105501</v>
      </c>
      <c r="DZ242" s="3">
        <f t="shared" ref="DZ242:DZ244" si="118">DX242-DY242</f>
        <v>0</v>
      </c>
      <c r="EM242" s="1" t="s">
        <v>89</v>
      </c>
      <c r="EN242" s="1"/>
      <c r="EO242" s="3" t="s">
        <v>91</v>
      </c>
      <c r="EP242" s="3" t="s">
        <v>87</v>
      </c>
      <c r="EQ242" s="1" t="s">
        <v>669</v>
      </c>
      <c r="ER242" s="4"/>
      <c r="ES242" s="4"/>
      <c r="EW242" s="3" t="s">
        <v>96</v>
      </c>
      <c r="EX242" s="1" t="s">
        <v>93</v>
      </c>
    </row>
    <row r="243" spans="9:154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669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>
        <f>SUM(CP237:CP242)</f>
        <v>-11018.295313636119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588</v>
      </c>
      <c r="DW243" s="3" t="s">
        <v>29</v>
      </c>
      <c r="DX243" s="83">
        <f>2*DI239</f>
        <v>156.0578035820115</v>
      </c>
      <c r="DY243" s="83">
        <f>(2*EP239)+(2*EE158)+(2*BT231)</f>
        <v>156.0578035820115</v>
      </c>
      <c r="DZ243" s="3">
        <f t="shared" si="118"/>
        <v>0</v>
      </c>
    </row>
    <row r="244" spans="9:154" ht="18" x14ac:dyDescent="0.25">
      <c r="BK244" s="341" t="s">
        <v>524</v>
      </c>
      <c r="BL244" s="341"/>
      <c r="BM244" s="341"/>
      <c r="BN244" s="341"/>
      <c r="BP244" s="4"/>
      <c r="BQ244" s="1" t="s">
        <v>561</v>
      </c>
      <c r="BR244" s="1" t="s">
        <v>562</v>
      </c>
      <c r="BS244" s="1" t="s">
        <v>564</v>
      </c>
      <c r="BT244" s="1" t="s">
        <v>85</v>
      </c>
      <c r="BU244" s="1" t="s">
        <v>668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563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669</v>
      </c>
      <c r="CQ244" s="4"/>
      <c r="CR244" s="4"/>
      <c r="CV244" s="3" t="s">
        <v>96</v>
      </c>
      <c r="CW244" s="1" t="s">
        <v>93</v>
      </c>
      <c r="CY244" s="4"/>
      <c r="CZ244" s="1" t="s">
        <v>590</v>
      </c>
      <c r="DA244" s="1" t="s">
        <v>590</v>
      </c>
      <c r="DB244" s="1" t="s">
        <v>590</v>
      </c>
      <c r="DW244" s="3" t="s">
        <v>363</v>
      </c>
      <c r="DX244" s="83">
        <f>2*DI240</f>
        <v>94.388190214463862</v>
      </c>
      <c r="DY244" s="83">
        <f>(2*EP240)+(2*BT232)+(2*EE159)</f>
        <v>94.388190214463862</v>
      </c>
      <c r="DZ244" s="3">
        <f t="shared" si="118"/>
        <v>0</v>
      </c>
    </row>
    <row r="245" spans="9:154" ht="18" x14ac:dyDescent="0.25">
      <c r="BK245" s="341"/>
      <c r="BL245" s="341"/>
      <c r="BM245" s="341"/>
      <c r="BN245" s="341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653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589</v>
      </c>
      <c r="DA245" s="3" t="s">
        <v>589</v>
      </c>
      <c r="DB245" s="3" t="s">
        <v>589</v>
      </c>
    </row>
    <row r="246" spans="9:154" ht="18" customHeight="1" x14ac:dyDescent="0.25">
      <c r="BO246" s="359" t="s">
        <v>525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</row>
    <row r="247" spans="9:154" ht="19" thickBot="1" x14ac:dyDescent="0.3">
      <c r="BO247" s="359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19">CZ247-DA247</f>
        <v>0</v>
      </c>
    </row>
    <row r="248" spans="9:154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19"/>
        <v>0</v>
      </c>
    </row>
    <row r="249" spans="9:154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669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19"/>
        <v>0</v>
      </c>
    </row>
    <row r="250" spans="9:154" ht="16" thickBot="1" x14ac:dyDescent="0.25">
      <c r="CR250" s="3" t="s">
        <v>533</v>
      </c>
      <c r="CV250" s="50">
        <f>CL257</f>
        <v>584.3657277440451</v>
      </c>
      <c r="CW250" s="48">
        <f>CW257</f>
        <v>50611.612737094903</v>
      </c>
    </row>
    <row r="251" spans="9:154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54" ht="18" x14ac:dyDescent="0.25">
      <c r="CA252" s="63" t="s">
        <v>1</v>
      </c>
      <c r="CB252" s="58" t="s">
        <v>0</v>
      </c>
      <c r="CK252" s="4"/>
      <c r="CL252" s="1" t="s">
        <v>561</v>
      </c>
      <c r="CM252" s="1" t="s">
        <v>562</v>
      </c>
      <c r="CN252" s="1" t="s">
        <v>564</v>
      </c>
      <c r="CO252" s="1" t="s">
        <v>85</v>
      </c>
      <c r="CP252" s="1" t="s">
        <v>668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563</v>
      </c>
      <c r="CW252" s="1" t="s">
        <v>50</v>
      </c>
    </row>
    <row r="253" spans="9:154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653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54" ht="26" customHeight="1" thickBot="1" x14ac:dyDescent="0.3">
      <c r="BW254" s="3" t="s">
        <v>479</v>
      </c>
      <c r="CA254" s="50">
        <f>BR259</f>
        <v>16.963528773956838</v>
      </c>
      <c r="CB254" s="48">
        <f>CB259</f>
        <v>879540.87913658854</v>
      </c>
      <c r="CJ254" s="343" t="s">
        <v>533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54" ht="18" x14ac:dyDescent="0.25">
      <c r="BL255" s="3" t="s">
        <v>465</v>
      </c>
      <c r="BO255" s="4"/>
      <c r="CJ255" s="343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20">CV255*$CO$257</f>
        <v>17618.934818089241</v>
      </c>
    </row>
    <row r="256" spans="9:154" ht="18" x14ac:dyDescent="0.25">
      <c r="BI256" s="341" t="s">
        <v>478</v>
      </c>
      <c r="BJ256" s="341"/>
      <c r="BK256" s="341"/>
      <c r="BL256" s="341"/>
      <c r="BM256" s="341"/>
      <c r="BN256" s="341"/>
      <c r="BO256" s="341"/>
      <c r="BP256" s="1"/>
      <c r="BQ256" s="3" t="s">
        <v>567</v>
      </c>
      <c r="BR256" s="1" t="s">
        <v>561</v>
      </c>
      <c r="BS256" s="3" t="s">
        <v>5</v>
      </c>
      <c r="BT256" s="1" t="s">
        <v>85</v>
      </c>
      <c r="BU256" s="1" t="s">
        <v>668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563</v>
      </c>
      <c r="CB256" s="1" t="s">
        <v>50</v>
      </c>
      <c r="CJ256" s="343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20"/>
        <v>-2134.9406608017516</v>
      </c>
    </row>
    <row r="257" spans="52:101" ht="18" x14ac:dyDescent="0.25">
      <c r="AZ257" s="16"/>
      <c r="BI257" s="342"/>
      <c r="BJ257" s="342"/>
      <c r="BK257" s="342"/>
      <c r="BL257" s="342"/>
      <c r="BM257" s="342"/>
      <c r="BN257" s="342"/>
      <c r="BO257" s="342"/>
      <c r="BP257" s="1"/>
      <c r="BQ257" s="3" t="s">
        <v>566</v>
      </c>
      <c r="BR257" s="1" t="s">
        <v>88</v>
      </c>
      <c r="BS257" s="1" t="s">
        <v>90</v>
      </c>
      <c r="BT257" s="2" t="s">
        <v>86</v>
      </c>
      <c r="BU257" s="1" t="s">
        <v>653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669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462</v>
      </c>
      <c r="BK259" s="13" t="s">
        <v>463</v>
      </c>
      <c r="BL259" s="13" t="s">
        <v>464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437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669</v>
      </c>
      <c r="BV260" s="4"/>
      <c r="BW260" s="4"/>
      <c r="CA260" s="3" t="s">
        <v>96</v>
      </c>
      <c r="CB260" s="1" t="s">
        <v>93</v>
      </c>
    </row>
  </sheetData>
  <mergeCells count="100">
    <mergeCell ref="EP114:EU114"/>
    <mergeCell ref="DT116:DY117"/>
    <mergeCell ref="DT103:DY104"/>
    <mergeCell ref="CY233:DC234"/>
    <mergeCell ref="DB235:DB236"/>
    <mergeCell ref="EN126:ET128"/>
    <mergeCell ref="BN46:BN47"/>
    <mergeCell ref="BN59:BN62"/>
    <mergeCell ref="CC126:CG127"/>
    <mergeCell ref="AQ126:AU127"/>
    <mergeCell ref="DZ144:DZ145"/>
    <mergeCell ref="DZ130:DZ133"/>
    <mergeCell ref="DS126:DY128"/>
    <mergeCell ref="DW129:DW130"/>
    <mergeCell ref="BL44:BL45"/>
    <mergeCell ref="AO25:AU25"/>
    <mergeCell ref="BH25:BN25"/>
    <mergeCell ref="BI42:BM43"/>
    <mergeCell ref="AP42:AT43"/>
    <mergeCell ref="P113:P114"/>
    <mergeCell ref="W182:AC182"/>
    <mergeCell ref="AS44:AS45"/>
    <mergeCell ref="AO110:AU110"/>
    <mergeCell ref="AU46:AU47"/>
    <mergeCell ref="AU48:AU51"/>
    <mergeCell ref="Z44:Z45"/>
    <mergeCell ref="AT128:AT129"/>
    <mergeCell ref="Z128:Z129"/>
    <mergeCell ref="P111:Q112"/>
    <mergeCell ref="I46:I47"/>
    <mergeCell ref="I48:I51"/>
    <mergeCell ref="AB46:AB47"/>
    <mergeCell ref="AB48:AB51"/>
    <mergeCell ref="P25:P26"/>
    <mergeCell ref="W42:AA43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K237:EK240"/>
    <mergeCell ref="EZ233:FD235"/>
    <mergeCell ref="CJ254:CJ256"/>
    <mergeCell ref="CY226:DD226"/>
    <mergeCell ref="CJ237:CJ242"/>
  </mergeCells>
  <conditionalFormatting sqref="Y46 CH218:CI227">
    <cfRule type="cellIs" dxfId="33" priority="23" operator="notEqual">
      <formula>0</formula>
    </cfRule>
  </conditionalFormatting>
  <conditionalFormatting sqref="Y130">
    <cfRule type="cellIs" dxfId="32" priority="24" operator="notEqual">
      <formula>0</formula>
    </cfRule>
  </conditionalFormatting>
  <conditionalFormatting sqref="Z210">
    <cfRule type="cellIs" dxfId="31" priority="22" operator="notEqual">
      <formula>0</formula>
    </cfRule>
  </conditionalFormatting>
  <conditionalFormatting sqref="AA55:AA64">
    <cfRule type="cellIs" dxfId="30" priority="5" operator="notEqual">
      <formula>0</formula>
    </cfRule>
  </conditionalFormatting>
  <conditionalFormatting sqref="AA138:AA143">
    <cfRule type="cellIs" dxfId="29" priority="6" operator="notEqual">
      <formula>0</formula>
    </cfRule>
  </conditionalFormatting>
  <conditionalFormatting sqref="AA233:AA242">
    <cfRule type="cellIs" dxfId="28" priority="10" operator="notEqual">
      <formula>0</formula>
    </cfRule>
  </conditionalFormatting>
  <conditionalFormatting sqref="AR46">
    <cfRule type="cellIs" dxfId="27" priority="33" operator="notEqual">
      <formula>0</formula>
    </cfRule>
  </conditionalFormatting>
  <conditionalFormatting sqref="AS130">
    <cfRule type="cellIs" dxfId="26" priority="31" operator="notEqual">
      <formula>0</formula>
    </cfRule>
  </conditionalFormatting>
  <conditionalFormatting sqref="AS210">
    <cfRule type="cellIs" dxfId="25" priority="28" operator="notEqual">
      <formula>0</formula>
    </cfRule>
  </conditionalFormatting>
  <conditionalFormatting sqref="AT55:AT64">
    <cfRule type="cellIs" dxfId="24" priority="4" operator="notEqual">
      <formula>0</formula>
    </cfRule>
  </conditionalFormatting>
  <conditionalFormatting sqref="AT137:AT140">
    <cfRule type="cellIs" dxfId="23" priority="7" operator="notEqual">
      <formula>0</formula>
    </cfRule>
  </conditionalFormatting>
  <conditionalFormatting sqref="AT218:AT227">
    <cfRule type="cellIs" dxfId="22" priority="11" operator="notEqual">
      <formula>0</formula>
    </cfRule>
  </conditionalFormatting>
  <conditionalFormatting sqref="AW210">
    <cfRule type="expression" dxfId="21" priority="20">
      <formula>ifdigit(subscript)</formula>
    </cfRule>
  </conditionalFormatting>
  <conditionalFormatting sqref="BK46">
    <cfRule type="cellIs" dxfId="20" priority="32" operator="notEqual">
      <formula>0</formula>
    </cfRule>
  </conditionalFormatting>
  <conditionalFormatting sqref="BL55:BL61">
    <cfRule type="cellIs" dxfId="19" priority="3" operator="notEqual">
      <formula>0</formula>
    </cfRule>
  </conditionalFormatting>
  <conditionalFormatting sqref="BL130">
    <cfRule type="cellIs" dxfId="18" priority="30" operator="notEqual">
      <formula>0</formula>
    </cfRule>
  </conditionalFormatting>
  <conditionalFormatting sqref="BL210">
    <cfRule type="cellIs" dxfId="17" priority="16" operator="notEqual">
      <formula>0</formula>
    </cfRule>
  </conditionalFormatting>
  <conditionalFormatting sqref="BM137:BM140">
    <cfRule type="cellIs" dxfId="16" priority="8" operator="notEqual">
      <formula>0</formula>
    </cfRule>
  </conditionalFormatting>
  <conditionalFormatting sqref="BM218:BM227">
    <cfRule type="cellIs" dxfId="15" priority="12" operator="notEqual">
      <formula>0</formula>
    </cfRule>
  </conditionalFormatting>
  <conditionalFormatting sqref="BP210">
    <cfRule type="expression" dxfId="14" priority="15">
      <formula>ifdigit(subscript)</formula>
    </cfRule>
  </conditionalFormatting>
  <conditionalFormatting sqref="CE130">
    <cfRule type="cellIs" dxfId="13" priority="27" operator="notEqual">
      <formula>0</formula>
    </cfRule>
  </conditionalFormatting>
  <conditionalFormatting sqref="CF210">
    <cfRule type="cellIs" dxfId="12" priority="29" operator="notEqual">
      <formula>0</formula>
    </cfRule>
  </conditionalFormatting>
  <conditionalFormatting sqref="CG139:CG144">
    <cfRule type="cellIs" dxfId="11" priority="9" operator="notEqual">
      <formula>0</formula>
    </cfRule>
  </conditionalFormatting>
  <conditionalFormatting sqref="CG218:CG227">
    <cfRule type="cellIs" dxfId="10" priority="13" operator="notEqual">
      <formula>0</formula>
    </cfRule>
  </conditionalFormatting>
  <conditionalFormatting sqref="CG58:CH58">
    <cfRule type="cellIs" dxfId="9" priority="41" operator="notEqual">
      <formula>0</formula>
    </cfRule>
  </conditionalFormatting>
  <conditionalFormatting sqref="DA237">
    <cfRule type="cellIs" dxfId="8" priority="14" operator="notEqual">
      <formula>0</formula>
    </cfRule>
  </conditionalFormatting>
  <conditionalFormatting sqref="DB246:DB249">
    <cfRule type="cellIs" dxfId="7" priority="17" operator="notEqual">
      <formula>0</formula>
    </cfRule>
  </conditionalFormatting>
  <conditionalFormatting sqref="DV131">
    <cfRule type="cellIs" dxfId="6" priority="26" operator="notEqual">
      <formula>0</formula>
    </cfRule>
  </conditionalFormatting>
  <conditionalFormatting sqref="DZ241:DZ244">
    <cfRule type="cellIs" dxfId="5" priority="2" operator="notEqual">
      <formula>0</formula>
    </cfRule>
  </conditionalFormatting>
  <conditionalFormatting sqref="EQ131">
    <cfRule type="cellIs" dxfId="4" priority="25" operator="notEqual">
      <formula>0</formula>
    </cfRule>
  </conditionalFormatting>
  <conditionalFormatting sqref="ES140:ES146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435</v>
      </c>
      <c r="I6" s="275" t="s">
        <v>435</v>
      </c>
    </row>
    <row r="7" spans="4:9" ht="19" x14ac:dyDescent="0.25">
      <c r="D7" s="375" t="s">
        <v>434</v>
      </c>
      <c r="E7" s="217" t="s">
        <v>575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76"/>
      <c r="E8" s="217" t="s">
        <v>436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77" t="s">
        <v>20</v>
      </c>
      <c r="E9" s="217" t="s">
        <v>575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78"/>
      <c r="E10" s="217" t="s">
        <v>576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78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9"/>
      <c r="E12" s="217" t="s">
        <v>437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0" t="s">
        <v>353</v>
      </c>
      <c r="E13" s="217" t="s">
        <v>575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1"/>
      <c r="E14" s="217" t="s">
        <v>437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2"/>
      <c r="E15" s="217" t="s">
        <v>436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3" t="s">
        <v>352</v>
      </c>
      <c r="E16" s="217" t="s">
        <v>436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3"/>
      <c r="E17" s="217" t="s">
        <v>437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4"/>
      <c r="E18" s="216" t="s">
        <v>560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578</v>
      </c>
      <c r="F23" s="3" t="s">
        <v>577</v>
      </c>
      <c r="G23" s="3" t="s">
        <v>643</v>
      </c>
    </row>
    <row r="24" spans="4:9" x14ac:dyDescent="0.2">
      <c r="E24" s="204" t="s">
        <v>575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436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437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576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560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587</v>
      </c>
      <c r="AR1" s="260"/>
      <c r="AS1" s="207" t="s">
        <v>417</v>
      </c>
      <c r="AT1" s="207" t="s">
        <v>418</v>
      </c>
      <c r="AU1" s="207" t="s">
        <v>419</v>
      </c>
      <c r="AV1" s="207" t="s">
        <v>568</v>
      </c>
      <c r="AW1" s="207" t="s">
        <v>547</v>
      </c>
      <c r="AX1" s="207" t="s">
        <v>546</v>
      </c>
      <c r="AY1" s="207" t="s">
        <v>445</v>
      </c>
      <c r="AZ1" s="207" t="s">
        <v>442</v>
      </c>
      <c r="BA1" s="207" t="s">
        <v>460</v>
      </c>
      <c r="BB1" s="207" t="s">
        <v>443</v>
      </c>
      <c r="BC1" s="207" t="s">
        <v>438</v>
      </c>
      <c r="BD1" s="207" t="s">
        <v>458</v>
      </c>
      <c r="BE1" s="207" t="s">
        <v>81</v>
      </c>
      <c r="BF1" s="207" t="s">
        <v>429</v>
      </c>
      <c r="BK1" s="260"/>
      <c r="BL1" s="207" t="s">
        <v>417</v>
      </c>
      <c r="BM1" s="207" t="s">
        <v>418</v>
      </c>
      <c r="BN1" s="207" t="s">
        <v>419</v>
      </c>
      <c r="BO1" s="207" t="s">
        <v>568</v>
      </c>
      <c r="BP1" s="207" t="s">
        <v>547</v>
      </c>
      <c r="BQ1" s="207" t="s">
        <v>546</v>
      </c>
      <c r="BR1" s="207" t="s">
        <v>445</v>
      </c>
      <c r="BS1" s="207" t="s">
        <v>442</v>
      </c>
      <c r="BT1" s="207" t="s">
        <v>460</v>
      </c>
      <c r="BU1" s="207" t="s">
        <v>443</v>
      </c>
      <c r="BV1" s="207" t="s">
        <v>438</v>
      </c>
      <c r="BW1" s="207" t="s">
        <v>458</v>
      </c>
      <c r="BX1" s="207" t="s">
        <v>81</v>
      </c>
      <c r="BY1" s="207" t="s">
        <v>429</v>
      </c>
    </row>
    <row r="2" spans="2:77" x14ac:dyDescent="0.2">
      <c r="B2" s="204" t="s">
        <v>425</v>
      </c>
      <c r="C2" s="284">
        <v>1</v>
      </c>
      <c r="AR2" s="204" t="s">
        <v>425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425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427</v>
      </c>
      <c r="C3" s="284">
        <v>1</v>
      </c>
      <c r="AR3" s="204" t="s">
        <v>427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427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428</v>
      </c>
      <c r="C4" s="284">
        <v>1</v>
      </c>
      <c r="AR4" s="204" t="s">
        <v>428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428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449</v>
      </c>
      <c r="C5" s="284">
        <v>1</v>
      </c>
      <c r="AR5" s="204" t="s">
        <v>449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449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479</v>
      </c>
      <c r="C6" s="284">
        <v>1</v>
      </c>
      <c r="AK6" s="204"/>
      <c r="AR6" s="204" t="s">
        <v>479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479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579</v>
      </c>
      <c r="C7" s="284">
        <v>1</v>
      </c>
      <c r="AK7" s="204"/>
      <c r="AR7" s="204" t="s">
        <v>579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579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580</v>
      </c>
      <c r="C8" s="284">
        <v>1</v>
      </c>
      <c r="AK8" s="204"/>
      <c r="AR8" s="204" t="s">
        <v>580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521</v>
      </c>
      <c r="C9" s="284">
        <v>1</v>
      </c>
      <c r="AK9" s="204"/>
      <c r="AR9" s="204" t="s">
        <v>521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521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572</v>
      </c>
      <c r="C10" s="284">
        <v>1</v>
      </c>
      <c r="AK10" s="204"/>
      <c r="AR10" s="204" t="s">
        <v>572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572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554</v>
      </c>
      <c r="C11" s="284">
        <v>1</v>
      </c>
      <c r="AR11" s="205" t="s">
        <v>554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554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519</v>
      </c>
      <c r="C12" s="284">
        <v>1</v>
      </c>
      <c r="AR12" s="204" t="s">
        <v>519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519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522</v>
      </c>
      <c r="C13" s="284">
        <v>1</v>
      </c>
      <c r="AR13" s="205" t="s">
        <v>522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522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549</v>
      </c>
      <c r="C14" s="284">
        <v>1</v>
      </c>
      <c r="AR14" s="204" t="s">
        <v>549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549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541</v>
      </c>
      <c r="C15" s="284">
        <v>1</v>
      </c>
      <c r="AR15" s="206" t="s">
        <v>541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541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526</v>
      </c>
      <c r="C16" s="284">
        <v>1</v>
      </c>
      <c r="AR16" s="204" t="s">
        <v>526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526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553</v>
      </c>
      <c r="C17" s="284">
        <v>1</v>
      </c>
      <c r="AR17" s="205" t="s">
        <v>553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553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548</v>
      </c>
      <c r="C18" s="284">
        <v>1</v>
      </c>
      <c r="AR18" s="205" t="s">
        <v>548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548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545</v>
      </c>
      <c r="C19" s="284">
        <v>1</v>
      </c>
      <c r="AR19" s="205" t="s">
        <v>545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545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551</v>
      </c>
      <c r="C20" s="284">
        <v>1</v>
      </c>
      <c r="AR20" s="205" t="s">
        <v>551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551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550</v>
      </c>
      <c r="C21" s="284">
        <v>1</v>
      </c>
      <c r="AR21" s="206" t="s">
        <v>550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534</v>
      </c>
      <c r="C22" s="284">
        <v>1</v>
      </c>
      <c r="AR22" s="206" t="s">
        <v>534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534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569</v>
      </c>
      <c r="C23" s="284">
        <v>1</v>
      </c>
      <c r="AR23" s="206" t="s">
        <v>569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569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535</v>
      </c>
      <c r="C24" s="284">
        <v>1</v>
      </c>
      <c r="AR24" s="206" t="s">
        <v>535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535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537</v>
      </c>
      <c r="C25" s="284">
        <v>1</v>
      </c>
      <c r="AR25" s="206" t="s">
        <v>537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537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536</v>
      </c>
      <c r="C26" s="284">
        <v>1</v>
      </c>
      <c r="AR26" s="206" t="s">
        <v>536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536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635</v>
      </c>
      <c r="C27" s="284">
        <v>1</v>
      </c>
      <c r="AR27" s="206" t="s">
        <v>635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635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532</v>
      </c>
      <c r="C28" s="284">
        <v>1</v>
      </c>
      <c r="AR28" s="253" t="s">
        <v>532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532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531</v>
      </c>
      <c r="C29" s="284">
        <v>1</v>
      </c>
      <c r="AR29" s="206" t="s">
        <v>531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531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533</v>
      </c>
      <c r="C30" s="284">
        <v>1</v>
      </c>
      <c r="AR30" s="204" t="s">
        <v>533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533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529</v>
      </c>
      <c r="C31" s="284">
        <v>1</v>
      </c>
      <c r="AR31" s="206" t="s">
        <v>529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529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557</v>
      </c>
      <c r="C32" s="284">
        <v>1</v>
      </c>
      <c r="AR32" s="206" t="s">
        <v>557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557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558</v>
      </c>
      <c r="C33" s="284">
        <v>1</v>
      </c>
      <c r="AR33" s="206" t="s">
        <v>558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558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559</v>
      </c>
      <c r="C34" s="284">
        <v>1</v>
      </c>
      <c r="AR34" s="206" t="s">
        <v>559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559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570</v>
      </c>
      <c r="C35" s="284">
        <v>1</v>
      </c>
      <c r="AR35" s="206" t="s">
        <v>570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586</v>
      </c>
      <c r="AR36" s="206"/>
      <c r="AS36" s="385" t="s">
        <v>583</v>
      </c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K36" s="206"/>
      <c r="BL36" s="385" t="s">
        <v>584</v>
      </c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  <c r="BY36" s="38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417</v>
      </c>
      <c r="AT39" s="207" t="s">
        <v>418</v>
      </c>
      <c r="AU39" s="207" t="s">
        <v>419</v>
      </c>
      <c r="AV39" s="207" t="s">
        <v>568</v>
      </c>
      <c r="AW39" s="207" t="s">
        <v>547</v>
      </c>
      <c r="AX39" s="207" t="s">
        <v>546</v>
      </c>
      <c r="AY39" s="207" t="s">
        <v>445</v>
      </c>
      <c r="AZ39" s="207" t="s">
        <v>442</v>
      </c>
      <c r="BA39" s="207" t="s">
        <v>460</v>
      </c>
      <c r="BB39" s="207" t="s">
        <v>443</v>
      </c>
      <c r="BC39" s="207" t="s">
        <v>438</v>
      </c>
      <c r="BD39" s="207" t="s">
        <v>458</v>
      </c>
      <c r="BE39" s="207" t="s">
        <v>81</v>
      </c>
      <c r="BF39" s="207" t="s">
        <v>429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425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427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428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449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479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579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580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521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572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554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519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522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549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541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526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553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548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545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551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550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534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569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535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537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536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635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532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531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533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529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557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558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559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570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85" t="s">
        <v>585</v>
      </c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  <c r="BD74" s="385"/>
      <c r="BE74" s="385"/>
      <c r="BF74" s="38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417</v>
      </c>
      <c r="AT82" s="207" t="s">
        <v>418</v>
      </c>
      <c r="AU82" s="207" t="s">
        <v>419</v>
      </c>
      <c r="AV82" s="207" t="s">
        <v>568</v>
      </c>
      <c r="AW82" s="207" t="s">
        <v>547</v>
      </c>
      <c r="AX82" s="207" t="s">
        <v>546</v>
      </c>
      <c r="AY82" s="207" t="s">
        <v>445</v>
      </c>
      <c r="AZ82" s="207" t="s">
        <v>442</v>
      </c>
      <c r="BA82" s="207" t="s">
        <v>460</v>
      </c>
      <c r="BB82" s="207" t="s">
        <v>443</v>
      </c>
      <c r="BC82" s="207" t="s">
        <v>438</v>
      </c>
      <c r="BD82" s="207" t="s">
        <v>458</v>
      </c>
      <c r="BE82" s="207" t="s">
        <v>81</v>
      </c>
      <c r="BF82" s="207" t="s">
        <v>429</v>
      </c>
      <c r="BK82" s="207"/>
      <c r="BL82" s="207" t="s">
        <v>423</v>
      </c>
      <c r="BM82" s="207" t="s">
        <v>356</v>
      </c>
    </row>
    <row r="83" spans="35:66" x14ac:dyDescent="0.2">
      <c r="AI83" s="204"/>
      <c r="AR83" s="204" t="s">
        <v>425</v>
      </c>
      <c r="AS83" s="230">
        <f>'Ore-&gt;PI'!$V$42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425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427</v>
      </c>
      <c r="AS84" s="230"/>
      <c r="AT84" s="230">
        <f>'Ore-&gt;PI'!$V$126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427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428</v>
      </c>
      <c r="AS85" s="230"/>
      <c r="AT85" s="230"/>
      <c r="AU85" s="230">
        <f>'Ore-&gt;PI'!$V$206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428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449</v>
      </c>
      <c r="AS86" s="230">
        <f>'Ore-&gt;PI'!V72</f>
        <v>236.0188688118763</v>
      </c>
      <c r="AT86" s="230">
        <f>'Ore-&gt;PI'!V163</f>
        <v>0.70761030268572533</v>
      </c>
      <c r="AU86" s="230">
        <f>'Ore-&gt;PI'!V236</f>
        <v>56.138829759567599</v>
      </c>
      <c r="AV86" s="230"/>
      <c r="AW86" s="230"/>
      <c r="AX86" s="230"/>
      <c r="AY86" s="230"/>
      <c r="AZ86" s="230"/>
      <c r="BA86" s="230"/>
      <c r="BB86" s="230">
        <f>'Ore-&gt;PI'!CB140</f>
        <v>9183.7711365934829</v>
      </c>
      <c r="BC86" s="230">
        <f>'Ore-&gt;PI'!CB242</f>
        <v>4359.9448543333856</v>
      </c>
      <c r="BD86" s="230"/>
      <c r="BE86" s="230"/>
      <c r="BF86" s="243">
        <f>'Ore-&gt;PI'!EM140</f>
        <v>23611.293462025522</v>
      </c>
      <c r="BG86" s="252">
        <f t="shared" si="34"/>
        <v>37447.874761826519</v>
      </c>
      <c r="BK86" s="204" t="s">
        <v>449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479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'Ore-&gt;PI'!CB152</f>
        <v>1078370532.5161049</v>
      </c>
      <c r="BC87" s="230">
        <f>'Ore-&gt;PI'!CB254</f>
        <v>879540.87913658854</v>
      </c>
      <c r="BD87" s="230"/>
      <c r="BE87" s="230"/>
      <c r="BF87" s="230">
        <f>'Ore-&gt;PI'!EM114</f>
        <v>2321518.855933811</v>
      </c>
      <c r="BG87" s="252">
        <f t="shared" si="34"/>
        <v>1081571592.2511754</v>
      </c>
      <c r="BK87" s="204" t="s">
        <v>479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579</v>
      </c>
      <c r="AS88" s="230">
        <f>'Ore-&gt;PI'!V59</f>
        <v>94146.207140653787</v>
      </c>
      <c r="AT88" s="230">
        <f>'Ore-&gt;PI'!V140</f>
        <v>257.99399332425372</v>
      </c>
      <c r="AU88" s="230">
        <f>'Ore-&gt;PI'!V222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579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580</v>
      </c>
      <c r="AS89" s="230"/>
      <c r="AT89" s="230">
        <f>'Ore-&gt;PI'!V151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580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521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'Ore-&gt;PI'!EM101</f>
        <v>206840.02835429934</v>
      </c>
      <c r="BG90" s="252">
        <f t="shared" si="34"/>
        <v>206840.02835429934</v>
      </c>
      <c r="BK90" s="204" t="s">
        <v>521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572</v>
      </c>
      <c r="AS91" s="230"/>
      <c r="AT91" s="230"/>
      <c r="AU91" s="230">
        <f>'Ore-&gt;PI'!AC195</f>
        <v>77449.427901236573</v>
      </c>
      <c r="AV91" s="230">
        <f>'Ore-&gt;PI'!AU28</f>
        <v>609792.2517593482</v>
      </c>
      <c r="AW91" s="230">
        <f>'Ore-&gt;PI'!AU113</f>
        <v>2824.8856477449194</v>
      </c>
      <c r="AX91" s="230">
        <f>'Ore-&gt;PI'!AU190</f>
        <v>160253.43323591491</v>
      </c>
      <c r="AY91" s="230">
        <f>'Ore-&gt;PI'!BN35</f>
        <v>12626.098826338684</v>
      </c>
      <c r="AZ91" s="230">
        <f>'Ore-&gt;PI'!BM116</f>
        <v>34.678095164114971</v>
      </c>
      <c r="BA91" s="230">
        <f>'Ore-&gt;PI'!BM195</f>
        <v>28604.157765782104</v>
      </c>
      <c r="BB91" s="230"/>
      <c r="BC91" s="230"/>
      <c r="BD91" s="230">
        <f>'Ore-&gt;PI'!DD229</f>
        <v>50099.526545856235</v>
      </c>
      <c r="BE91" s="230"/>
      <c r="BF91" s="230">
        <f>'Ore-&gt;PI'!EU117</f>
        <v>317844.87395625591</v>
      </c>
      <c r="BG91" s="252">
        <f t="shared" si="34"/>
        <v>1259529.3337336415</v>
      </c>
      <c r="BK91" s="204" t="s">
        <v>572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554</v>
      </c>
      <c r="AS92" s="230"/>
      <c r="AT92" s="230"/>
      <c r="AU92" s="230"/>
      <c r="AV92" s="230">
        <f>'Ore-&gt;PI'!$AO$42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554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519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519</v>
      </c>
      <c r="BL93" s="244"/>
      <c r="BM93" s="244">
        <f>'Ore-&gt;PI'!AO63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522</v>
      </c>
      <c r="AS94" s="230"/>
      <c r="AT94" s="230"/>
      <c r="AU94" s="230"/>
      <c r="AV94" s="230"/>
      <c r="AW94" s="230">
        <f>'Ore-&gt;PI'!$AP$126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522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549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549</v>
      </c>
      <c r="BL95" s="244"/>
      <c r="BM95" s="244">
        <f>'Ore-&gt;PI'!AP142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541</v>
      </c>
      <c r="AS96" s="230"/>
      <c r="AT96" s="230"/>
      <c r="AU96" s="230"/>
      <c r="AV96" s="230"/>
      <c r="AW96" s="230"/>
      <c r="AX96" s="230">
        <f>'Ore-&gt;PI'!$AP$206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541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526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526</v>
      </c>
      <c r="BL97" s="244"/>
      <c r="BM97" s="244">
        <f>'Ore-&gt;PI'!AP227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553</v>
      </c>
      <c r="AS98" s="230"/>
      <c r="AT98" s="230"/>
      <c r="AU98" s="230"/>
      <c r="AV98" s="230"/>
      <c r="AW98" s="230"/>
      <c r="AX98" s="230"/>
      <c r="AY98" s="230">
        <f>'Ore-&gt;PI'!$BH$42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553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548</v>
      </c>
      <c r="AS99" s="230"/>
      <c r="AT99" s="230"/>
      <c r="AU99" s="230"/>
      <c r="AV99" s="230"/>
      <c r="AW99" s="230"/>
      <c r="AX99" s="230"/>
      <c r="AY99" s="230"/>
      <c r="AZ99" s="230">
        <f>'Ore-&gt;PI'!$BI$126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548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545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'Ore-&gt;PI'!$BI$206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545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551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'Ore-&gt;PI'!CA42</f>
        <v>88965.799815334409</v>
      </c>
      <c r="BF101" s="230"/>
      <c r="BG101" s="252">
        <f t="shared" si="34"/>
        <v>88965.799815334409</v>
      </c>
      <c r="BK101" s="205" t="s">
        <v>551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550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550</v>
      </c>
      <c r="BL102" s="244"/>
      <c r="BM102" s="244">
        <f>'Ore-&gt;PI'!CA55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534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'Ore-&gt;PI'!$CB$126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534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569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'Ore-&gt;PI'!$CB$206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569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535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'Ore-&gt;PI'!$CW$126</f>
        <v>242016.07607977447</v>
      </c>
      <c r="BF105" s="230"/>
      <c r="BG105" s="252">
        <f t="shared" si="34"/>
        <v>242016.07607977447</v>
      </c>
      <c r="BK105" s="206" t="s">
        <v>535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537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537</v>
      </c>
      <c r="BL106" s="244"/>
      <c r="BM106" s="244">
        <f>'Ore-&gt;PI'!CW114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536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536</v>
      </c>
      <c r="BL107" s="244"/>
      <c r="BM107" s="244">
        <f>'Ore-&gt;PI'!CW138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635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'Ore-&gt;PI'!$CW$206</f>
        <v>6791339.3350291392</v>
      </c>
      <c r="BF108" s="230"/>
      <c r="BG108" s="252">
        <f t="shared" si="34"/>
        <v>6791339.3350291392</v>
      </c>
      <c r="BK108" s="206" t="s">
        <v>635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532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'Ore-&gt;PI'!$CW$233</f>
        <v>5935408.0537775028</v>
      </c>
      <c r="BE109" s="230"/>
      <c r="BF109" s="230"/>
      <c r="BG109" s="252">
        <f t="shared" si="34"/>
        <v>5935408.0537775028</v>
      </c>
      <c r="BK109" s="253" t="s">
        <v>532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531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531</v>
      </c>
      <c r="BL110" s="244"/>
      <c r="BM110" s="244">
        <f>'Ore-&gt;PI'!CW217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533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533</v>
      </c>
      <c r="BL111" s="244"/>
      <c r="BM111" s="244">
        <f>'Ore-&gt;PI'!CW250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529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'Ore-&gt;PI'!CB225</f>
        <v>891683.71589033271</v>
      </c>
      <c r="BD112" s="230"/>
      <c r="BE112" s="230"/>
      <c r="BF112" s="243">
        <f>'Ore-&gt;PI'!EM152</f>
        <v>4161190.674154886</v>
      </c>
      <c r="BG112" s="252">
        <f t="shared" si="34"/>
        <v>5052874.3900452191</v>
      </c>
      <c r="BK112" s="206" t="s">
        <v>529</v>
      </c>
      <c r="BL112" s="244">
        <f>'Ore-&gt;PI'!EX233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557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'Ore-&gt;PI'!EM126</f>
        <v>7072531.8830895294</v>
      </c>
      <c r="BG113" s="252">
        <f t="shared" si="34"/>
        <v>7072531.8830895294</v>
      </c>
      <c r="BK113" s="206" t="s">
        <v>557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558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558</v>
      </c>
      <c r="BL114" s="244">
        <f>'Ore-&gt;PI'!FM126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559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559</v>
      </c>
      <c r="BL115" s="244"/>
      <c r="BM115" s="244">
        <f>'Ore-&gt;PI'!FM141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570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570</v>
      </c>
      <c r="BL116" s="244"/>
      <c r="BM116" s="244">
        <f>'Ore-&gt;PI'!FM104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85" t="s">
        <v>420</v>
      </c>
      <c r="AT117" s="385"/>
      <c r="AU117" s="385"/>
      <c r="AV117" s="385"/>
      <c r="AW117" s="385"/>
      <c r="AX117" s="385"/>
      <c r="AY117" s="385"/>
      <c r="AZ117" s="385"/>
      <c r="BA117" s="385"/>
      <c r="BB117" s="385"/>
      <c r="BC117" s="385"/>
      <c r="BD117" s="385"/>
      <c r="BE117" s="385"/>
      <c r="BF117" s="385"/>
      <c r="BG117" s="25" t="s">
        <v>471</v>
      </c>
      <c r="BL117" s="385" t="s">
        <v>422</v>
      </c>
      <c r="BM117" s="385"/>
      <c r="BN117" s="25" t="s">
        <v>486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86"/>
      <c r="G119" s="38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85" t="s">
        <v>470</v>
      </c>
      <c r="AT119" s="385"/>
      <c r="AU119" s="385"/>
      <c r="AV119" s="385"/>
      <c r="AW119" s="385"/>
      <c r="AX119" s="385"/>
      <c r="AY119" s="385"/>
      <c r="AZ119" s="385"/>
      <c r="BA119" s="385"/>
      <c r="BB119" s="385"/>
      <c r="BC119" s="385"/>
      <c r="BD119" s="385"/>
      <c r="BE119" s="385"/>
      <c r="BF119" s="385"/>
      <c r="BL119" s="25"/>
      <c r="BM119" s="25"/>
    </row>
    <row r="120" spans="5:66" ht="236" x14ac:dyDescent="0.2">
      <c r="E120" s="240"/>
      <c r="F120" s="207" t="s">
        <v>425</v>
      </c>
      <c r="G120" s="207" t="s">
        <v>427</v>
      </c>
      <c r="H120" s="207" t="s">
        <v>428</v>
      </c>
      <c r="I120" s="207" t="s">
        <v>449</v>
      </c>
      <c r="J120" s="207" t="s">
        <v>479</v>
      </c>
      <c r="K120" s="207" t="s">
        <v>579</v>
      </c>
      <c r="L120" s="207" t="s">
        <v>580</v>
      </c>
      <c r="M120" s="207" t="s">
        <v>521</v>
      </c>
      <c r="N120" s="207" t="s">
        <v>572</v>
      </c>
      <c r="O120" s="209" t="s">
        <v>554</v>
      </c>
      <c r="P120" s="207" t="s">
        <v>519</v>
      </c>
      <c r="Q120" s="209" t="s">
        <v>522</v>
      </c>
      <c r="R120" s="207" t="s">
        <v>549</v>
      </c>
      <c r="S120" s="210" t="s">
        <v>541</v>
      </c>
      <c r="T120" s="207" t="s">
        <v>526</v>
      </c>
      <c r="U120" s="209" t="s">
        <v>553</v>
      </c>
      <c r="V120" s="209" t="s">
        <v>548</v>
      </c>
      <c r="W120" s="209" t="s">
        <v>545</v>
      </c>
      <c r="X120" s="209" t="s">
        <v>551</v>
      </c>
      <c r="Y120" s="210" t="s">
        <v>550</v>
      </c>
      <c r="Z120" s="210" t="s">
        <v>534</v>
      </c>
      <c r="AA120" s="210" t="s">
        <v>569</v>
      </c>
      <c r="AB120" s="210" t="s">
        <v>535</v>
      </c>
      <c r="AC120" s="210" t="s">
        <v>537</v>
      </c>
      <c r="AD120" s="210" t="s">
        <v>536</v>
      </c>
      <c r="AE120" s="210" t="s">
        <v>635</v>
      </c>
      <c r="AF120" s="232" t="s">
        <v>532</v>
      </c>
      <c r="AG120" s="210" t="s">
        <v>531</v>
      </c>
      <c r="AH120" s="207" t="s">
        <v>533</v>
      </c>
      <c r="AI120" s="210" t="s">
        <v>529</v>
      </c>
      <c r="AJ120" s="210" t="s">
        <v>557</v>
      </c>
      <c r="AK120" s="210" t="s">
        <v>558</v>
      </c>
      <c r="AL120" s="210" t="s">
        <v>559</v>
      </c>
      <c r="AM120" s="210" t="s">
        <v>570</v>
      </c>
    </row>
    <row r="121" spans="5:66" x14ac:dyDescent="0.2">
      <c r="E121" s="204" t="s">
        <v>417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'Ore-&gt;PI'!AO42</f>
        <v>109233.7126431732</v>
      </c>
      <c r="P121" s="230">
        <f>'Ore-&gt;PI'!AO63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418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'Ore-&gt;PI'!AP126</f>
        <v>25394.240916408646</v>
      </c>
      <c r="R122" s="230">
        <f>'Ore-&gt;PI'!AP142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419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'Ore-&gt;PI'!AP206</f>
        <v>8753719.7068998404</v>
      </c>
      <c r="T123" s="230">
        <f>'Ore-&gt;PI'!AP227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568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'Ore-&gt;PI'!BH42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547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'Ore-&gt;PI'!BI126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546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'Ore-&gt;PI'!BI206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445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'Ore-&gt;PI'!CA42</f>
        <v>88965.799815334409</v>
      </c>
      <c r="Y127" s="230">
        <f>'Ore-&gt;PI'!CA55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442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'Ore-&gt;PI'!CB126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460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'Ore-&gt;PI'!CB206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443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'Ore-&gt;PI'!CW126</f>
        <v>242016.07607977447</v>
      </c>
      <c r="AC130" s="230">
        <f>'Ore-&gt;PI'!CW114</f>
        <v>7739.2511800711582</v>
      </c>
      <c r="AD130" s="230">
        <f>'Ore-&gt;PI'!CW138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438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'Ore-&gt;PI'!CW206</f>
        <v>6791339.3350291392</v>
      </c>
      <c r="AF131" s="230">
        <f>'Ore-&gt;PI'!CW233</f>
        <v>5935408.0537775028</v>
      </c>
      <c r="AG131" s="230">
        <f>'Ore-&gt;PI'!CW217</f>
        <v>5366.0434241372932</v>
      </c>
      <c r="AH131" s="230">
        <f>'Ore-&gt;PI'!CW250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458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'Ore-&gt;PI'!DQ233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'Ore-&gt;PI'!EM126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429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'Ore-&gt;PI'!FM126</f>
        <v>4157895.2984628798</v>
      </c>
      <c r="AL134" s="230">
        <f>'Ore-&gt;PI'!FM141</f>
        <v>432711.9695416363</v>
      </c>
      <c r="AM134" s="230">
        <f>'Ore-&gt;PI'!FM104</f>
        <v>67875.356217847453</v>
      </c>
      <c r="AN134" s="252">
        <f t="shared" si="39"/>
        <v>4658482.6242223633</v>
      </c>
    </row>
    <row r="135" spans="5:65" x14ac:dyDescent="0.2">
      <c r="E135" s="204"/>
      <c r="F135" s="385" t="s">
        <v>421</v>
      </c>
      <c r="G135" s="385"/>
      <c r="H135" s="385"/>
      <c r="I135" s="385"/>
      <c r="J135" s="385"/>
      <c r="K135" s="385"/>
      <c r="L135" s="385"/>
      <c r="M135" s="385"/>
      <c r="N135" s="385"/>
      <c r="O135" s="385"/>
      <c r="P135" s="385"/>
      <c r="Q135" s="385"/>
      <c r="R135" s="385"/>
      <c r="S135" s="385"/>
      <c r="T135" s="385"/>
      <c r="U135" s="385"/>
      <c r="V135" s="385"/>
      <c r="W135" s="385"/>
      <c r="X135" s="385"/>
      <c r="Y135" s="385"/>
      <c r="Z135" s="385"/>
      <c r="AA135" s="385"/>
      <c r="AB135" s="385"/>
      <c r="AC135" s="385"/>
      <c r="AD135" s="385"/>
      <c r="AE135" s="385"/>
      <c r="AF135" s="385"/>
      <c r="AG135" s="385"/>
      <c r="AH135" s="385"/>
      <c r="AI135" s="385"/>
      <c r="AJ135" s="385"/>
      <c r="AK135" s="385"/>
      <c r="AL135" s="385"/>
      <c r="AM135" s="385"/>
      <c r="AN135" s="25" t="s">
        <v>467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85" t="s">
        <v>468</v>
      </c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5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5"/>
      <c r="AL137" s="385"/>
      <c r="AM137" s="38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425</v>
      </c>
      <c r="G148" s="207" t="s">
        <v>427</v>
      </c>
      <c r="H148" s="207" t="s">
        <v>428</v>
      </c>
      <c r="I148" s="207" t="s">
        <v>449</v>
      </c>
      <c r="J148" s="207" t="s">
        <v>479</v>
      </c>
      <c r="K148" s="207" t="s">
        <v>579</v>
      </c>
      <c r="L148" s="207" t="s">
        <v>580</v>
      </c>
      <c r="M148" s="207" t="s">
        <v>521</v>
      </c>
      <c r="N148" s="207" t="s">
        <v>572</v>
      </c>
      <c r="O148" s="209" t="s">
        <v>554</v>
      </c>
      <c r="P148" s="207" t="s">
        <v>519</v>
      </c>
      <c r="Q148" s="209" t="s">
        <v>522</v>
      </c>
      <c r="R148" s="207" t="s">
        <v>549</v>
      </c>
      <c r="S148" s="210" t="s">
        <v>541</v>
      </c>
      <c r="T148" s="207" t="s">
        <v>526</v>
      </c>
      <c r="U148" s="209" t="s">
        <v>553</v>
      </c>
      <c r="V148" s="209" t="s">
        <v>548</v>
      </c>
      <c r="W148" s="209" t="s">
        <v>545</v>
      </c>
      <c r="X148" s="209" t="s">
        <v>551</v>
      </c>
      <c r="Y148" s="210" t="s">
        <v>550</v>
      </c>
      <c r="Z148" s="210" t="s">
        <v>534</v>
      </c>
      <c r="AA148" s="210" t="s">
        <v>569</v>
      </c>
      <c r="AB148" s="210" t="s">
        <v>535</v>
      </c>
      <c r="AC148" s="210" t="s">
        <v>537</v>
      </c>
      <c r="AD148" s="210" t="s">
        <v>536</v>
      </c>
      <c r="AE148" s="210" t="s">
        <v>635</v>
      </c>
      <c r="AF148" s="232" t="s">
        <v>532</v>
      </c>
      <c r="AG148" s="210" t="s">
        <v>531</v>
      </c>
      <c r="AH148" s="207" t="s">
        <v>533</v>
      </c>
      <c r="AI148" s="210" t="s">
        <v>529</v>
      </c>
      <c r="AJ148" s="210" t="s">
        <v>557</v>
      </c>
      <c r="AK148" s="210" t="s">
        <v>558</v>
      </c>
      <c r="AL148" s="210" t="s">
        <v>559</v>
      </c>
      <c r="AM148" s="210" t="s">
        <v>570</v>
      </c>
      <c r="AN148" s="210"/>
      <c r="AO148" s="210"/>
    </row>
    <row r="149" spans="5:45" x14ac:dyDescent="0.2">
      <c r="E149" s="204" t="s">
        <v>424</v>
      </c>
      <c r="F149" s="244">
        <f>'Ore-&gt;PI'!V42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426</v>
      </c>
      <c r="F150" s="244"/>
      <c r="G150" s="244">
        <f>'Ore-&gt;PI'!V126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450</v>
      </c>
      <c r="F151" s="244"/>
      <c r="G151" s="244"/>
      <c r="H151" s="244">
        <f>'Ore-&gt;PI'!V206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485</v>
      </c>
      <c r="F152" s="244"/>
      <c r="G152" s="244"/>
      <c r="H152" s="244"/>
      <c r="I152" s="250">
        <f>'Ore-&gt;PI'!V236+'Ore-&gt;PI'!V163+'Ore-&gt;PI'!V72+'Ore-&gt;PI'!CB242+'Ore-&gt;PI'!CB140+'Ore-&gt;PI'!EM140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478</v>
      </c>
      <c r="F153" s="244"/>
      <c r="G153" s="244"/>
      <c r="H153" s="244"/>
      <c r="I153" s="244"/>
      <c r="J153" s="244">
        <f>'Ore-&gt;PI'!EM114+'Ore-&gt;PI'!CB152+'Ore-&gt;PI'!CB254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582</v>
      </c>
      <c r="F154" s="244"/>
      <c r="G154" s="244"/>
      <c r="H154" s="244"/>
      <c r="I154" s="244"/>
      <c r="J154" s="244"/>
      <c r="K154" s="244">
        <f>'Ore-&gt;PI'!V59+'Ore-&gt;PI'!V140+'Ore-&gt;PI'!V222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581</v>
      </c>
      <c r="F155" s="244"/>
      <c r="G155" s="244"/>
      <c r="H155" s="244"/>
      <c r="I155" s="244"/>
      <c r="J155" s="244"/>
      <c r="K155" s="244"/>
      <c r="L155" s="244">
        <f>'Ore-&gt;PI'!V151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520</v>
      </c>
      <c r="F156" s="244"/>
      <c r="G156" s="244"/>
      <c r="H156" s="244"/>
      <c r="I156" s="244"/>
      <c r="J156" s="244"/>
      <c r="K156" s="244"/>
      <c r="L156" s="244"/>
      <c r="M156" s="244">
        <f>'Ore-&gt;PI'!EM101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571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'Ore-&gt;PI'!EU117+'Ore-&gt;PI'!BM116+'Ore-&gt;PI'!AU113+'Ore-&gt;PI'!AC195+'Ore-&gt;PI'!AU190+'Ore-&gt;PI'!BM195+'Ore-&gt;PI'!DD229+'Ore-&gt;PI'!BN35+'Ore-&gt;PI'!AU28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85" t="s">
        <v>57</v>
      </c>
      <c r="G158" s="385"/>
      <c r="H158" s="385"/>
      <c r="I158" s="385"/>
      <c r="J158" s="385"/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  <c r="AM158" s="38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85" t="s">
        <v>469</v>
      </c>
      <c r="G160" s="385"/>
      <c r="H160" s="385"/>
      <c r="I160" s="385"/>
      <c r="J160" s="385"/>
      <c r="K160" s="385"/>
      <c r="L160" s="385"/>
      <c r="M160" s="385"/>
      <c r="N160" s="385"/>
      <c r="O160" s="385"/>
      <c r="P160" s="385"/>
      <c r="Q160" s="385"/>
      <c r="R160" s="385"/>
      <c r="S160" s="385"/>
      <c r="T160" s="385"/>
      <c r="U160" s="385"/>
      <c r="V160" s="385"/>
      <c r="W160" s="385"/>
      <c r="X160" s="385"/>
      <c r="Y160" s="385"/>
      <c r="Z160" s="385"/>
      <c r="AA160" s="385"/>
      <c r="AB160" s="385"/>
      <c r="AC160" s="385"/>
      <c r="AD160" s="385"/>
      <c r="AE160" s="385"/>
      <c r="AF160" s="385"/>
      <c r="AG160" s="385"/>
      <c r="AH160" s="385"/>
      <c r="AI160" s="385"/>
      <c r="AJ160" s="385"/>
      <c r="AK160" s="385"/>
      <c r="AL160" s="385"/>
      <c r="AM160" s="385"/>
      <c r="AN160" s="25"/>
      <c r="AO160" s="25"/>
    </row>
    <row r="164" spans="5:25" x14ac:dyDescent="0.2">
      <c r="F164" s="385" t="s">
        <v>574</v>
      </c>
      <c r="G164" s="385"/>
      <c r="H164" s="385"/>
      <c r="I164" s="385"/>
      <c r="J164" s="385"/>
      <c r="K164" s="385"/>
      <c r="L164" s="385"/>
      <c r="M164" s="385"/>
      <c r="N164" s="385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425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427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428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449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479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579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580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521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572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554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519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522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549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541</v>
      </c>
      <c r="F180" s="252">
        <f>S159</f>
        <v>0</v>
      </c>
      <c r="G180" s="259" t="s">
        <v>473</v>
      </c>
      <c r="H180" s="252">
        <v>8753719.7068998404</v>
      </c>
      <c r="I180" s="171" t="s">
        <v>475</v>
      </c>
      <c r="J180" s="252">
        <f t="shared" si="42"/>
        <v>8753719.7068998404</v>
      </c>
      <c r="K180" s="171" t="s">
        <v>475</v>
      </c>
      <c r="L180" s="252">
        <v>0</v>
      </c>
      <c r="M180" s="259" t="s">
        <v>476</v>
      </c>
      <c r="N180" s="299">
        <f t="shared" si="43"/>
        <v>0</v>
      </c>
    </row>
    <row r="181" spans="5:21" x14ac:dyDescent="0.2">
      <c r="E181" s="204" t="s">
        <v>526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553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548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545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551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550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534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569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535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537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536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635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532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531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533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529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557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558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559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570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472</v>
      </c>
      <c r="H201" s="3" t="s">
        <v>474</v>
      </c>
      <c r="J201" s="25" t="s">
        <v>471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85" t="s">
        <v>641</v>
      </c>
      <c r="G204" s="385"/>
      <c r="H204" s="385"/>
      <c r="I204" s="385"/>
      <c r="J204" s="385"/>
      <c r="O204" s="245"/>
      <c r="P204" s="245"/>
    </row>
    <row r="207" spans="5:22" x14ac:dyDescent="0.2">
      <c r="E207" s="204" t="s">
        <v>417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418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419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568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547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546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445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442</v>
      </c>
      <c r="F214" s="252">
        <f>AZ118</f>
        <v>25428.919011572762</v>
      </c>
      <c r="G214" s="171" t="s">
        <v>480</v>
      </c>
      <c r="H214" s="252">
        <f t="shared" si="47"/>
        <v>25394.240916408646</v>
      </c>
      <c r="I214" s="171" t="s">
        <v>476</v>
      </c>
      <c r="J214" s="252">
        <f t="shared" si="48"/>
        <v>34.678095164115803</v>
      </c>
    </row>
    <row r="215" spans="5:14" x14ac:dyDescent="0.2">
      <c r="E215" s="204" t="s">
        <v>460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443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438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458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429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470</v>
      </c>
      <c r="G221" s="171"/>
      <c r="H221" s="171" t="s">
        <v>467</v>
      </c>
      <c r="I221" s="171"/>
      <c r="J221" s="171" t="s">
        <v>481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591</v>
      </c>
      <c r="AO1" s="260"/>
      <c r="AP1" s="207" t="s">
        <v>417</v>
      </c>
      <c r="AQ1" s="207" t="s">
        <v>418</v>
      </c>
      <c r="AR1" s="207" t="s">
        <v>419</v>
      </c>
      <c r="AS1" s="207" t="s">
        <v>568</v>
      </c>
      <c r="AT1" s="207" t="s">
        <v>547</v>
      </c>
      <c r="AU1" s="207" t="s">
        <v>546</v>
      </c>
      <c r="AV1" s="207" t="s">
        <v>445</v>
      </c>
      <c r="AW1" s="207" t="s">
        <v>442</v>
      </c>
      <c r="AX1" s="207" t="s">
        <v>460</v>
      </c>
      <c r="AY1" s="207" t="s">
        <v>443</v>
      </c>
      <c r="AZ1" s="207" t="s">
        <v>438</v>
      </c>
      <c r="BA1" s="207" t="s">
        <v>458</v>
      </c>
      <c r="BB1" s="207" t="s">
        <v>81</v>
      </c>
      <c r="BC1" s="207" t="s">
        <v>429</v>
      </c>
      <c r="BH1" s="260"/>
      <c r="BI1" s="207" t="s">
        <v>417</v>
      </c>
      <c r="BJ1" s="207" t="s">
        <v>418</v>
      </c>
      <c r="BK1" s="207" t="s">
        <v>419</v>
      </c>
      <c r="BL1" s="207" t="s">
        <v>568</v>
      </c>
      <c r="BM1" s="207" t="s">
        <v>547</v>
      </c>
      <c r="BN1" s="207" t="s">
        <v>546</v>
      </c>
      <c r="BO1" s="207" t="s">
        <v>445</v>
      </c>
      <c r="BP1" s="207" t="s">
        <v>442</v>
      </c>
      <c r="BQ1" s="207" t="s">
        <v>460</v>
      </c>
      <c r="BR1" s="207" t="s">
        <v>443</v>
      </c>
      <c r="BS1" s="207" t="s">
        <v>438</v>
      </c>
      <c r="BT1" s="207" t="s">
        <v>458</v>
      </c>
      <c r="BU1" s="207" t="s">
        <v>81</v>
      </c>
      <c r="BV1" s="207" t="s">
        <v>429</v>
      </c>
    </row>
    <row r="2" spans="2:74" x14ac:dyDescent="0.2">
      <c r="B2" s="204" t="s">
        <v>425</v>
      </c>
      <c r="C2" s="284">
        <v>1</v>
      </c>
      <c r="AO2" s="204" t="s">
        <v>425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425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427</v>
      </c>
      <c r="C3" s="284">
        <v>1</v>
      </c>
      <c r="AO3" s="204" t="s">
        <v>427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427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428</v>
      </c>
      <c r="C4" s="284">
        <v>1</v>
      </c>
      <c r="AO4" s="204" t="s">
        <v>428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428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449</v>
      </c>
      <c r="C5" s="284">
        <v>1</v>
      </c>
      <c r="AO5" s="204" t="s">
        <v>449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449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479</v>
      </c>
      <c r="C6" s="284">
        <v>1</v>
      </c>
      <c r="AO6" s="204" t="s">
        <v>479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479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579</v>
      </c>
      <c r="C7" s="284">
        <v>1</v>
      </c>
      <c r="AO7" s="204" t="s">
        <v>579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579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580</v>
      </c>
      <c r="C8" s="284">
        <v>1</v>
      </c>
      <c r="AO8" s="204" t="s">
        <v>580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580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521</v>
      </c>
      <c r="C9" s="284">
        <v>1</v>
      </c>
      <c r="AO9" s="204" t="s">
        <v>521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521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572</v>
      </c>
      <c r="C10" s="284">
        <v>1</v>
      </c>
      <c r="AO10" s="204" t="s">
        <v>572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572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554</v>
      </c>
      <c r="C11" s="284">
        <v>1</v>
      </c>
      <c r="AO11" s="205" t="s">
        <v>554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554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519</v>
      </c>
      <c r="C12" s="284">
        <v>1</v>
      </c>
      <c r="AO12" s="204" t="s">
        <v>519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519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522</v>
      </c>
      <c r="C13" s="284">
        <v>1</v>
      </c>
      <c r="AO13" s="205" t="s">
        <v>522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522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549</v>
      </c>
      <c r="C14" s="284">
        <v>1</v>
      </c>
      <c r="AO14" s="204" t="s">
        <v>549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549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541</v>
      </c>
      <c r="C15" s="284">
        <v>1</v>
      </c>
      <c r="AO15" s="206" t="s">
        <v>541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541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526</v>
      </c>
      <c r="C16" s="284">
        <v>1</v>
      </c>
      <c r="AO16" s="204" t="s">
        <v>526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526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553</v>
      </c>
      <c r="C17" s="284">
        <v>1</v>
      </c>
      <c r="AO17" s="205" t="s">
        <v>553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553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548</v>
      </c>
      <c r="C18" s="284">
        <v>1</v>
      </c>
      <c r="AO18" s="205" t="s">
        <v>548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548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545</v>
      </c>
      <c r="C19" s="284">
        <v>1</v>
      </c>
      <c r="AO19" s="205" t="s">
        <v>545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545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551</v>
      </c>
      <c r="C20" s="284">
        <v>1</v>
      </c>
      <c r="AO20" s="205" t="s">
        <v>551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551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550</v>
      </c>
      <c r="C21" s="284">
        <v>1</v>
      </c>
      <c r="AO21" s="206" t="s">
        <v>550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550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534</v>
      </c>
      <c r="C22" s="284">
        <v>1</v>
      </c>
      <c r="AO22" s="206" t="s">
        <v>534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569</v>
      </c>
      <c r="C23" s="284">
        <v>1</v>
      </c>
      <c r="AO23" s="206" t="s">
        <v>569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569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535</v>
      </c>
      <c r="C24" s="284">
        <v>1</v>
      </c>
      <c r="AO24" s="206" t="s">
        <v>535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537</v>
      </c>
      <c r="C25" s="284">
        <v>1</v>
      </c>
      <c r="AO25" s="206" t="s">
        <v>537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536</v>
      </c>
      <c r="C26" s="284">
        <v>1</v>
      </c>
      <c r="AO26" s="206" t="s">
        <v>536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635</v>
      </c>
      <c r="C27" s="284">
        <v>1</v>
      </c>
      <c r="AO27" s="206" t="s">
        <v>635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635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532</v>
      </c>
      <c r="C28" s="284">
        <v>1</v>
      </c>
      <c r="AO28" s="253" t="s">
        <v>532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531</v>
      </c>
      <c r="C29" s="284">
        <v>1</v>
      </c>
      <c r="AO29" s="206" t="s">
        <v>531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533</v>
      </c>
      <c r="C30" s="284">
        <v>1</v>
      </c>
      <c r="AO30" s="204" t="s">
        <v>533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529</v>
      </c>
      <c r="C31" s="284">
        <v>1</v>
      </c>
      <c r="AO31" s="206" t="s">
        <v>529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529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557</v>
      </c>
      <c r="C32" s="284">
        <v>1</v>
      </c>
      <c r="AO32" s="206" t="s">
        <v>557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557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558</v>
      </c>
      <c r="C33" s="284">
        <v>1</v>
      </c>
      <c r="AO33" s="206" t="s">
        <v>558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558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559</v>
      </c>
      <c r="C34" s="284">
        <v>1</v>
      </c>
      <c r="AO34" s="206" t="s">
        <v>559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559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570</v>
      </c>
      <c r="C35" s="284">
        <v>1</v>
      </c>
      <c r="AO35" s="206" t="s">
        <v>570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570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586</v>
      </c>
      <c r="AO36" s="206"/>
      <c r="AP36" s="385" t="s">
        <v>583</v>
      </c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H36" s="206"/>
      <c r="BI36" s="385" t="s">
        <v>584</v>
      </c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417</v>
      </c>
      <c r="AQ39" s="207" t="s">
        <v>418</v>
      </c>
      <c r="AR39" s="207" t="s">
        <v>419</v>
      </c>
      <c r="AS39" s="207" t="s">
        <v>568</v>
      </c>
      <c r="AT39" s="207" t="s">
        <v>547</v>
      </c>
      <c r="AU39" s="207" t="s">
        <v>546</v>
      </c>
      <c r="AV39" s="207" t="s">
        <v>445</v>
      </c>
      <c r="AW39" s="207" t="s">
        <v>442</v>
      </c>
      <c r="AX39" s="207" t="s">
        <v>460</v>
      </c>
      <c r="AY39" s="207" t="s">
        <v>443</v>
      </c>
      <c r="AZ39" s="207" t="s">
        <v>438</v>
      </c>
      <c r="BA39" s="207" t="s">
        <v>458</v>
      </c>
      <c r="BB39" s="207" t="s">
        <v>81</v>
      </c>
      <c r="BC39" s="207" t="s">
        <v>429</v>
      </c>
    </row>
    <row r="40" spans="2:74" x14ac:dyDescent="0.2">
      <c r="AO40" s="204" t="s">
        <v>425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427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428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449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479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579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580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521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572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554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519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522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549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541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526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553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548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545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551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550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534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569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535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537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536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635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532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531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533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529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557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558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559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570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85" t="s">
        <v>585</v>
      </c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</row>
    <row r="78" spans="32:63" ht="112" x14ac:dyDescent="0.2">
      <c r="AO78" s="260"/>
      <c r="AP78" s="207" t="s">
        <v>417</v>
      </c>
      <c r="AQ78" s="207" t="s">
        <v>418</v>
      </c>
      <c r="AR78" s="207" t="s">
        <v>419</v>
      </c>
      <c r="AS78" s="207" t="s">
        <v>568</v>
      </c>
      <c r="AT78" s="207" t="s">
        <v>547</v>
      </c>
      <c r="AU78" s="207" t="s">
        <v>546</v>
      </c>
      <c r="AV78" s="207" t="s">
        <v>445</v>
      </c>
      <c r="AW78" s="207" t="s">
        <v>442</v>
      </c>
      <c r="AX78" s="207" t="s">
        <v>460</v>
      </c>
      <c r="AY78" s="207" t="s">
        <v>443</v>
      </c>
      <c r="AZ78" s="207" t="s">
        <v>438</v>
      </c>
      <c r="BA78" s="207" t="s">
        <v>458</v>
      </c>
      <c r="BB78" s="207" t="s">
        <v>81</v>
      </c>
      <c r="BC78" s="207" t="s">
        <v>429</v>
      </c>
      <c r="BH78" s="207"/>
      <c r="BI78" s="207" t="s">
        <v>423</v>
      </c>
      <c r="BJ78" s="207" t="s">
        <v>356</v>
      </c>
    </row>
    <row r="79" spans="32:63" x14ac:dyDescent="0.2">
      <c r="AF79" s="204"/>
      <c r="AO79" s="204" t="s">
        <v>425</v>
      </c>
      <c r="AP79" s="230">
        <f>'Ore-&gt;PI'!AN42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425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427</v>
      </c>
      <c r="AP80" s="230"/>
      <c r="AQ80" s="230">
        <f>'Ore-&gt;PI'!U126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427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428</v>
      </c>
      <c r="AP81" s="230"/>
      <c r="AQ81" s="230"/>
      <c r="AR81" s="230">
        <f>'Ore-&gt;PI'!U206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428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449</v>
      </c>
      <c r="AP82" s="230">
        <f>'Ore-&gt;PI'!U72</f>
        <v>30.150427560669065</v>
      </c>
      <c r="AQ82" s="230">
        <f>'Ore-&gt;PI'!U163</f>
        <v>9.0394269236644703E-2</v>
      </c>
      <c r="AR82" s="230">
        <f>'Ore-&gt;PI'!U236</f>
        <v>7.1715017046188141</v>
      </c>
      <c r="AS82" s="230"/>
      <c r="AT82" s="230"/>
      <c r="AU82" s="230"/>
      <c r="AV82" s="230"/>
      <c r="AW82" s="230"/>
      <c r="AX82" s="230"/>
      <c r="AY82" s="230">
        <f>'Ore-&gt;PI'!CA140</f>
        <v>1173.1885157382469</v>
      </c>
      <c r="AZ82" s="230">
        <f>'Ore-&gt;PI'!CA242</f>
        <v>556.96479760636817</v>
      </c>
      <c r="BA82" s="230"/>
      <c r="BB82" s="230"/>
      <c r="BC82" s="243">
        <f>'Ore-&gt;PI'!EL140</f>
        <v>2870.841834451006</v>
      </c>
      <c r="BD82" s="252">
        <f t="shared" si="34"/>
        <v>4638.4074713301452</v>
      </c>
      <c r="BH82" s="204" t="s">
        <v>449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479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'Ore-&gt;PI'!CA152</f>
        <v>20798.316475388398</v>
      </c>
      <c r="AZ83" s="230">
        <f>'Ore-&gt;PI'!CA254</f>
        <v>16.963528773956838</v>
      </c>
      <c r="BA83" s="230"/>
      <c r="BB83" s="230"/>
      <c r="BC83" s="230">
        <f>'Ore-&gt;PI'!EL114</f>
        <v>44.774669200794314</v>
      </c>
      <c r="BD83" s="252">
        <f t="shared" si="34"/>
        <v>20860.054673363149</v>
      </c>
      <c r="BH83" s="204" t="s">
        <v>479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579</v>
      </c>
      <c r="AP84" s="230">
        <f>'Ore-&gt;PI'!U59</f>
        <v>2.0694989883749622</v>
      </c>
      <c r="AQ84" s="230">
        <f>'Ore-&gt;PI'!U140</f>
        <v>5.671161105764883E-3</v>
      </c>
      <c r="AR84" s="230">
        <f>'Ore-&gt;PI'!U222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579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580</v>
      </c>
      <c r="AP85" s="230"/>
      <c r="AQ85" s="230">
        <f>'Ore-&gt;PI'!U151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580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521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'Ore-&gt;PI'!EL101</f>
        <v>4.8979947555174279</v>
      </c>
      <c r="BD86" s="252">
        <f t="shared" si="34"/>
        <v>4.8979947555174279</v>
      </c>
      <c r="BH86" s="204" t="s">
        <v>521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572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572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554</v>
      </c>
      <c r="AP88" s="230"/>
      <c r="AQ88" s="230"/>
      <c r="AR88" s="230"/>
      <c r="AS88" s="230">
        <f>'Ore-&gt;PI'!AN42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554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519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519</v>
      </c>
      <c r="BI89" s="244"/>
      <c r="BJ89" s="244">
        <f>'Ore-&gt;PI'!AN63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522</v>
      </c>
      <c r="AP90" s="230"/>
      <c r="AQ90" s="230"/>
      <c r="AR90" s="230"/>
      <c r="AS90" s="230"/>
      <c r="AT90" s="230">
        <f>'Ore-&gt;PI'!AO126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522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549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549</v>
      </c>
      <c r="BI91" s="244"/>
      <c r="BJ91" s="244">
        <f>'Ore-&gt;PI'!AO142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541</v>
      </c>
      <c r="AP92" s="230"/>
      <c r="AQ92" s="230"/>
      <c r="AR92" s="230"/>
      <c r="AS92" s="230"/>
      <c r="AT92" s="230"/>
      <c r="AU92" s="230">
        <f>'Ore-&gt;PI'!AO206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541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526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526</v>
      </c>
      <c r="BI93" s="244"/>
      <c r="BJ93" s="244">
        <f>'Ore-&gt;PI'!AO227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553</v>
      </c>
      <c r="AP94" s="230"/>
      <c r="AQ94" s="230"/>
      <c r="AR94" s="230"/>
      <c r="AS94" s="230"/>
      <c r="AT94" s="230"/>
      <c r="AU94" s="230"/>
      <c r="AV94" s="230">
        <f>'Ore-&gt;PI'!BG42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553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548</v>
      </c>
      <c r="AP95" s="230"/>
      <c r="AQ95" s="230"/>
      <c r="AR95" s="230"/>
      <c r="AS95" s="230"/>
      <c r="AT95" s="230"/>
      <c r="AU95" s="230"/>
      <c r="AV95" s="230"/>
      <c r="AW95" s="230">
        <f>'Ore-&gt;PI'!BH126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548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545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'Ore-&gt;PI'!BH206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545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551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'Ore-&gt;PI'!BZ42</f>
        <v>1000.0000000000001</v>
      </c>
      <c r="BC97" s="230"/>
      <c r="BD97" s="252">
        <f t="shared" si="34"/>
        <v>1000.0000000000001</v>
      </c>
      <c r="BH97" s="205" t="s">
        <v>551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550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550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'Ore-&gt;PI'!CA126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534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569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'Ore-&gt;PI'!CA206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569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'Ore-&gt;PI'!CV126</f>
        <v>111.00813284002646</v>
      </c>
      <c r="BC101" s="230"/>
      <c r="BD101" s="252">
        <f t="shared" si="34"/>
        <v>111.00813284002646</v>
      </c>
      <c r="BH101" s="206" t="s">
        <v>535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537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536</v>
      </c>
      <c r="BI103" s="244"/>
      <c r="BJ103" s="244">
        <f>'Ore-&gt;PI'!CV138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635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'Ore-&gt;PI'!CV206</f>
        <v>198.80764502323905</v>
      </c>
      <c r="BC104" s="230"/>
      <c r="BD104" s="252">
        <f t="shared" si="34"/>
        <v>198.80764502323905</v>
      </c>
      <c r="BH104" s="206" t="s">
        <v>635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'Ore-&gt;PI'!CV233</f>
        <v>69.582675758133661</v>
      </c>
      <c r="BB105" s="230"/>
      <c r="BC105" s="230"/>
      <c r="BD105" s="252">
        <f t="shared" si="34"/>
        <v>69.582675758133661</v>
      </c>
      <c r="BH105" s="253" t="s">
        <v>532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531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533</v>
      </c>
      <c r="BI107" s="244"/>
      <c r="BJ107" s="244">
        <f>'Ore-&gt;PI'!CV250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529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'Ore-&gt;PI'!CA225</f>
        <v>10.437401363720047</v>
      </c>
      <c r="BA108" s="230"/>
      <c r="BB108" s="230"/>
      <c r="BC108" s="243">
        <f>'Ore-&gt;PI'!EL152</f>
        <v>48.707873030693563</v>
      </c>
      <c r="BD108" s="252">
        <f t="shared" si="34"/>
        <v>59.145274394413612</v>
      </c>
      <c r="BH108" s="206" t="s">
        <v>529</v>
      </c>
      <c r="BI108" s="244">
        <f>'Ore-&gt;PI'!EW233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557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'Ore-&gt;PI'!EL126</f>
        <v>1309.8157778632656</v>
      </c>
      <c r="BD109" s="252">
        <f t="shared" si="34"/>
        <v>1309.8157778632656</v>
      </c>
      <c r="BH109" s="206" t="s">
        <v>557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558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558</v>
      </c>
      <c r="BI110" s="244">
        <f>'Ore-&gt;PI'!FL126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559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559</v>
      </c>
      <c r="BI111" s="244"/>
      <c r="BJ111" s="244">
        <f>'Ore-&gt;PI'!FL141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570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570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85" t="s">
        <v>420</v>
      </c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25" t="s">
        <v>471</v>
      </c>
      <c r="BI113" s="385" t="s">
        <v>422</v>
      </c>
      <c r="BJ113" s="385"/>
      <c r="BK113" s="25" t="s">
        <v>486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86"/>
      <c r="D115" s="38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85" t="s">
        <v>470</v>
      </c>
      <c r="AQ115" s="385"/>
      <c r="AR115" s="385"/>
      <c r="AS115" s="385"/>
      <c r="AT115" s="385"/>
      <c r="AU115" s="385"/>
      <c r="AV115" s="385"/>
      <c r="AW115" s="385"/>
      <c r="AX115" s="385"/>
      <c r="AY115" s="385"/>
      <c r="AZ115" s="385"/>
      <c r="BA115" s="385"/>
      <c r="BB115" s="385"/>
      <c r="BC115" s="385"/>
      <c r="BI115" s="25"/>
      <c r="BJ115" s="25"/>
    </row>
    <row r="116" spans="2:63" ht="236" x14ac:dyDescent="0.2">
      <c r="B116" s="240"/>
      <c r="C116" s="207" t="s">
        <v>425</v>
      </c>
      <c r="D116" s="207" t="s">
        <v>427</v>
      </c>
      <c r="E116" s="207" t="s">
        <v>428</v>
      </c>
      <c r="F116" s="207" t="s">
        <v>449</v>
      </c>
      <c r="G116" s="207" t="s">
        <v>479</v>
      </c>
      <c r="H116" s="207" t="s">
        <v>517</v>
      </c>
      <c r="I116" s="207" t="s">
        <v>579</v>
      </c>
      <c r="J116" s="207" t="s">
        <v>580</v>
      </c>
      <c r="K116" s="207" t="s">
        <v>572</v>
      </c>
      <c r="L116" s="209" t="s">
        <v>554</v>
      </c>
      <c r="M116" s="207" t="s">
        <v>519</v>
      </c>
      <c r="N116" s="209" t="s">
        <v>522</v>
      </c>
      <c r="O116" s="207" t="s">
        <v>549</v>
      </c>
      <c r="P116" s="210" t="s">
        <v>541</v>
      </c>
      <c r="Q116" s="207" t="s">
        <v>526</v>
      </c>
      <c r="R116" s="209" t="s">
        <v>553</v>
      </c>
      <c r="S116" s="209" t="s">
        <v>548</v>
      </c>
      <c r="T116" s="209" t="s">
        <v>545</v>
      </c>
      <c r="U116" s="209" t="s">
        <v>551</v>
      </c>
      <c r="V116" s="210" t="s">
        <v>550</v>
      </c>
      <c r="W116" s="210" t="s">
        <v>534</v>
      </c>
      <c r="X116" s="210" t="s">
        <v>569</v>
      </c>
      <c r="Y116" s="210" t="s">
        <v>535</v>
      </c>
      <c r="Z116" s="210" t="s">
        <v>537</v>
      </c>
      <c r="AA116" s="210" t="s">
        <v>536</v>
      </c>
      <c r="AB116" s="210" t="s">
        <v>635</v>
      </c>
      <c r="AC116" s="232" t="s">
        <v>532</v>
      </c>
      <c r="AD116" s="210" t="s">
        <v>531</v>
      </c>
      <c r="AE116" s="207" t="s">
        <v>533</v>
      </c>
      <c r="AF116" s="210" t="s">
        <v>529</v>
      </c>
      <c r="AG116" s="210" t="s">
        <v>557</v>
      </c>
      <c r="AH116" s="210" t="s">
        <v>558</v>
      </c>
      <c r="AI116" s="210" t="s">
        <v>559</v>
      </c>
      <c r="AJ116" s="210" t="s">
        <v>570</v>
      </c>
    </row>
    <row r="117" spans="2:63" x14ac:dyDescent="0.2">
      <c r="B117" s="204" t="s">
        <v>417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'Ore-&gt;PI'!U42</f>
        <v>1011.7674660019052</v>
      </c>
      <c r="M117" s="230">
        <f>'Ore-&gt;PI'!$AN$63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418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'Ore-&gt;PI'!AO126</f>
        <v>208.55560337725498</v>
      </c>
      <c r="O118" s="230">
        <f>'Ore-&gt;PI'!$AO$142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419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'Ore-&gt;PI'!$AO$206</f>
        <v>286.88405520213911</v>
      </c>
      <c r="Q119" s="230">
        <f>'Ore-&gt;PI'!$AO$227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568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'Ore-&gt;PI'!$BG$42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547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'Ore-&gt;PI'!$BH$126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'Ore-&gt;PI'!$BH$206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'Ore-&gt;PI'!$BZ$42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442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'Ore-&gt;PI'!$CA$126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460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'Ore-&gt;PI'!$CA$206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'Ore-&gt;PI'!$CV$126</f>
        <v>111.00813284002646</v>
      </c>
      <c r="Z126" s="230">
        <f>Kiln_SolidWaste</f>
        <v>4.9847525450981189</v>
      </c>
      <c r="AA126" s="230">
        <f>'Ore-&gt;PI'!$CV$138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438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'Ore-&gt;PI'!$CV$206</f>
        <v>198.80764502323905</v>
      </c>
      <c r="AC127" s="230">
        <f>'Ore-&gt;PI'!$CV$233</f>
        <v>69.582675758133661</v>
      </c>
      <c r="AD127" s="230">
        <f>Beneficiation_CoalWaste</f>
        <v>18.493734420766422</v>
      </c>
      <c r="AE127" s="230">
        <f>'Ore-&gt;PI'!$CV$250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'Ore-&gt;PI'!$DP$233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'Ore-&gt;PI'!$EL$126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429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'Ore-&gt;PI'!$FL$126</f>
        <v>616.23583583508366</v>
      </c>
      <c r="AI130" s="230">
        <f>'Ore-&gt;PI'!$FL$141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85" t="s">
        <v>421</v>
      </c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25" t="s">
        <v>467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85" t="s">
        <v>468</v>
      </c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425</v>
      </c>
      <c r="D144" s="207" t="s">
        <v>427</v>
      </c>
      <c r="E144" s="207" t="s">
        <v>428</v>
      </c>
      <c r="F144" s="207" t="s">
        <v>449</v>
      </c>
      <c r="G144" s="207" t="s">
        <v>479</v>
      </c>
      <c r="H144" s="207" t="s">
        <v>517</v>
      </c>
      <c r="I144" s="207" t="s">
        <v>579</v>
      </c>
      <c r="J144" s="207" t="s">
        <v>580</v>
      </c>
      <c r="K144" s="207" t="s">
        <v>572</v>
      </c>
      <c r="L144" s="209" t="s">
        <v>554</v>
      </c>
      <c r="M144" s="207" t="s">
        <v>519</v>
      </c>
      <c r="N144" s="209" t="s">
        <v>522</v>
      </c>
      <c r="O144" s="207" t="s">
        <v>549</v>
      </c>
      <c r="P144" s="210" t="s">
        <v>541</v>
      </c>
      <c r="Q144" s="207" t="s">
        <v>526</v>
      </c>
      <c r="R144" s="209" t="s">
        <v>553</v>
      </c>
      <c r="S144" s="209" t="s">
        <v>548</v>
      </c>
      <c r="T144" s="209" t="s">
        <v>545</v>
      </c>
      <c r="U144" s="209" t="s">
        <v>551</v>
      </c>
      <c r="V144" s="210" t="s">
        <v>550</v>
      </c>
      <c r="W144" s="210" t="s">
        <v>534</v>
      </c>
      <c r="X144" s="210" t="s">
        <v>569</v>
      </c>
      <c r="Y144" s="210" t="s">
        <v>535</v>
      </c>
      <c r="Z144" s="210" t="s">
        <v>537</v>
      </c>
      <c r="AA144" s="210" t="s">
        <v>536</v>
      </c>
      <c r="AB144" s="210" t="s">
        <v>635</v>
      </c>
      <c r="AC144" s="232" t="s">
        <v>532</v>
      </c>
      <c r="AD144" s="210" t="s">
        <v>531</v>
      </c>
      <c r="AE144" s="207" t="s">
        <v>533</v>
      </c>
      <c r="AF144" s="210" t="s">
        <v>529</v>
      </c>
      <c r="AG144" s="210" t="s">
        <v>557</v>
      </c>
      <c r="AH144" s="210" t="s">
        <v>558</v>
      </c>
      <c r="AI144" s="210" t="s">
        <v>559</v>
      </c>
      <c r="AJ144" s="210" t="s">
        <v>570</v>
      </c>
      <c r="AK144" s="210"/>
      <c r="AL144" s="210"/>
    </row>
    <row r="145" spans="2:42" x14ac:dyDescent="0.2">
      <c r="B145" s="204" t="s">
        <v>424</v>
      </c>
      <c r="C145" s="244">
        <f>'Ore-&gt;PI'!U42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426</v>
      </c>
      <c r="C146" s="244"/>
      <c r="D146" s="244">
        <f>'Ore-&gt;PI'!U126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450</v>
      </c>
      <c r="C147" s="244"/>
      <c r="D147" s="244"/>
      <c r="E147" s="244">
        <f>'Ore-&gt;PI'!U206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485</v>
      </c>
      <c r="C148" s="244"/>
      <c r="D148" s="244"/>
      <c r="E148" s="244"/>
      <c r="F148" s="250">
        <f>'Ore-&gt;PI'!EL140+'Ore-&gt;PI'!CA140+'Ore-&gt;PI'!U163+'Ore-&gt;PI'!U72+'Ore-&gt;PI'!CA242+'Ore-&gt;PI'!U236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478</v>
      </c>
      <c r="C149" s="244"/>
      <c r="D149" s="244"/>
      <c r="E149" s="244"/>
      <c r="F149" s="244"/>
      <c r="G149" s="244">
        <f>'Ore-&gt;PI'!EL114+'Ore-&gt;PI'!CA152+'Ore-&gt;PI'!CA254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582</v>
      </c>
      <c r="C150" s="244"/>
      <c r="D150" s="244"/>
      <c r="E150" s="244"/>
      <c r="F150" s="244"/>
      <c r="G150" s="244"/>
      <c r="H150" s="244">
        <f>'Ore-&gt;PI'!U222+'Ore-&gt;PI'!U140+'Ore-&gt;PI'!U59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581</v>
      </c>
      <c r="C151" s="244"/>
      <c r="D151" s="244"/>
      <c r="E151" s="244"/>
      <c r="F151" s="244"/>
      <c r="G151" s="244"/>
      <c r="H151" s="244"/>
      <c r="I151" s="244">
        <f>'Ore-&gt;PI'!U151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520</v>
      </c>
      <c r="C152" s="244"/>
      <c r="D152" s="244"/>
      <c r="E152" s="244"/>
      <c r="F152" s="244"/>
      <c r="G152" s="244"/>
      <c r="H152" s="244"/>
      <c r="I152" s="244"/>
      <c r="J152" s="244">
        <f>'Ore-&gt;PI'!$EL$101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571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85" t="s">
        <v>57</v>
      </c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E154" s="385"/>
      <c r="AF154" s="385"/>
      <c r="AG154" s="385"/>
      <c r="AH154" s="385"/>
      <c r="AI154" s="385"/>
      <c r="AJ154" s="38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85" t="s">
        <v>469</v>
      </c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25"/>
      <c r="AL156" s="25"/>
    </row>
    <row r="160" spans="2:42" x14ac:dyDescent="0.2">
      <c r="C160" s="385" t="s">
        <v>466</v>
      </c>
      <c r="D160" s="385"/>
      <c r="E160" s="385"/>
      <c r="F160" s="385"/>
      <c r="G160" s="385"/>
      <c r="H160" s="385"/>
      <c r="I160" s="385"/>
      <c r="J160" s="385"/>
      <c r="K160" s="385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425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427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99">
        <f>C164+E164-G164-I164</f>
        <v>0</v>
      </c>
    </row>
    <row r="165" spans="2:11" x14ac:dyDescent="0.2">
      <c r="B165" s="204" t="s">
        <v>428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99">
        <f>C165+E165-G165-I165</f>
        <v>0</v>
      </c>
    </row>
    <row r="166" spans="2:11" x14ac:dyDescent="0.2">
      <c r="B166" s="204" t="s">
        <v>449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479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99">
        <f t="shared" ref="K167:K182" si="43">C167+E167-G167-I167</f>
        <v>0</v>
      </c>
    </row>
    <row r="168" spans="2:11" x14ac:dyDescent="0.2">
      <c r="B168" s="204" t="s">
        <v>517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299">
        <f t="shared" si="43"/>
        <v>4.4408920985006262E-16</v>
      </c>
    </row>
    <row r="169" spans="2:11" x14ac:dyDescent="0.2">
      <c r="B169" s="204" t="s">
        <v>518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99">
        <f t="shared" si="43"/>
        <v>0</v>
      </c>
    </row>
    <row r="170" spans="2:11" x14ac:dyDescent="0.2">
      <c r="B170" s="204" t="s">
        <v>521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99">
        <f t="shared" si="43"/>
        <v>0</v>
      </c>
    </row>
    <row r="171" spans="2:11" x14ac:dyDescent="0.2">
      <c r="B171" s="204" t="s">
        <v>572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99">
        <f t="shared" si="43"/>
        <v>0</v>
      </c>
    </row>
    <row r="172" spans="2:11" ht="16" x14ac:dyDescent="0.2">
      <c r="B172" s="205" t="s">
        <v>554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99">
        <f t="shared" si="43"/>
        <v>0</v>
      </c>
    </row>
    <row r="173" spans="2:11" x14ac:dyDescent="0.2">
      <c r="B173" s="204" t="s">
        <v>519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299">
        <f t="shared" si="43"/>
        <v>0</v>
      </c>
    </row>
    <row r="174" spans="2:11" ht="16" x14ac:dyDescent="0.2">
      <c r="B174" s="205" t="s">
        <v>522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99">
        <f t="shared" si="43"/>
        <v>0</v>
      </c>
    </row>
    <row r="175" spans="2:11" x14ac:dyDescent="0.2">
      <c r="B175" s="204" t="s">
        <v>549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299">
        <f t="shared" si="43"/>
        <v>0</v>
      </c>
    </row>
    <row r="176" spans="2:11" x14ac:dyDescent="0.2">
      <c r="B176" s="206" t="s">
        <v>541</v>
      </c>
      <c r="C176" s="252">
        <f>P155</f>
        <v>0</v>
      </c>
      <c r="D176" s="259" t="s">
        <v>473</v>
      </c>
      <c r="E176" s="252">
        <v>286.88405520213911</v>
      </c>
      <c r="F176" s="171" t="s">
        <v>475</v>
      </c>
      <c r="G176" s="252">
        <f t="shared" si="42"/>
        <v>286.88405520213911</v>
      </c>
      <c r="H176" s="171" t="s">
        <v>475</v>
      </c>
      <c r="I176" s="252">
        <v>0</v>
      </c>
      <c r="J176" s="259" t="s">
        <v>476</v>
      </c>
      <c r="K176" s="299">
        <f t="shared" si="43"/>
        <v>0</v>
      </c>
    </row>
    <row r="177" spans="2:18" x14ac:dyDescent="0.2">
      <c r="B177" s="204" t="s">
        <v>526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299">
        <f t="shared" si="43"/>
        <v>0</v>
      </c>
    </row>
    <row r="178" spans="2:18" ht="16" x14ac:dyDescent="0.2">
      <c r="B178" s="205" t="s">
        <v>553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99">
        <f t="shared" si="43"/>
        <v>0</v>
      </c>
    </row>
    <row r="179" spans="2:18" ht="16" x14ac:dyDescent="0.2">
      <c r="B179" s="205" t="s">
        <v>548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99">
        <f t="shared" si="43"/>
        <v>0</v>
      </c>
    </row>
    <row r="180" spans="2:18" ht="16" x14ac:dyDescent="0.2">
      <c r="B180" s="205" t="s">
        <v>545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99">
        <f t="shared" si="43"/>
        <v>0</v>
      </c>
    </row>
    <row r="181" spans="2:18" ht="16" x14ac:dyDescent="0.2">
      <c r="B181" s="205" t="s">
        <v>551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99">
        <f t="shared" si="43"/>
        <v>0</v>
      </c>
    </row>
    <row r="182" spans="2:18" x14ac:dyDescent="0.2">
      <c r="B182" s="206" t="s">
        <v>550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99">
        <f t="shared" si="43"/>
        <v>0</v>
      </c>
    </row>
    <row r="183" spans="2:18" x14ac:dyDescent="0.2">
      <c r="B183" s="206" t="s">
        <v>534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99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569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99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535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99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537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99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536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99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635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99">
        <f t="shared" si="45"/>
        <v>0</v>
      </c>
    </row>
    <row r="189" spans="2:18" ht="16" x14ac:dyDescent="0.2">
      <c r="B189" s="253" t="s">
        <v>532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99">
        <f t="shared" si="45"/>
        <v>0</v>
      </c>
    </row>
    <row r="190" spans="2:18" x14ac:dyDescent="0.2">
      <c r="B190" s="206" t="s">
        <v>531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99">
        <f t="shared" ref="K190:K196" si="46">C190+E190-G190-I190</f>
        <v>0</v>
      </c>
      <c r="L190" s="25"/>
    </row>
    <row r="191" spans="2:18" x14ac:dyDescent="0.2">
      <c r="B191" s="204" t="s">
        <v>533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99">
        <f t="shared" si="46"/>
        <v>0</v>
      </c>
    </row>
    <row r="192" spans="2:18" x14ac:dyDescent="0.2">
      <c r="B192" s="206" t="s">
        <v>529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99">
        <f t="shared" si="46"/>
        <v>0</v>
      </c>
    </row>
    <row r="193" spans="2:19" x14ac:dyDescent="0.2">
      <c r="B193" s="206" t="s">
        <v>557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99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558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99">
        <f t="shared" si="46"/>
        <v>0</v>
      </c>
    </row>
    <row r="195" spans="2:19" x14ac:dyDescent="0.2">
      <c r="B195" s="206" t="s">
        <v>559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99">
        <f t="shared" si="46"/>
        <v>0</v>
      </c>
    </row>
    <row r="196" spans="2:19" x14ac:dyDescent="0.2">
      <c r="B196" s="206" t="s">
        <v>570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99">
        <f t="shared" si="46"/>
        <v>0</v>
      </c>
    </row>
    <row r="197" spans="2:19" ht="17" x14ac:dyDescent="0.2">
      <c r="B197" s="206"/>
      <c r="C197" s="3" t="s">
        <v>472</v>
      </c>
      <c r="E197" s="3" t="s">
        <v>474</v>
      </c>
      <c r="G197" s="25" t="s">
        <v>471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85" t="s">
        <v>477</v>
      </c>
      <c r="D200" s="385"/>
      <c r="E200" s="385"/>
      <c r="F200" s="385"/>
      <c r="G200" s="385"/>
      <c r="L200" s="245"/>
      <c r="M200" s="245"/>
    </row>
    <row r="203" spans="2:19" x14ac:dyDescent="0.2">
      <c r="B203" s="204" t="s">
        <v>417</v>
      </c>
      <c r="C203" s="252">
        <f>AP114</f>
        <v>1043.9873925509492</v>
      </c>
      <c r="E203" s="252">
        <f>AK117</f>
        <v>1043.9873925509492</v>
      </c>
      <c r="G203" s="299">
        <f>C203-E203</f>
        <v>0</v>
      </c>
    </row>
    <row r="204" spans="2:19" x14ac:dyDescent="0.2">
      <c r="B204" s="204" t="s">
        <v>418</v>
      </c>
      <c r="C204" s="252">
        <f>AQ114</f>
        <v>208.65218594918355</v>
      </c>
      <c r="E204" s="252">
        <f t="shared" ref="E204:E216" si="47">AK118</f>
        <v>208.65218594918355</v>
      </c>
      <c r="G204" s="299">
        <f t="shared" ref="G204:G216" si="48">C204-E204</f>
        <v>0</v>
      </c>
      <c r="N204" s="245"/>
      <c r="O204" s="245"/>
    </row>
    <row r="205" spans="2:19" x14ac:dyDescent="0.2">
      <c r="B205" s="204" t="s">
        <v>419</v>
      </c>
      <c r="C205" s="252">
        <f>AR114</f>
        <v>294.54780251398768</v>
      </c>
      <c r="E205" s="252">
        <f t="shared" si="47"/>
        <v>294.54780251398768</v>
      </c>
      <c r="G205" s="299">
        <f t="shared" si="48"/>
        <v>0</v>
      </c>
    </row>
    <row r="206" spans="2:19" x14ac:dyDescent="0.2">
      <c r="B206" s="204" t="s">
        <v>568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99">
        <f t="shared" si="48"/>
        <v>0</v>
      </c>
    </row>
    <row r="207" spans="2:19" x14ac:dyDescent="0.2">
      <c r="B207" s="204" t="s">
        <v>547</v>
      </c>
      <c r="C207" s="252">
        <f>AT114</f>
        <v>208.55560337725498</v>
      </c>
      <c r="E207" s="252">
        <f t="shared" si="47"/>
        <v>208.55560337725498</v>
      </c>
      <c r="G207" s="299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546</v>
      </c>
      <c r="C208" s="252">
        <f>AU114</f>
        <v>286.88405520213911</v>
      </c>
      <c r="E208" s="252">
        <f t="shared" si="47"/>
        <v>286.88405520213911</v>
      </c>
      <c r="G208" s="299">
        <f t="shared" si="48"/>
        <v>0</v>
      </c>
    </row>
    <row r="209" spans="2:11" x14ac:dyDescent="0.2">
      <c r="B209" s="204" t="s">
        <v>445</v>
      </c>
      <c r="C209" s="252">
        <f>AV114</f>
        <v>1011.7674660019052</v>
      </c>
      <c r="E209" s="252">
        <f t="shared" si="47"/>
        <v>1011.7674660019052</v>
      </c>
      <c r="G209" s="299">
        <f t="shared" si="48"/>
        <v>0</v>
      </c>
    </row>
    <row r="210" spans="2:11" x14ac:dyDescent="0.2">
      <c r="B210" s="204" t="s">
        <v>442</v>
      </c>
      <c r="C210" s="252">
        <f>AW114</f>
        <v>208.55560337725498</v>
      </c>
      <c r="D210" s="171" t="s">
        <v>480</v>
      </c>
      <c r="E210" s="252">
        <f t="shared" si="47"/>
        <v>208.55560337725498</v>
      </c>
      <c r="F210" s="171" t="s">
        <v>476</v>
      </c>
      <c r="G210" s="299">
        <f t="shared" si="48"/>
        <v>0</v>
      </c>
    </row>
    <row r="211" spans="2:11" x14ac:dyDescent="0.2">
      <c r="B211" s="204" t="s">
        <v>460</v>
      </c>
      <c r="C211" s="252">
        <f>AX114</f>
        <v>286.88405520213911</v>
      </c>
      <c r="E211" s="252">
        <f t="shared" si="47"/>
        <v>286.88405520213911</v>
      </c>
      <c r="G211" s="299">
        <f t="shared" si="48"/>
        <v>0</v>
      </c>
    </row>
    <row r="212" spans="2:11" x14ac:dyDescent="0.2">
      <c r="B212" s="204" t="s">
        <v>443</v>
      </c>
      <c r="C212" s="252">
        <f>AY114</f>
        <v>22180.060594503899</v>
      </c>
      <c r="E212" s="252">
        <f t="shared" si="47"/>
        <v>22180.060594503899</v>
      </c>
      <c r="G212" s="299">
        <f t="shared" si="48"/>
        <v>0</v>
      </c>
    </row>
    <row r="213" spans="2:11" x14ac:dyDescent="0.2">
      <c r="B213" s="204" t="s">
        <v>438</v>
      </c>
      <c r="C213" s="252">
        <f>AZ114</f>
        <v>871.24978294618404</v>
      </c>
      <c r="E213" s="252">
        <f t="shared" si="47"/>
        <v>871.24978294618427</v>
      </c>
      <c r="G213" s="299">
        <f t="shared" si="48"/>
        <v>0</v>
      </c>
    </row>
    <row r="214" spans="2:11" x14ac:dyDescent="0.2">
      <c r="B214" s="204" t="s">
        <v>458</v>
      </c>
      <c r="C214" s="252">
        <f>BA114</f>
        <v>69.582675758133661</v>
      </c>
      <c r="E214" s="252">
        <f t="shared" si="47"/>
        <v>69.582675758133661</v>
      </c>
      <c r="G214" s="299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99">
        <f t="shared" si="48"/>
        <v>0</v>
      </c>
    </row>
    <row r="216" spans="2:11" x14ac:dyDescent="0.2">
      <c r="B216" s="204" t="s">
        <v>429</v>
      </c>
      <c r="C216" s="252">
        <f>BC114</f>
        <v>4279.0381493012774</v>
      </c>
      <c r="D216" s="171"/>
      <c r="E216" s="252">
        <f t="shared" si="47"/>
        <v>4279.0381493012765</v>
      </c>
      <c r="G216" s="299">
        <f t="shared" si="48"/>
        <v>0</v>
      </c>
    </row>
    <row r="217" spans="2:11" x14ac:dyDescent="0.2">
      <c r="B217" s="206"/>
      <c r="C217" s="171" t="s">
        <v>470</v>
      </c>
      <c r="D217" s="171"/>
      <c r="E217" s="171" t="s">
        <v>467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opLeftCell="A147" zoomScale="87" workbookViewId="0">
      <selection activeCell="AO86" sqref="AO86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671</v>
      </c>
      <c r="AO1" s="260"/>
      <c r="AP1" s="207" t="s">
        <v>417</v>
      </c>
      <c r="AQ1" s="207" t="s">
        <v>418</v>
      </c>
      <c r="AR1" s="207" t="s">
        <v>419</v>
      </c>
      <c r="AS1" s="207" t="s">
        <v>568</v>
      </c>
      <c r="AT1" s="207" t="s">
        <v>547</v>
      </c>
      <c r="AU1" s="207" t="s">
        <v>546</v>
      </c>
      <c r="AV1" s="207" t="s">
        <v>445</v>
      </c>
      <c r="AW1" s="207" t="s">
        <v>442</v>
      </c>
      <c r="AX1" s="207" t="s">
        <v>460</v>
      </c>
      <c r="AY1" s="207" t="s">
        <v>443</v>
      </c>
      <c r="AZ1" s="207" t="s">
        <v>438</v>
      </c>
      <c r="BA1" s="207" t="s">
        <v>458</v>
      </c>
      <c r="BB1" s="207" t="s">
        <v>81</v>
      </c>
      <c r="BC1" s="207" t="s">
        <v>429</v>
      </c>
      <c r="BH1" s="260"/>
      <c r="BI1" s="207" t="s">
        <v>417</v>
      </c>
      <c r="BJ1" s="207" t="s">
        <v>418</v>
      </c>
      <c r="BK1" s="207" t="s">
        <v>419</v>
      </c>
      <c r="BL1" s="207" t="s">
        <v>568</v>
      </c>
      <c r="BM1" s="207" t="s">
        <v>547</v>
      </c>
      <c r="BN1" s="207" t="s">
        <v>546</v>
      </c>
      <c r="BO1" s="207" t="s">
        <v>445</v>
      </c>
      <c r="BP1" s="207" t="s">
        <v>442</v>
      </c>
      <c r="BQ1" s="207" t="s">
        <v>460</v>
      </c>
      <c r="BR1" s="207" t="s">
        <v>443</v>
      </c>
      <c r="BS1" s="207" t="s">
        <v>438</v>
      </c>
      <c r="BT1" s="207" t="s">
        <v>458</v>
      </c>
      <c r="BU1" s="207" t="s">
        <v>81</v>
      </c>
      <c r="BV1" s="207" t="s">
        <v>429</v>
      </c>
    </row>
    <row r="2" spans="2:74" x14ac:dyDescent="0.2">
      <c r="B2" s="204" t="s">
        <v>425</v>
      </c>
      <c r="C2" s="284">
        <v>1</v>
      </c>
      <c r="AO2" s="204" t="s">
        <v>425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425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427</v>
      </c>
      <c r="C3" s="284">
        <v>1</v>
      </c>
      <c r="AO3" s="204" t="s">
        <v>427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427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428</v>
      </c>
      <c r="C4" s="284">
        <v>1</v>
      </c>
      <c r="AO4" s="204" t="s">
        <v>428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428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449</v>
      </c>
      <c r="C5" s="284">
        <v>1</v>
      </c>
      <c r="AO5" s="204" t="s">
        <v>449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449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479</v>
      </c>
      <c r="C6" s="284">
        <v>1</v>
      </c>
      <c r="AO6" s="204" t="s">
        <v>479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479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579</v>
      </c>
      <c r="C7" s="284">
        <v>1</v>
      </c>
      <c r="AO7" s="204" t="s">
        <v>579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579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580</v>
      </c>
      <c r="C8" s="284">
        <v>1</v>
      </c>
      <c r="AO8" s="204" t="s">
        <v>580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580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521</v>
      </c>
      <c r="C9" s="284">
        <v>1</v>
      </c>
      <c r="AO9" s="204" t="s">
        <v>521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521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572</v>
      </c>
      <c r="C10" s="284">
        <v>1</v>
      </c>
      <c r="AO10" s="204" t="s">
        <v>572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572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554</v>
      </c>
      <c r="C11" s="284">
        <v>1</v>
      </c>
      <c r="AO11" s="205" t="s">
        <v>554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554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519</v>
      </c>
      <c r="C12" s="284">
        <v>1</v>
      </c>
      <c r="AO12" s="204" t="s">
        <v>519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519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522</v>
      </c>
      <c r="C13" s="284">
        <v>1</v>
      </c>
      <c r="AO13" s="205" t="s">
        <v>522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522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549</v>
      </c>
      <c r="C14" s="284">
        <v>1</v>
      </c>
      <c r="AO14" s="204" t="s">
        <v>549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549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541</v>
      </c>
      <c r="C15" s="284">
        <v>1</v>
      </c>
      <c r="AO15" s="206" t="s">
        <v>541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541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526</v>
      </c>
      <c r="C16" s="284">
        <v>1</v>
      </c>
      <c r="AO16" s="204" t="s">
        <v>526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526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553</v>
      </c>
      <c r="C17" s="284">
        <v>1</v>
      </c>
      <c r="AO17" s="205" t="s">
        <v>553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553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548</v>
      </c>
      <c r="C18" s="284">
        <v>1</v>
      </c>
      <c r="AO18" s="205" t="s">
        <v>548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548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545</v>
      </c>
      <c r="C19" s="284">
        <v>1</v>
      </c>
      <c r="AO19" s="205" t="s">
        <v>545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545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551</v>
      </c>
      <c r="C20" s="284">
        <v>1</v>
      </c>
      <c r="AO20" s="205" t="s">
        <v>551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551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550</v>
      </c>
      <c r="C21" s="284">
        <v>1</v>
      </c>
      <c r="AO21" s="206" t="s">
        <v>550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550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534</v>
      </c>
      <c r="C22" s="284">
        <v>1</v>
      </c>
      <c r="AO22" s="206" t="s">
        <v>534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534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569</v>
      </c>
      <c r="C23" s="284">
        <v>1</v>
      </c>
      <c r="AO23" s="206" t="s">
        <v>569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569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535</v>
      </c>
      <c r="C24" s="284">
        <v>1</v>
      </c>
      <c r="AO24" s="206" t="s">
        <v>535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535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537</v>
      </c>
      <c r="C25" s="284">
        <v>1</v>
      </c>
      <c r="AO25" s="206" t="s">
        <v>537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537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536</v>
      </c>
      <c r="C26" s="284">
        <v>1</v>
      </c>
      <c r="AO26" s="206" t="s">
        <v>536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536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635</v>
      </c>
      <c r="C27" s="284">
        <v>1</v>
      </c>
      <c r="AO27" s="206" t="s">
        <v>635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635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532</v>
      </c>
      <c r="C28" s="284">
        <v>1</v>
      </c>
      <c r="AO28" s="253" t="s">
        <v>532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532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531</v>
      </c>
      <c r="C29" s="284">
        <v>1</v>
      </c>
      <c r="AO29" s="206" t="s">
        <v>531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531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533</v>
      </c>
      <c r="C30" s="284">
        <v>1</v>
      </c>
      <c r="AO30" s="204" t="s">
        <v>533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533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529</v>
      </c>
      <c r="C31" s="284">
        <v>1</v>
      </c>
      <c r="AO31" s="206" t="s">
        <v>529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529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557</v>
      </c>
      <c r="C32" s="284">
        <v>1</v>
      </c>
      <c r="AO32" s="206" t="s">
        <v>557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557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558</v>
      </c>
      <c r="C33" s="284">
        <v>1</v>
      </c>
      <c r="AO33" s="206" t="s">
        <v>558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558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559</v>
      </c>
      <c r="C34" s="284">
        <v>1</v>
      </c>
      <c r="AO34" s="206" t="s">
        <v>559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559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570</v>
      </c>
      <c r="C35" s="284">
        <v>1</v>
      </c>
      <c r="AO35" s="206" t="s">
        <v>570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570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586</v>
      </c>
      <c r="AO36" s="206"/>
      <c r="AP36" s="385" t="s">
        <v>583</v>
      </c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H36" s="206"/>
      <c r="BI36" s="385" t="s">
        <v>584</v>
      </c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417</v>
      </c>
      <c r="AQ39" s="207" t="s">
        <v>418</v>
      </c>
      <c r="AR39" s="207" t="s">
        <v>419</v>
      </c>
      <c r="AS39" s="207" t="s">
        <v>568</v>
      </c>
      <c r="AT39" s="207" t="s">
        <v>547</v>
      </c>
      <c r="AU39" s="207" t="s">
        <v>546</v>
      </c>
      <c r="AV39" s="207" t="s">
        <v>445</v>
      </c>
      <c r="AW39" s="207" t="s">
        <v>442</v>
      </c>
      <c r="AX39" s="207" t="s">
        <v>460</v>
      </c>
      <c r="AY39" s="207" t="s">
        <v>443</v>
      </c>
      <c r="AZ39" s="207" t="s">
        <v>438</v>
      </c>
      <c r="BA39" s="207" t="s">
        <v>458</v>
      </c>
      <c r="BB39" s="207" t="s">
        <v>81</v>
      </c>
      <c r="BC39" s="207" t="s">
        <v>429</v>
      </c>
    </row>
    <row r="40" spans="2:74" x14ac:dyDescent="0.2">
      <c r="AO40" s="204" t="s">
        <v>425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427</v>
      </c>
      <c r="AP41" s="284">
        <f t="shared" ref="AP41:BC56" si="1">AP80</f>
        <v>0</v>
      </c>
      <c r="AQ41" s="284">
        <f t="shared" si="1"/>
        <v>-25062.103433021839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428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449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479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579</v>
      </c>
      <c r="AP45" s="284">
        <f t="shared" si="1"/>
        <v>42600</v>
      </c>
      <c r="AQ45" s="284">
        <f t="shared" si="1"/>
        <v>42600</v>
      </c>
      <c r="AR45" s="284">
        <f t="shared" si="1"/>
        <v>42600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580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521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39500</v>
      </c>
    </row>
    <row r="48" spans="2:74" x14ac:dyDescent="0.2">
      <c r="AO48" s="204" t="s">
        <v>572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554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519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522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-25062.103433021839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549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541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526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553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548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-25062.103433021839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545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551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550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534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-25062.103433021839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569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535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537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536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635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532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-11018.295313636119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531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533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529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557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558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559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570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85" t="s">
        <v>585</v>
      </c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5"/>
    </row>
    <row r="78" spans="32:63" ht="112" x14ac:dyDescent="0.2">
      <c r="AO78" s="260"/>
      <c r="AP78" s="207" t="s">
        <v>417</v>
      </c>
      <c r="AQ78" s="207" t="s">
        <v>418</v>
      </c>
      <c r="AR78" s="207" t="s">
        <v>419</v>
      </c>
      <c r="AS78" s="207" t="s">
        <v>568</v>
      </c>
      <c r="AT78" s="207" t="s">
        <v>547</v>
      </c>
      <c r="AU78" s="207" t="s">
        <v>546</v>
      </c>
      <c r="AV78" s="207" t="s">
        <v>445</v>
      </c>
      <c r="AW78" s="207" t="s">
        <v>442</v>
      </c>
      <c r="AX78" s="207" t="s">
        <v>460</v>
      </c>
      <c r="AY78" s="207" t="s">
        <v>443</v>
      </c>
      <c r="AZ78" s="207" t="s">
        <v>438</v>
      </c>
      <c r="BA78" s="207" t="s">
        <v>458</v>
      </c>
      <c r="BB78" s="207" t="s">
        <v>81</v>
      </c>
      <c r="BC78" s="207" t="s">
        <v>429</v>
      </c>
      <c r="BH78" s="207"/>
      <c r="BI78" s="207" t="s">
        <v>423</v>
      </c>
      <c r="BJ78" s="207" t="s">
        <v>356</v>
      </c>
    </row>
    <row r="79" spans="32:63" x14ac:dyDescent="0.2">
      <c r="AF79" s="204"/>
      <c r="AO79" s="204" t="s">
        <v>425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425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427</v>
      </c>
      <c r="AP80" s="230"/>
      <c r="AQ80" s="230">
        <f>'Ore-&gt;PI'!O132</f>
        <v>-25062.103433021839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-25062.103433021839</v>
      </c>
      <c r="BH80" s="204" t="s">
        <v>427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428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428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449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449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479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479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579</v>
      </c>
      <c r="AP84" s="230">
        <f>'Ore-&gt;PI'!O64</f>
        <v>42600</v>
      </c>
      <c r="AQ84" s="230">
        <f>'Ore-&gt;PI'!O145</f>
        <v>42600</v>
      </c>
      <c r="AR84" s="230">
        <f>'Ore-&gt;PI'!O227</f>
        <v>42600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127800</v>
      </c>
      <c r="BH84" s="204" t="s">
        <v>579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580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580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521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39500</v>
      </c>
      <c r="BD86" s="252">
        <f t="shared" si="4"/>
        <v>39500</v>
      </c>
      <c r="BH86" s="204" t="s">
        <v>521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572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572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554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554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519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519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522</v>
      </c>
      <c r="AP90" s="230"/>
      <c r="AQ90" s="230"/>
      <c r="AR90" s="230"/>
      <c r="AS90" s="230"/>
      <c r="AT90" s="230">
        <f>'Ore-&gt;PI'!AI132</f>
        <v>-25062.103433021839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-25062.103433021839</v>
      </c>
      <c r="BH90" s="205" t="s">
        <v>522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549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549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541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541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526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526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553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553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548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-25062.103433021839</v>
      </c>
      <c r="AX95" s="230"/>
      <c r="AY95" s="230"/>
      <c r="AZ95" s="230"/>
      <c r="BA95" s="230"/>
      <c r="BB95" s="230"/>
      <c r="BC95" s="230"/>
      <c r="BD95" s="252">
        <f t="shared" si="4"/>
        <v>-25062.103433021839</v>
      </c>
      <c r="BH95" s="205" t="s">
        <v>548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545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545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551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551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550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550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534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-25062.103433021839</v>
      </c>
      <c r="AZ99" s="230"/>
      <c r="BA99" s="230"/>
      <c r="BB99" s="230"/>
      <c r="BC99" s="230"/>
      <c r="BD99" s="252">
        <f t="shared" si="4"/>
        <v>-25062.103433021839</v>
      </c>
      <c r="BH99" s="206" t="s">
        <v>534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569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569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535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535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537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537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536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536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635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635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532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-11018.295313636119</v>
      </c>
      <c r="BB105" s="230"/>
      <c r="BC105" s="230"/>
      <c r="BD105" s="252">
        <f t="shared" si="4"/>
        <v>-11018.295313636119</v>
      </c>
      <c r="BH105" s="253" t="s">
        <v>532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531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531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533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533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529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529</v>
      </c>
      <c r="BI108" s="244">
        <f>'Ore-&gt;PI'!EQ241</f>
        <v>1.604276E-2</v>
      </c>
      <c r="BJ108" s="244"/>
      <c r="BK108" s="252">
        <f t="shared" si="5"/>
        <v>1.604276E-2</v>
      </c>
    </row>
    <row r="109" spans="32:63" x14ac:dyDescent="0.2">
      <c r="AF109" s="206"/>
      <c r="AO109" s="206" t="s">
        <v>557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557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558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558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559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559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570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570</v>
      </c>
      <c r="BI112" s="244"/>
      <c r="BJ112" s="244">
        <f>'Ore-&gt;PI'!FF109</f>
        <v>0</v>
      </c>
      <c r="BK112" s="252">
        <f t="shared" si="5"/>
        <v>0</v>
      </c>
    </row>
    <row r="113" spans="2:63" x14ac:dyDescent="0.2">
      <c r="AF113" s="206"/>
      <c r="AO113" s="206"/>
      <c r="AP113" s="385" t="s">
        <v>420</v>
      </c>
      <c r="AQ113" s="385"/>
      <c r="AR113" s="385"/>
      <c r="AS113" s="385"/>
      <c r="AT113" s="385"/>
      <c r="AU113" s="385"/>
      <c r="AV113" s="385"/>
      <c r="AW113" s="385"/>
      <c r="AX113" s="385"/>
      <c r="AY113" s="385"/>
      <c r="AZ113" s="385"/>
      <c r="BA113" s="385"/>
      <c r="BB113" s="385"/>
      <c r="BC113" s="385"/>
      <c r="BD113" s="25" t="s">
        <v>471</v>
      </c>
      <c r="BI113" s="385" t="s">
        <v>422</v>
      </c>
      <c r="BJ113" s="385"/>
      <c r="BK113" s="25" t="s">
        <v>486</v>
      </c>
    </row>
    <row r="114" spans="2:63" x14ac:dyDescent="0.2">
      <c r="AF114" s="206"/>
      <c r="AO114" s="206"/>
      <c r="AP114" s="252">
        <f>SUM(AP79:AP112)</f>
        <v>2822.4392142321522</v>
      </c>
      <c r="AQ114" s="252">
        <f>SUM(AQ79:AQ112)</f>
        <v>15348.47184729631</v>
      </c>
      <c r="AR114" s="252">
        <f>SUM(AR79:AR112)</f>
        <v>2995.8065494463153</v>
      </c>
      <c r="AS114" s="252">
        <f t="shared" ref="AS114:BC114" si="6">SUM(AS79:AS112)</f>
        <v>-39777.560785767848</v>
      </c>
      <c r="AT114" s="252">
        <f t="shared" si="6"/>
        <v>-25062.103433021839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-25062.103433021839</v>
      </c>
      <c r="AX114" s="252">
        <f t="shared" si="6"/>
        <v>-39604.193450553685</v>
      </c>
      <c r="AY114" s="252">
        <f t="shared" si="6"/>
        <v>-25062.08739026184</v>
      </c>
      <c r="AZ114" s="252">
        <f t="shared" si="6"/>
        <v>-39604.161365033688</v>
      </c>
      <c r="BA114" s="252">
        <f t="shared" si="6"/>
        <v>-11018.295313636119</v>
      </c>
      <c r="BB114" s="252">
        <f t="shared" si="6"/>
        <v>-31640.197378233519</v>
      </c>
      <c r="BC114" s="252">
        <f t="shared" si="6"/>
        <v>7859.8347072864781</v>
      </c>
      <c r="BI114" s="25"/>
      <c r="BJ114" s="25"/>
    </row>
    <row r="115" spans="2:63" ht="13" customHeight="1" x14ac:dyDescent="0.2">
      <c r="C115" s="386"/>
      <c r="D115" s="38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85" t="s">
        <v>470</v>
      </c>
      <c r="AQ115" s="385"/>
      <c r="AR115" s="385"/>
      <c r="AS115" s="385"/>
      <c r="AT115" s="385"/>
      <c r="AU115" s="385"/>
      <c r="AV115" s="385"/>
      <c r="AW115" s="385"/>
      <c r="AX115" s="385"/>
      <c r="AY115" s="385"/>
      <c r="AZ115" s="385"/>
      <c r="BA115" s="385"/>
      <c r="BB115" s="385"/>
      <c r="BC115" s="385"/>
      <c r="BI115" s="25"/>
      <c r="BJ115" s="25"/>
    </row>
    <row r="116" spans="2:63" ht="236" x14ac:dyDescent="0.2">
      <c r="B116" s="240"/>
      <c r="C116" s="207" t="s">
        <v>425</v>
      </c>
      <c r="D116" s="207" t="s">
        <v>427</v>
      </c>
      <c r="E116" s="207" t="s">
        <v>428</v>
      </c>
      <c r="F116" s="207" t="s">
        <v>449</v>
      </c>
      <c r="G116" s="207" t="s">
        <v>479</v>
      </c>
      <c r="H116" s="207" t="s">
        <v>517</v>
      </c>
      <c r="I116" s="207" t="s">
        <v>579</v>
      </c>
      <c r="J116" s="207" t="s">
        <v>580</v>
      </c>
      <c r="K116" s="207" t="s">
        <v>572</v>
      </c>
      <c r="L116" s="209" t="s">
        <v>554</v>
      </c>
      <c r="M116" s="207" t="s">
        <v>519</v>
      </c>
      <c r="N116" s="209" t="s">
        <v>522</v>
      </c>
      <c r="O116" s="207" t="s">
        <v>549</v>
      </c>
      <c r="P116" s="210" t="s">
        <v>541</v>
      </c>
      <c r="Q116" s="207" t="s">
        <v>526</v>
      </c>
      <c r="R116" s="209" t="s">
        <v>553</v>
      </c>
      <c r="S116" s="209" t="s">
        <v>548</v>
      </c>
      <c r="T116" s="209" t="s">
        <v>545</v>
      </c>
      <c r="U116" s="209" t="s">
        <v>551</v>
      </c>
      <c r="V116" s="210" t="s">
        <v>550</v>
      </c>
      <c r="W116" s="210" t="s">
        <v>534</v>
      </c>
      <c r="X116" s="210" t="s">
        <v>569</v>
      </c>
      <c r="Y116" s="210" t="s">
        <v>535</v>
      </c>
      <c r="Z116" s="210" t="s">
        <v>537</v>
      </c>
      <c r="AA116" s="210" t="s">
        <v>536</v>
      </c>
      <c r="AB116" s="210" t="s">
        <v>635</v>
      </c>
      <c r="AC116" s="232" t="s">
        <v>532</v>
      </c>
      <c r="AD116" s="210" t="s">
        <v>531</v>
      </c>
      <c r="AE116" s="207" t="s">
        <v>533</v>
      </c>
      <c r="AF116" s="210" t="s">
        <v>529</v>
      </c>
      <c r="AG116" s="210" t="s">
        <v>557</v>
      </c>
      <c r="AH116" s="210" t="s">
        <v>558</v>
      </c>
      <c r="AI116" s="210" t="s">
        <v>559</v>
      </c>
      <c r="AJ116" s="210" t="s">
        <v>570</v>
      </c>
    </row>
    <row r="117" spans="2:63" x14ac:dyDescent="0.2">
      <c r="B117" s="204" t="s">
        <v>417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418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-25062.103433021839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-47425.233402198639</v>
      </c>
    </row>
    <row r="119" spans="2:63" x14ac:dyDescent="0.2">
      <c r="B119" s="204" t="s">
        <v>419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568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547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-25062.103433021839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-25062.103433021839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546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445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442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-25062.103433021839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-25062.103433021839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460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443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438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-11018.295313636119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-103065.6187333666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458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429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0</v>
      </c>
      <c r="AK130" s="252">
        <f t="shared" si="7"/>
        <v>-22363.1299691768</v>
      </c>
    </row>
    <row r="131" spans="2:38" x14ac:dyDescent="0.2">
      <c r="B131" s="204"/>
      <c r="C131" s="385" t="s">
        <v>421</v>
      </c>
      <c r="D131" s="385"/>
      <c r="E131" s="385"/>
      <c r="F131" s="385"/>
      <c r="G131" s="385"/>
      <c r="H131" s="385"/>
      <c r="I131" s="385"/>
      <c r="J131" s="385"/>
      <c r="K131" s="385"/>
      <c r="L131" s="385"/>
      <c r="M131" s="385"/>
      <c r="N131" s="385"/>
      <c r="O131" s="385"/>
      <c r="P131" s="385"/>
      <c r="Q131" s="385"/>
      <c r="R131" s="385"/>
      <c r="S131" s="385"/>
      <c r="T131" s="385"/>
      <c r="U131" s="385"/>
      <c r="V131" s="385"/>
      <c r="W131" s="385"/>
      <c r="X131" s="385"/>
      <c r="Y131" s="385"/>
      <c r="Z131" s="385"/>
      <c r="AA131" s="385"/>
      <c r="AB131" s="385"/>
      <c r="AC131" s="385"/>
      <c r="AD131" s="385"/>
      <c r="AE131" s="385"/>
      <c r="AF131" s="385"/>
      <c r="AG131" s="385"/>
      <c r="AH131" s="385"/>
      <c r="AI131" s="385"/>
      <c r="AJ131" s="385"/>
      <c r="AK131" s="25" t="s">
        <v>467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-25062.103433021839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-25062.103433021839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-25062.103433021839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-11018.295313636119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0</v>
      </c>
    </row>
    <row r="133" spans="2:38" x14ac:dyDescent="0.2">
      <c r="B133" s="204"/>
      <c r="C133" s="385" t="s">
        <v>468</v>
      </c>
      <c r="D133" s="385"/>
      <c r="E133" s="385"/>
      <c r="F133" s="385"/>
      <c r="G133" s="385"/>
      <c r="H133" s="385"/>
      <c r="I133" s="385"/>
      <c r="J133" s="385"/>
      <c r="K133" s="385"/>
      <c r="L133" s="385"/>
      <c r="M133" s="385"/>
      <c r="N133" s="385"/>
      <c r="O133" s="385"/>
      <c r="P133" s="385"/>
      <c r="Q133" s="385"/>
      <c r="R133" s="385"/>
      <c r="S133" s="385"/>
      <c r="T133" s="385"/>
      <c r="U133" s="385"/>
      <c r="V133" s="385"/>
      <c r="W133" s="385"/>
      <c r="X133" s="385"/>
      <c r="Y133" s="385"/>
      <c r="Z133" s="385"/>
      <c r="AA133" s="385"/>
      <c r="AB133" s="385"/>
      <c r="AC133" s="385"/>
      <c r="AD133" s="385"/>
      <c r="AE133" s="385"/>
      <c r="AF133" s="385"/>
      <c r="AG133" s="385"/>
      <c r="AH133" s="385"/>
      <c r="AI133" s="385"/>
      <c r="AJ133" s="38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425</v>
      </c>
      <c r="D144" s="207" t="s">
        <v>427</v>
      </c>
      <c r="E144" s="207" t="s">
        <v>428</v>
      </c>
      <c r="F144" s="207" t="s">
        <v>449</v>
      </c>
      <c r="G144" s="207" t="s">
        <v>479</v>
      </c>
      <c r="H144" s="207" t="s">
        <v>517</v>
      </c>
      <c r="I144" s="207" t="s">
        <v>579</v>
      </c>
      <c r="J144" s="207" t="s">
        <v>580</v>
      </c>
      <c r="K144" s="207" t="s">
        <v>572</v>
      </c>
      <c r="L144" s="209" t="s">
        <v>554</v>
      </c>
      <c r="M144" s="207" t="s">
        <v>519</v>
      </c>
      <c r="N144" s="209" t="s">
        <v>522</v>
      </c>
      <c r="O144" s="207" t="s">
        <v>549</v>
      </c>
      <c r="P144" s="210" t="s">
        <v>541</v>
      </c>
      <c r="Q144" s="207" t="s">
        <v>526</v>
      </c>
      <c r="R144" s="209" t="s">
        <v>553</v>
      </c>
      <c r="S144" s="209" t="s">
        <v>548</v>
      </c>
      <c r="T144" s="209" t="s">
        <v>545</v>
      </c>
      <c r="U144" s="209" t="s">
        <v>551</v>
      </c>
      <c r="V144" s="210" t="s">
        <v>550</v>
      </c>
      <c r="W144" s="210" t="s">
        <v>534</v>
      </c>
      <c r="X144" s="210" t="s">
        <v>569</v>
      </c>
      <c r="Y144" s="210" t="s">
        <v>535</v>
      </c>
      <c r="Z144" s="210" t="s">
        <v>537</v>
      </c>
      <c r="AA144" s="210" t="s">
        <v>536</v>
      </c>
      <c r="AB144" s="210" t="s">
        <v>635</v>
      </c>
      <c r="AC144" s="232" t="s">
        <v>532</v>
      </c>
      <c r="AD144" s="210" t="s">
        <v>531</v>
      </c>
      <c r="AE144" s="207" t="s">
        <v>533</v>
      </c>
      <c r="AF144" s="210" t="s">
        <v>529</v>
      </c>
      <c r="AG144" s="210" t="s">
        <v>557</v>
      </c>
      <c r="AH144" s="210" t="s">
        <v>558</v>
      </c>
      <c r="AI144" s="210" t="s">
        <v>559</v>
      </c>
      <c r="AJ144" s="210" t="s">
        <v>570</v>
      </c>
      <c r="AK144" s="210"/>
      <c r="AL144" s="210"/>
    </row>
    <row r="145" spans="2:42" x14ac:dyDescent="0.2">
      <c r="B145" s="204" t="s">
        <v>424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426</v>
      </c>
      <c r="C146" s="244"/>
      <c r="D146" s="244">
        <f>'Ore-&gt;PI'!O132</f>
        <v>-25062.103433021839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450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485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478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582</v>
      </c>
      <c r="C150" s="244"/>
      <c r="D150" s="244"/>
      <c r="E150" s="244"/>
      <c r="F150" s="244"/>
      <c r="G150" s="244"/>
      <c r="H150" s="244">
        <f>'Ore-&gt;PI'!O227+'Ore-&gt;PI'!O145+'Ore-&gt;PI'!O64</f>
        <v>127800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581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520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39500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571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85" t="s">
        <v>57</v>
      </c>
      <c r="D154" s="385"/>
      <c r="E154" s="385"/>
      <c r="F154" s="385"/>
      <c r="G154" s="385"/>
      <c r="H154" s="385"/>
      <c r="I154" s="385"/>
      <c r="J154" s="385"/>
      <c r="K154" s="385"/>
      <c r="L154" s="385"/>
      <c r="M154" s="385"/>
      <c r="N154" s="385"/>
      <c r="O154" s="385"/>
      <c r="P154" s="385"/>
      <c r="Q154" s="385"/>
      <c r="R154" s="385"/>
      <c r="S154" s="385"/>
      <c r="T154" s="385"/>
      <c r="U154" s="385"/>
      <c r="V154" s="385"/>
      <c r="W154" s="385"/>
      <c r="X154" s="385"/>
      <c r="Y154" s="385"/>
      <c r="Z154" s="385"/>
      <c r="AA154" s="385"/>
      <c r="AB154" s="385"/>
      <c r="AC154" s="385"/>
      <c r="AD154" s="385"/>
      <c r="AE154" s="385"/>
      <c r="AF154" s="385"/>
      <c r="AG154" s="385"/>
      <c r="AH154" s="385"/>
      <c r="AI154" s="385"/>
      <c r="AJ154" s="385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-25062.103433021839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127800</v>
      </c>
      <c r="I155" s="252">
        <f t="shared" si="9"/>
        <v>-2189.4247196818515</v>
      </c>
      <c r="J155" s="252">
        <f t="shared" si="9"/>
        <v>39500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85" t="s">
        <v>469</v>
      </c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5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25"/>
      <c r="AL156" s="25"/>
    </row>
    <row r="160" spans="2:42" x14ac:dyDescent="0.2">
      <c r="C160" s="385" t="s">
        <v>466</v>
      </c>
      <c r="D160" s="385"/>
      <c r="E160" s="385"/>
      <c r="F160" s="385"/>
      <c r="G160" s="385"/>
      <c r="H160" s="385"/>
      <c r="I160" s="385"/>
      <c r="J160" s="385"/>
      <c r="K160" s="385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425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427</v>
      </c>
      <c r="C164" s="252">
        <f>D155</f>
        <v>-25062.103433021839</v>
      </c>
      <c r="E164" s="252">
        <v>0</v>
      </c>
      <c r="G164" s="252">
        <f t="shared" si="10"/>
        <v>-25062.103433021839</v>
      </c>
      <c r="I164" s="252">
        <v>0</v>
      </c>
      <c r="K164" s="299">
        <f>C164+E164-G164-I164</f>
        <v>0</v>
      </c>
    </row>
    <row r="165" spans="2:11" x14ac:dyDescent="0.2">
      <c r="B165" s="204" t="s">
        <v>428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449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479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517</v>
      </c>
      <c r="C168" s="252">
        <f>H155</f>
        <v>127800</v>
      </c>
      <c r="E168" s="252">
        <v>0</v>
      </c>
      <c r="G168" s="252">
        <f t="shared" si="10"/>
        <v>127800</v>
      </c>
      <c r="I168" s="252">
        <v>0</v>
      </c>
      <c r="K168" s="299">
        <f t="shared" si="11"/>
        <v>0</v>
      </c>
    </row>
    <row r="169" spans="2:11" x14ac:dyDescent="0.2">
      <c r="B169" s="204" t="s">
        <v>518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521</v>
      </c>
      <c r="C170" s="252">
        <f>J155</f>
        <v>39500</v>
      </c>
      <c r="E170" s="252">
        <v>0</v>
      </c>
      <c r="G170" s="252">
        <f t="shared" si="10"/>
        <v>39500</v>
      </c>
      <c r="I170" s="252">
        <v>0</v>
      </c>
      <c r="K170" s="299">
        <f t="shared" si="11"/>
        <v>0</v>
      </c>
    </row>
    <row r="171" spans="2:11" x14ac:dyDescent="0.2">
      <c r="B171" s="204" t="s">
        <v>572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554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519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522</v>
      </c>
      <c r="C174" s="252">
        <f>N155</f>
        <v>0</v>
      </c>
      <c r="E174" s="252">
        <v>-25062.103433021839</v>
      </c>
      <c r="G174" s="252">
        <f t="shared" si="10"/>
        <v>-25062.103433021839</v>
      </c>
      <c r="I174" s="252">
        <v>0</v>
      </c>
      <c r="K174" s="299">
        <f t="shared" si="11"/>
        <v>0</v>
      </c>
    </row>
    <row r="175" spans="2:11" x14ac:dyDescent="0.2">
      <c r="B175" s="204" t="s">
        <v>549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541</v>
      </c>
      <c r="C176" s="252">
        <f>P155</f>
        <v>0</v>
      </c>
      <c r="D176" s="259" t="s">
        <v>473</v>
      </c>
      <c r="E176" s="252">
        <v>-39604.193450553685</v>
      </c>
      <c r="F176" s="171" t="s">
        <v>475</v>
      </c>
      <c r="G176" s="252">
        <f t="shared" si="10"/>
        <v>-39604.193450553685</v>
      </c>
      <c r="H176" s="171" t="s">
        <v>475</v>
      </c>
      <c r="I176" s="252">
        <v>0</v>
      </c>
      <c r="J176" s="259" t="s">
        <v>476</v>
      </c>
      <c r="K176" s="299">
        <f t="shared" si="11"/>
        <v>0</v>
      </c>
    </row>
    <row r="177" spans="2:18" x14ac:dyDescent="0.2">
      <c r="B177" s="204" t="s">
        <v>526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553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548</v>
      </c>
      <c r="C179" s="252">
        <f>S155</f>
        <v>0</v>
      </c>
      <c r="E179" s="252">
        <v>-25062.103433021839</v>
      </c>
      <c r="G179" s="252">
        <f t="shared" si="10"/>
        <v>-25062.103433021839</v>
      </c>
      <c r="I179" s="252">
        <v>0</v>
      </c>
      <c r="K179" s="299">
        <f t="shared" si="11"/>
        <v>0</v>
      </c>
    </row>
    <row r="180" spans="2:18" ht="16" x14ac:dyDescent="0.2">
      <c r="B180" s="205" t="s">
        <v>545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551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550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534</v>
      </c>
      <c r="C183" s="252">
        <f>W155</f>
        <v>0</v>
      </c>
      <c r="E183" s="252">
        <v>-25062.103433021839</v>
      </c>
      <c r="G183" s="252">
        <f t="shared" si="10"/>
        <v>-25062.103433021839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569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535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537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536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635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532</v>
      </c>
      <c r="C189" s="252">
        <f>AC155</f>
        <v>0</v>
      </c>
      <c r="E189" s="252">
        <v>-11018.295313636119</v>
      </c>
      <c r="G189" s="252">
        <f t="shared" si="10"/>
        <v>-11018.295313636119</v>
      </c>
      <c r="I189" s="252">
        <v>0</v>
      </c>
      <c r="K189" s="299">
        <f t="shared" si="11"/>
        <v>0</v>
      </c>
    </row>
    <row r="190" spans="2:18" x14ac:dyDescent="0.2">
      <c r="B190" s="206" t="s">
        <v>531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533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529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557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558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559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570</v>
      </c>
      <c r="C196" s="252">
        <f>AJ155</f>
        <v>0</v>
      </c>
      <c r="E196" s="252">
        <v>0</v>
      </c>
      <c r="G196" s="252">
        <f t="shared" si="10"/>
        <v>0</v>
      </c>
      <c r="I196" s="252">
        <v>0</v>
      </c>
      <c r="K196" s="299">
        <f t="shared" si="11"/>
        <v>0</v>
      </c>
    </row>
    <row r="197" spans="2:19" ht="17" x14ac:dyDescent="0.2">
      <c r="B197" s="206"/>
      <c r="C197" s="3" t="s">
        <v>472</v>
      </c>
      <c r="E197" s="3" t="s">
        <v>474</v>
      </c>
      <c r="G197" s="25" t="s">
        <v>471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85" t="s">
        <v>477</v>
      </c>
      <c r="D200" s="385"/>
      <c r="E200" s="385"/>
      <c r="F200" s="385"/>
      <c r="G200" s="385"/>
      <c r="L200" s="245"/>
      <c r="M200" s="245"/>
    </row>
    <row r="203" spans="2:19" x14ac:dyDescent="0.2">
      <c r="B203" s="204" t="s">
        <v>417</v>
      </c>
      <c r="C203" s="252">
        <f>AP114</f>
        <v>2822.4392142321522</v>
      </c>
      <c r="E203" s="252">
        <f>AK117</f>
        <v>-62140.690754944648</v>
      </c>
      <c r="G203" s="299">
        <f>C203-E203</f>
        <v>64963.1299691768</v>
      </c>
    </row>
    <row r="204" spans="2:19" x14ac:dyDescent="0.2">
      <c r="B204" s="204" t="s">
        <v>418</v>
      </c>
      <c r="C204" s="252">
        <f>AQ114</f>
        <v>15348.47184729631</v>
      </c>
      <c r="E204" s="252">
        <f t="shared" ref="E204:E216" si="12">AK118</f>
        <v>-47425.233402198639</v>
      </c>
      <c r="G204" s="299">
        <f t="shared" ref="G204:G216" si="13">C204-E204</f>
        <v>62773.705249494946</v>
      </c>
      <c r="N204" s="245"/>
      <c r="O204" s="245"/>
    </row>
    <row r="205" spans="2:19" x14ac:dyDescent="0.2">
      <c r="B205" s="204" t="s">
        <v>419</v>
      </c>
      <c r="C205" s="252">
        <f>AR114</f>
        <v>2995.8065494463153</v>
      </c>
      <c r="E205" s="252">
        <f t="shared" si="12"/>
        <v>-61967.323419730485</v>
      </c>
      <c r="G205" s="299">
        <f t="shared" si="13"/>
        <v>64963.1299691768</v>
      </c>
    </row>
    <row r="206" spans="2:19" x14ac:dyDescent="0.2">
      <c r="B206" s="204" t="s">
        <v>568</v>
      </c>
      <c r="C206" s="252">
        <f>AS114</f>
        <v>-39777.560785767848</v>
      </c>
      <c r="D206" s="254"/>
      <c r="E206" s="252">
        <f t="shared" si="12"/>
        <v>-39777.560785767848</v>
      </c>
      <c r="F206" s="254"/>
      <c r="G206" s="299">
        <f t="shared" si="13"/>
        <v>0</v>
      </c>
    </row>
    <row r="207" spans="2:19" x14ac:dyDescent="0.2">
      <c r="B207" s="204" t="s">
        <v>547</v>
      </c>
      <c r="C207" s="252">
        <f>AT114</f>
        <v>-25062.103433021839</v>
      </c>
      <c r="E207" s="252">
        <f t="shared" si="12"/>
        <v>-25062.103433021839</v>
      </c>
      <c r="G207" s="299">
        <f t="shared" si="13"/>
        <v>0</v>
      </c>
      <c r="H207" s="245"/>
      <c r="I207" s="245"/>
      <c r="J207" s="245"/>
      <c r="K207" s="245"/>
    </row>
    <row r="208" spans="2:19" x14ac:dyDescent="0.2">
      <c r="B208" s="204" t="s">
        <v>546</v>
      </c>
      <c r="C208" s="252">
        <f>AU114</f>
        <v>-39604.193450553685</v>
      </c>
      <c r="E208" s="252">
        <f t="shared" si="12"/>
        <v>-39604.193450553685</v>
      </c>
      <c r="G208" s="299">
        <f t="shared" si="13"/>
        <v>0</v>
      </c>
    </row>
    <row r="209" spans="2:11" x14ac:dyDescent="0.2">
      <c r="B209" s="204" t="s">
        <v>445</v>
      </c>
      <c r="C209" s="252">
        <f>AV114</f>
        <v>-39777.560785767848</v>
      </c>
      <c r="E209" s="252">
        <f t="shared" si="12"/>
        <v>-39777.560785767848</v>
      </c>
      <c r="G209" s="299">
        <f t="shared" si="13"/>
        <v>0</v>
      </c>
    </row>
    <row r="210" spans="2:11" x14ac:dyDescent="0.2">
      <c r="B210" s="204" t="s">
        <v>442</v>
      </c>
      <c r="C210" s="252">
        <f>AW114</f>
        <v>-25062.103433021839</v>
      </c>
      <c r="D210" s="171" t="s">
        <v>480</v>
      </c>
      <c r="E210" s="252">
        <f t="shared" si="12"/>
        <v>-25062.103433021839</v>
      </c>
      <c r="F210" s="171" t="s">
        <v>476</v>
      </c>
      <c r="G210" s="299">
        <f t="shared" si="13"/>
        <v>0</v>
      </c>
    </row>
    <row r="211" spans="2:11" x14ac:dyDescent="0.2">
      <c r="B211" s="204" t="s">
        <v>460</v>
      </c>
      <c r="C211" s="252">
        <f>AX114</f>
        <v>-39604.193450553685</v>
      </c>
      <c r="E211" s="252">
        <f t="shared" si="12"/>
        <v>-39604.193450553685</v>
      </c>
      <c r="G211" s="299">
        <f t="shared" si="13"/>
        <v>0</v>
      </c>
    </row>
    <row r="212" spans="2:11" x14ac:dyDescent="0.2">
      <c r="B212" s="204" t="s">
        <v>443</v>
      </c>
      <c r="C212" s="252">
        <f>AY114</f>
        <v>-25062.08739026184</v>
      </c>
      <c r="E212" s="252">
        <f t="shared" si="12"/>
        <v>-48611.391572630455</v>
      </c>
      <c r="G212" s="299">
        <f t="shared" si="13"/>
        <v>23549.304182368614</v>
      </c>
    </row>
    <row r="213" spans="2:11" x14ac:dyDescent="0.2">
      <c r="B213" s="204" t="s">
        <v>438</v>
      </c>
      <c r="C213" s="252">
        <f>AZ114</f>
        <v>-39604.161365033688</v>
      </c>
      <c r="E213" s="252">
        <f t="shared" si="12"/>
        <v>-103065.6187333666</v>
      </c>
      <c r="G213" s="299">
        <f t="shared" si="13"/>
        <v>63461.457368332914</v>
      </c>
    </row>
    <row r="214" spans="2:11" x14ac:dyDescent="0.2">
      <c r="B214" s="204" t="s">
        <v>458</v>
      </c>
      <c r="C214" s="252">
        <f>BA114</f>
        <v>-11018.295313636119</v>
      </c>
      <c r="E214" s="252">
        <f t="shared" si="12"/>
        <v>1.604276E-2</v>
      </c>
      <c r="G214" s="299">
        <f t="shared" si="13"/>
        <v>-11018.31135639612</v>
      </c>
    </row>
    <row r="215" spans="2:11" x14ac:dyDescent="0.2">
      <c r="B215" s="204" t="s">
        <v>81</v>
      </c>
      <c r="C215" s="252">
        <f>BB114</f>
        <v>-31640.197378233519</v>
      </c>
      <c r="E215" s="252">
        <f t="shared" si="12"/>
        <v>-31640.197378233519</v>
      </c>
      <c r="G215" s="299">
        <f t="shared" si="13"/>
        <v>0</v>
      </c>
    </row>
    <row r="216" spans="2:11" x14ac:dyDescent="0.2">
      <c r="B216" s="204" t="s">
        <v>429</v>
      </c>
      <c r="C216" s="252">
        <f>BC114</f>
        <v>7859.8347072864781</v>
      </c>
      <c r="D216" s="171"/>
      <c r="E216" s="252">
        <f t="shared" si="12"/>
        <v>-22363.1299691768</v>
      </c>
      <c r="G216" s="299">
        <f t="shared" si="13"/>
        <v>30222.964676463278</v>
      </c>
    </row>
    <row r="217" spans="2:11" x14ac:dyDescent="0.2">
      <c r="B217" s="206"/>
      <c r="C217" s="171" t="s">
        <v>470</v>
      </c>
      <c r="D217" s="171"/>
      <c r="E217" s="171" t="s">
        <v>467</v>
      </c>
      <c r="F217" s="171"/>
      <c r="G217" s="171" t="s">
        <v>670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C131:AJ131"/>
    <mergeCell ref="C133:AJ133"/>
    <mergeCell ref="C154:AJ154"/>
    <mergeCell ref="C156:AJ156"/>
    <mergeCell ref="C160:K160"/>
    <mergeCell ref="C200:G200"/>
    <mergeCell ref="AP36:BC36"/>
    <mergeCell ref="BI36:BV36"/>
    <mergeCell ref="AP74:BC74"/>
    <mergeCell ref="AP113:BC113"/>
    <mergeCell ref="BI113:BJ113"/>
    <mergeCell ref="C115:D115"/>
    <mergeCell ref="AP115:BC1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85" t="s">
        <v>422</v>
      </c>
      <c r="AD50" s="385"/>
      <c r="AE50" s="38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85" t="s">
        <v>420</v>
      </c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AD53" s="25"/>
      <c r="AE53" s="25"/>
      <c r="AF53" s="25"/>
      <c r="AG53" s="25"/>
      <c r="AH53" s="25"/>
      <c r="AI53" s="25"/>
    </row>
    <row r="58" spans="2:35" x14ac:dyDescent="0.2">
      <c r="C58" s="386"/>
      <c r="D58" s="38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85" t="s">
        <v>421</v>
      </c>
      <c r="D73" s="385"/>
      <c r="E73" s="385"/>
      <c r="F73" s="385"/>
      <c r="G73" s="385"/>
      <c r="H73" s="385"/>
      <c r="I73" s="385"/>
      <c r="J73" s="38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436</v>
      </c>
      <c r="C88" s="208"/>
      <c r="D88" s="208"/>
      <c r="E88" s="208"/>
      <c r="F88" s="208"/>
      <c r="G88" s="208"/>
    </row>
    <row r="89" spans="2:7" x14ac:dyDescent="0.2">
      <c r="B89" s="204" t="s">
        <v>437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85" t="s">
        <v>57</v>
      </c>
      <c r="D92" s="385"/>
      <c r="E92" s="385"/>
      <c r="F92" s="385"/>
      <c r="G92" s="38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8" t="s">
        <v>317</v>
      </c>
      <c r="E2" s="308"/>
      <c r="F2" s="308"/>
      <c r="G2" s="308"/>
      <c r="V2" s="166"/>
    </row>
    <row r="3" spans="2:22" x14ac:dyDescent="0.2">
      <c r="B3" s="3"/>
      <c r="C3" s="3"/>
      <c r="D3" s="410" t="s">
        <v>82</v>
      </c>
      <c r="E3" s="410"/>
      <c r="F3" s="410"/>
      <c r="G3" s="410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0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87" t="s">
        <v>355</v>
      </c>
      <c r="S4" s="387"/>
      <c r="T4" s="387"/>
      <c r="U4" s="387"/>
      <c r="V4" s="166"/>
    </row>
    <row r="5" spans="2:22" ht="14.5" customHeight="1" x14ac:dyDescent="0.2">
      <c r="B5" s="390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7"/>
      <c r="S5" s="387"/>
      <c r="T5" s="387"/>
      <c r="U5" s="387"/>
      <c r="V5" s="166"/>
    </row>
    <row r="6" spans="2:22" x14ac:dyDescent="0.2">
      <c r="B6" s="390"/>
      <c r="C6" s="149" t="s">
        <v>640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7"/>
      <c r="S6" s="387"/>
      <c r="T6" s="387"/>
      <c r="U6" s="387"/>
      <c r="V6" s="166"/>
    </row>
    <row r="7" spans="2:22" ht="16" thickBot="1" x14ac:dyDescent="0.25">
      <c r="B7" s="390"/>
      <c r="C7" s="148" t="s">
        <v>408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8"/>
      <c r="S7" s="388"/>
      <c r="T7" s="388"/>
      <c r="U7" s="388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7" t="s">
        <v>354</v>
      </c>
      <c r="Q8" s="403"/>
      <c r="R8" s="405" t="s">
        <v>341</v>
      </c>
      <c r="S8" s="406"/>
      <c r="T8" s="391" t="s">
        <v>408</v>
      </c>
      <c r="U8" s="392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7"/>
      <c r="Q9" s="403"/>
      <c r="R9" s="407"/>
      <c r="S9" s="408"/>
      <c r="T9" s="393"/>
      <c r="U9" s="394"/>
      <c r="V9" s="166"/>
    </row>
    <row r="10" spans="2:22" x14ac:dyDescent="0.2">
      <c r="L10" s="3"/>
      <c r="M10" s="3"/>
      <c r="O10" s="166"/>
      <c r="P10" s="387"/>
      <c r="Q10" s="403"/>
      <c r="R10" s="407"/>
      <c r="S10" s="408"/>
      <c r="T10" s="393"/>
      <c r="U10" s="394"/>
      <c r="V10" s="166"/>
    </row>
    <row r="11" spans="2:22" x14ac:dyDescent="0.2">
      <c r="B11" s="3"/>
      <c r="C11" s="3"/>
      <c r="D11" s="308" t="s">
        <v>317</v>
      </c>
      <c r="E11" s="308"/>
      <c r="F11" s="308"/>
      <c r="G11" s="308"/>
      <c r="H11" s="308"/>
      <c r="L11" s="3"/>
      <c r="M11" s="3"/>
      <c r="O11" s="166"/>
      <c r="P11" s="387"/>
      <c r="Q11" s="403"/>
      <c r="R11" s="407"/>
      <c r="S11" s="408"/>
      <c r="T11" s="393"/>
      <c r="U11" s="394"/>
      <c r="V11" s="166"/>
    </row>
    <row r="12" spans="2:22" x14ac:dyDescent="0.2">
      <c r="B12" s="3"/>
      <c r="C12" s="3"/>
      <c r="D12" s="410" t="s">
        <v>82</v>
      </c>
      <c r="E12" s="410"/>
      <c r="F12" s="410"/>
      <c r="G12" s="410"/>
      <c r="H12" s="410"/>
      <c r="L12" s="3"/>
      <c r="M12" s="3"/>
      <c r="O12" s="166"/>
      <c r="P12" s="404" t="s">
        <v>407</v>
      </c>
      <c r="Q12" s="403"/>
      <c r="R12" s="399" t="s">
        <v>316</v>
      </c>
      <c r="S12" s="400"/>
      <c r="T12" s="395" t="s">
        <v>640</v>
      </c>
      <c r="U12" s="396"/>
      <c r="V12" s="166"/>
    </row>
    <row r="13" spans="2:22" ht="14.5" customHeight="1" x14ac:dyDescent="0.2">
      <c r="B13" s="389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87"/>
      <c r="Q13" s="403"/>
      <c r="R13" s="399"/>
      <c r="S13" s="400"/>
      <c r="T13" s="395"/>
      <c r="U13" s="396"/>
      <c r="V13" s="166"/>
    </row>
    <row r="14" spans="2:22" x14ac:dyDescent="0.2">
      <c r="B14" s="389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87"/>
      <c r="Q14" s="403"/>
      <c r="R14" s="399"/>
      <c r="S14" s="400"/>
      <c r="T14" s="395"/>
      <c r="U14" s="396"/>
      <c r="V14" s="166"/>
    </row>
    <row r="15" spans="2:22" ht="16" thickBot="1" x14ac:dyDescent="0.25">
      <c r="B15" s="389"/>
      <c r="C15" s="149" t="s">
        <v>640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87"/>
      <c r="Q15" s="403"/>
      <c r="R15" s="401"/>
      <c r="S15" s="402"/>
      <c r="T15" s="397"/>
      <c r="U15" s="398"/>
      <c r="V15" s="166"/>
    </row>
    <row r="16" spans="2:22" x14ac:dyDescent="0.2">
      <c r="B16" s="389"/>
      <c r="C16" s="148" t="s">
        <v>408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8" t="s">
        <v>317</v>
      </c>
      <c r="E19" s="308"/>
      <c r="F19" s="308"/>
      <c r="G19" s="308"/>
      <c r="L19" s="3"/>
      <c r="M19" s="3"/>
    </row>
    <row r="20" spans="2:13" x14ac:dyDescent="0.2">
      <c r="B20" s="3"/>
      <c r="C20" s="3"/>
      <c r="D20" s="410" t="s">
        <v>82</v>
      </c>
      <c r="E20" s="410"/>
      <c r="F20" s="410"/>
      <c r="G20" s="410"/>
      <c r="K20" s="3"/>
      <c r="L20" s="3"/>
    </row>
    <row r="21" spans="2:13" x14ac:dyDescent="0.2">
      <c r="B21" s="411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379</v>
      </c>
      <c r="I21" s="3"/>
      <c r="K21" s="3"/>
      <c r="L21" s="3"/>
    </row>
    <row r="22" spans="2:13" x14ac:dyDescent="0.2">
      <c r="B22" s="411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1"/>
      <c r="C23" s="149" t="s">
        <v>640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1"/>
      <c r="C24" s="148" t="s">
        <v>408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09" t="s">
        <v>404</v>
      </c>
      <c r="D30" s="195" t="s">
        <v>81</v>
      </c>
      <c r="E30" s="195" t="s">
        <v>352</v>
      </c>
    </row>
    <row r="31" spans="2:13" x14ac:dyDescent="0.2">
      <c r="B31" s="409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409"/>
      <c r="C32" s="149" t="s">
        <v>640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09"/>
      <c r="C33" s="148" t="s">
        <v>408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639</v>
      </c>
    </row>
    <row r="38" spans="2:5" ht="18" x14ac:dyDescent="0.25">
      <c r="B38" s="298" t="s">
        <v>638</v>
      </c>
      <c r="C38" s="3">
        <f>E_tot/('Ore-&gt;PI'!FL126/1000)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2" t="s">
        <v>356</v>
      </c>
      <c r="F3" s="412"/>
      <c r="G3" s="412"/>
      <c r="H3"/>
      <c r="I3"/>
      <c r="L3" s="385" t="s">
        <v>448</v>
      </c>
      <c r="M3" s="385"/>
      <c r="N3" s="385"/>
      <c r="P3"/>
      <c r="T3" s="171" t="s">
        <v>447</v>
      </c>
    </row>
    <row r="4" spans="3:20" ht="16" thickBot="1" x14ac:dyDescent="0.25">
      <c r="E4" s="410" t="s">
        <v>11</v>
      </c>
      <c r="F4" s="410"/>
      <c r="G4" s="410"/>
      <c r="H4"/>
      <c r="I4"/>
      <c r="L4" s="410" t="s">
        <v>48</v>
      </c>
      <c r="M4" s="410"/>
      <c r="N4" s="410"/>
      <c r="P4"/>
      <c r="T4" s="3" t="s">
        <v>48</v>
      </c>
    </row>
    <row r="5" spans="3:20" ht="14.5" customHeight="1" thickBot="1" x14ac:dyDescent="0.25">
      <c r="C5" s="390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0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0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85" t="s">
        <v>448</v>
      </c>
      <c r="M9" s="385"/>
      <c r="N9" s="385"/>
      <c r="O9" s="385"/>
    </row>
    <row r="10" spans="3:20" x14ac:dyDescent="0.2">
      <c r="E10" s="412" t="s">
        <v>356</v>
      </c>
      <c r="F10" s="412"/>
      <c r="L10" s="410" t="s">
        <v>48</v>
      </c>
      <c r="M10" s="410"/>
      <c r="N10" s="410"/>
      <c r="O10" s="410"/>
    </row>
    <row r="11" spans="3:20" x14ac:dyDescent="0.2">
      <c r="E11" s="410" t="s">
        <v>11</v>
      </c>
      <c r="F11" s="410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89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89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89"/>
      <c r="D14" s="155" t="s">
        <v>23</v>
      </c>
      <c r="E14" s="3" t="s">
        <v>98</v>
      </c>
      <c r="F14" s="3">
        <f>Kiln_CO2Waste</f>
        <v>307.80454225965212</v>
      </c>
      <c r="L14" s="385" t="s">
        <v>448</v>
      </c>
      <c r="M14" s="385"/>
      <c r="N14" s="385"/>
    </row>
    <row r="15" spans="3:20" x14ac:dyDescent="0.2">
      <c r="C15" s="389"/>
      <c r="D15" s="3" t="s">
        <v>19</v>
      </c>
      <c r="E15" s="17">
        <f>SUM(E13:E14)</f>
        <v>0</v>
      </c>
      <c r="F15" s="17">
        <f>SUM(F13:F14)</f>
        <v>312.78929480475023</v>
      </c>
      <c r="L15" s="410" t="s">
        <v>48</v>
      </c>
      <c r="M15" s="410"/>
      <c r="N15" s="410"/>
    </row>
    <row r="16" spans="3:20" x14ac:dyDescent="0.2">
      <c r="L16" s="156" t="s">
        <v>189</v>
      </c>
      <c r="M16" s="156" t="s">
        <v>176</v>
      </c>
      <c r="N16" s="156" t="s">
        <v>379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85" t="s">
        <v>448</v>
      </c>
      <c r="M19" s="385"/>
    </row>
    <row r="20" spans="3:16" x14ac:dyDescent="0.2">
      <c r="C20" s="411" t="s">
        <v>353</v>
      </c>
      <c r="E20" s="156" t="s">
        <v>350</v>
      </c>
      <c r="L20" s="410" t="s">
        <v>48</v>
      </c>
      <c r="M20" s="410"/>
    </row>
    <row r="21" spans="3:16" ht="14.5" customHeight="1" x14ac:dyDescent="0.2">
      <c r="C21" s="411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411"/>
      <c r="D22" s="155" t="s">
        <v>23</v>
      </c>
      <c r="E22" s="3" t="s">
        <v>98</v>
      </c>
      <c r="K22" s="224" t="s">
        <v>404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7" t="s">
        <v>70</v>
      </c>
      <c r="I2" s="307"/>
      <c r="J2" s="307"/>
      <c r="K2" s="307"/>
      <c r="L2" s="307"/>
      <c r="M2" s="30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7" t="s">
        <v>74</v>
      </c>
      <c r="I3" s="307"/>
      <c r="J3" s="307"/>
      <c r="K3" s="13"/>
      <c r="L3" s="315" t="s">
        <v>75</v>
      </c>
      <c r="M3" s="315"/>
      <c r="N3" s="7"/>
      <c r="AN3" s="420" t="s">
        <v>78</v>
      </c>
      <c r="AO3" s="420"/>
      <c r="AP3" s="420"/>
      <c r="AQ3" s="420"/>
      <c r="AR3" s="420"/>
      <c r="AS3" s="420"/>
      <c r="AT3" s="420"/>
      <c r="AU3" s="420"/>
      <c r="AV3" s="420"/>
      <c r="AW3" s="420"/>
      <c r="AX3" s="420"/>
      <c r="AY3" s="420"/>
      <c r="AZ3" s="420"/>
      <c r="BA3" s="420"/>
      <c r="BB3" s="420"/>
      <c r="BC3" s="420"/>
      <c r="BD3" s="420"/>
      <c r="BE3" s="420"/>
      <c r="BF3" s="420"/>
      <c r="BG3" s="420"/>
      <c r="BH3" s="420"/>
      <c r="BI3" s="420"/>
      <c r="BJ3" s="420"/>
      <c r="BK3" s="420"/>
    </row>
    <row r="4" spans="3:69" ht="17" x14ac:dyDescent="0.25">
      <c r="C4" s="13" t="s">
        <v>11</v>
      </c>
      <c r="D4" s="13" t="s">
        <v>76</v>
      </c>
      <c r="E4" s="13"/>
      <c r="F4" s="13"/>
      <c r="AN4" s="420"/>
      <c r="AO4" s="420"/>
      <c r="AP4" s="420"/>
      <c r="AQ4" s="420"/>
      <c r="AR4" s="420"/>
      <c r="AS4" s="420"/>
      <c r="AT4" s="420"/>
      <c r="AU4" s="420"/>
      <c r="AV4" s="420"/>
      <c r="AW4" s="420"/>
      <c r="AX4" s="420"/>
      <c r="AY4" s="420"/>
      <c r="AZ4" s="420"/>
      <c r="BA4" s="420"/>
      <c r="BB4" s="420"/>
      <c r="BC4" s="420"/>
      <c r="BD4" s="420"/>
      <c r="BE4" s="420"/>
      <c r="BF4" s="420"/>
      <c r="BG4" s="420"/>
      <c r="BH4" s="420"/>
      <c r="BI4" s="420"/>
      <c r="BJ4" s="420"/>
      <c r="BK4" s="42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7"/>
      <c r="J5" s="307"/>
      <c r="K5" s="307"/>
      <c r="L5" s="307"/>
      <c r="M5" s="307"/>
      <c r="AN5" s="420"/>
      <c r="AO5" s="420"/>
      <c r="AP5" s="420"/>
      <c r="AQ5" s="420"/>
      <c r="AR5" s="420"/>
      <c r="AS5" s="420"/>
      <c r="AT5" s="420"/>
      <c r="AU5" s="420"/>
      <c r="AV5" s="420"/>
      <c r="AW5" s="420"/>
      <c r="AX5" s="420"/>
      <c r="AY5" s="420"/>
      <c r="AZ5" s="420"/>
      <c r="BA5" s="420"/>
      <c r="BB5" s="420"/>
      <c r="BC5" s="420"/>
      <c r="BD5" s="420"/>
      <c r="BE5" s="420"/>
      <c r="BF5" s="420"/>
      <c r="BG5" s="420"/>
      <c r="BH5" s="420"/>
      <c r="BI5" s="420"/>
      <c r="BJ5" s="420"/>
      <c r="BK5" s="42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9">
        <v>6</v>
      </c>
      <c r="BJ10" s="419"/>
      <c r="BK10" s="419"/>
      <c r="BL10" s="419"/>
      <c r="BM10" s="419"/>
      <c r="BN10" s="419"/>
      <c r="BO10" s="419"/>
      <c r="BP10" s="419"/>
      <c r="BQ10" s="41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9"/>
      <c r="BJ11" s="419"/>
      <c r="BK11" s="419"/>
      <c r="BL11" s="419"/>
      <c r="BM11" s="419"/>
      <c r="BN11" s="419"/>
      <c r="BO11" s="419"/>
      <c r="BP11" s="419"/>
      <c r="BQ11" s="41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16" t="s">
        <v>112</v>
      </c>
    </row>
    <row r="18" spans="3:87" ht="18.5" customHeight="1" x14ac:dyDescent="0.25">
      <c r="BI18" s="41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1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1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1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1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4">
        <v>1</v>
      </c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1"/>
      <c r="Q28" s="1"/>
      <c r="R28" s="1"/>
      <c r="S28" s="1"/>
      <c r="T28" s="1"/>
      <c r="U28" s="1"/>
      <c r="V28" s="1"/>
      <c r="W28" s="413">
        <v>3</v>
      </c>
      <c r="X28" s="413"/>
      <c r="Y28" s="413"/>
      <c r="Z28" s="413"/>
      <c r="AA28" s="413"/>
      <c r="AB28" s="413"/>
      <c r="AC28" s="413"/>
      <c r="AD28" s="413"/>
      <c r="AE28" s="413"/>
      <c r="AF28" s="413"/>
      <c r="AG28" s="41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4">
        <v>4</v>
      </c>
      <c r="AU28" s="414"/>
      <c r="AV28" s="414"/>
      <c r="AW28" s="414"/>
      <c r="AX28" s="414"/>
      <c r="AY28" s="414"/>
      <c r="AZ28" s="414"/>
      <c r="BA28" s="414"/>
      <c r="BB28" s="414"/>
      <c r="BC28" s="414"/>
      <c r="BD28" s="414"/>
      <c r="BE28" s="414"/>
      <c r="BF28" s="414"/>
      <c r="BG28" s="414"/>
      <c r="BH28" s="414"/>
      <c r="BI28" s="414"/>
      <c r="BT28" s="414">
        <v>5</v>
      </c>
      <c r="BU28" s="414"/>
      <c r="BV28" s="414"/>
      <c r="BW28" s="414"/>
      <c r="BX28" s="414"/>
      <c r="BY28" s="414"/>
      <c r="BZ28" s="414"/>
      <c r="CA28" s="414"/>
      <c r="CB28" s="414"/>
      <c r="CC28" s="414"/>
      <c r="CD28" s="414"/>
      <c r="CE28" s="414"/>
      <c r="CF28" s="414"/>
      <c r="CG28" s="414"/>
      <c r="CH28" s="414"/>
      <c r="CI28" s="41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1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1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1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1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17" t="s">
        <v>80</v>
      </c>
      <c r="AK37" s="417"/>
      <c r="AL37" s="417"/>
      <c r="AM37" s="417"/>
      <c r="AN37" s="417"/>
      <c r="AO37" s="41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17" t="s">
        <v>81</v>
      </c>
      <c r="S38" s="417"/>
      <c r="T38" s="417"/>
      <c r="U38" s="41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17"/>
      <c r="AK38" s="417"/>
      <c r="AL38" s="417"/>
      <c r="AM38" s="417"/>
      <c r="AN38" s="417"/>
      <c r="AO38" s="41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17" t="s">
        <v>97</v>
      </c>
      <c r="BM38" s="417"/>
      <c r="BN38" s="417"/>
      <c r="BO38" s="41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17"/>
      <c r="S39" s="417"/>
      <c r="T39" s="417"/>
      <c r="U39" s="41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17"/>
      <c r="AK39" s="417"/>
      <c r="AL39" s="417"/>
      <c r="AM39" s="417"/>
      <c r="AN39" s="417"/>
      <c r="AO39" s="417"/>
      <c r="AP39" s="51"/>
      <c r="AQ39" s="51"/>
      <c r="AR39" s="1"/>
      <c r="AS39" s="1"/>
      <c r="AT39" s="1"/>
      <c r="AU39" s="1"/>
      <c r="AV39" s="1"/>
      <c r="AW39" s="1"/>
      <c r="AX39" s="1"/>
      <c r="BL39" s="417"/>
      <c r="BM39" s="417"/>
      <c r="BN39" s="417"/>
      <c r="BO39" s="41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17"/>
      <c r="S40" s="417"/>
      <c r="T40" s="417"/>
      <c r="U40" s="41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17"/>
      <c r="AK40" s="417"/>
      <c r="AL40" s="417"/>
      <c r="AM40" s="417"/>
      <c r="AN40" s="417"/>
      <c r="AO40" s="417"/>
      <c r="AP40" s="51"/>
      <c r="AQ40" s="51"/>
      <c r="AR40" s="1"/>
      <c r="AS40" s="56"/>
      <c r="AT40" s="1"/>
      <c r="AU40" s="1"/>
      <c r="AV40" s="1"/>
      <c r="AW40" s="1"/>
      <c r="AX40" s="1"/>
      <c r="BL40" s="417"/>
      <c r="BM40" s="417"/>
      <c r="BN40" s="417"/>
      <c r="BO40" s="41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17"/>
      <c r="AK41" s="417"/>
      <c r="AL41" s="417"/>
      <c r="AM41" s="417"/>
      <c r="AN41" s="417"/>
      <c r="AO41" s="41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73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17"/>
      <c r="AK42" s="417"/>
      <c r="AL42" s="417"/>
      <c r="AM42" s="417"/>
      <c r="AN42" s="417"/>
      <c r="AO42" s="41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3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7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3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1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3">
        <v>2</v>
      </c>
      <c r="D57" s="413"/>
      <c r="E57" s="413"/>
      <c r="F57" s="413"/>
      <c r="G57" s="413"/>
      <c r="H57" s="413"/>
      <c r="I57" s="413"/>
      <c r="J57" s="413"/>
      <c r="K57" s="413"/>
      <c r="L57" s="413"/>
      <c r="M57" s="413"/>
      <c r="N57" s="413"/>
      <c r="O57" s="41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8" t="s">
        <v>317</v>
      </c>
      <c r="E4" s="308"/>
      <c r="F4" s="308"/>
      <c r="G4" s="308"/>
      <c r="H4" s="166"/>
      <c r="I4" s="166"/>
      <c r="P4" s="166"/>
      <c r="Q4" s="166"/>
      <c r="R4" s="166"/>
      <c r="S4" s="387" t="s">
        <v>355</v>
      </c>
      <c r="T4" s="387"/>
      <c r="U4" s="387"/>
      <c r="V4" s="387"/>
      <c r="W4" s="166"/>
    </row>
    <row r="5" spans="1:23" x14ac:dyDescent="0.2">
      <c r="A5" s="166"/>
      <c r="B5" s="168"/>
      <c r="C5" s="168"/>
      <c r="D5" s="410" t="s">
        <v>82</v>
      </c>
      <c r="E5" s="410"/>
      <c r="F5" s="410"/>
      <c r="G5" s="410"/>
      <c r="H5" s="166"/>
      <c r="I5" s="166"/>
      <c r="P5" s="166"/>
      <c r="Q5" s="166"/>
      <c r="R5" s="166"/>
      <c r="S5" s="387"/>
      <c r="T5" s="387"/>
      <c r="U5" s="387"/>
      <c r="V5" s="387"/>
      <c r="W5" s="166"/>
    </row>
    <row r="6" spans="1:23" ht="15" customHeight="1" x14ac:dyDescent="0.2">
      <c r="A6" s="166"/>
      <c r="B6" s="390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87"/>
      <c r="T6" s="387"/>
      <c r="U6" s="387"/>
      <c r="V6" s="387"/>
      <c r="W6" s="166"/>
    </row>
    <row r="7" spans="1:23" ht="16" thickBot="1" x14ac:dyDescent="0.25">
      <c r="A7" s="166"/>
      <c r="B7" s="390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8"/>
      <c r="T7" s="388"/>
      <c r="U7" s="388"/>
      <c r="V7" s="388"/>
      <c r="W7" s="166"/>
    </row>
    <row r="8" spans="1:23" x14ac:dyDescent="0.2">
      <c r="A8" s="166"/>
      <c r="B8" s="390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7" t="s">
        <v>354</v>
      </c>
      <c r="R8" s="403"/>
      <c r="S8" s="405" t="s">
        <v>341</v>
      </c>
      <c r="T8" s="406"/>
      <c r="U8" s="391" t="s">
        <v>408</v>
      </c>
      <c r="V8" s="392"/>
      <c r="W8" s="166"/>
    </row>
    <row r="9" spans="1:23" x14ac:dyDescent="0.2">
      <c r="A9" s="166"/>
      <c r="B9" s="390"/>
      <c r="C9" s="148" t="s">
        <v>408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7"/>
      <c r="R9" s="403"/>
      <c r="S9" s="407"/>
      <c r="T9" s="408"/>
      <c r="U9" s="393"/>
      <c r="V9" s="394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7"/>
      <c r="R10" s="403"/>
      <c r="S10" s="407"/>
      <c r="T10" s="408"/>
      <c r="U10" s="393"/>
      <c r="V10" s="394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7"/>
      <c r="R11" s="403"/>
      <c r="S11" s="407"/>
      <c r="T11" s="408"/>
      <c r="U11" s="393"/>
      <c r="V11" s="394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1" t="s">
        <v>407</v>
      </c>
      <c r="R12" s="403"/>
      <c r="S12" s="399" t="s">
        <v>316</v>
      </c>
      <c r="T12" s="400"/>
      <c r="U12" s="395" t="s">
        <v>342</v>
      </c>
      <c r="V12" s="396"/>
      <c r="W12" s="166"/>
    </row>
    <row r="13" spans="1:23" x14ac:dyDescent="0.2">
      <c r="A13" s="166"/>
      <c r="B13" s="168"/>
      <c r="C13" s="168"/>
      <c r="D13" s="308" t="s">
        <v>317</v>
      </c>
      <c r="E13" s="308"/>
      <c r="F13" s="308"/>
      <c r="G13" s="308"/>
      <c r="H13" s="308"/>
      <c r="I13" s="166"/>
      <c r="P13" s="166"/>
      <c r="Q13" s="387"/>
      <c r="R13" s="403"/>
      <c r="S13" s="399"/>
      <c r="T13" s="400"/>
      <c r="U13" s="395"/>
      <c r="V13" s="396"/>
      <c r="W13" s="166"/>
    </row>
    <row r="14" spans="1:23" ht="15" customHeight="1" x14ac:dyDescent="0.2">
      <c r="A14" s="166"/>
      <c r="B14" s="168"/>
      <c r="C14" s="168"/>
      <c r="D14" s="410" t="s">
        <v>82</v>
      </c>
      <c r="E14" s="410"/>
      <c r="F14" s="410"/>
      <c r="G14" s="410"/>
      <c r="H14" s="410"/>
      <c r="I14" s="166"/>
      <c r="P14" s="166"/>
      <c r="Q14" s="387"/>
      <c r="R14" s="403"/>
      <c r="S14" s="399"/>
      <c r="T14" s="400"/>
      <c r="U14" s="395"/>
      <c r="V14" s="396"/>
      <c r="W14" s="166"/>
    </row>
    <row r="15" spans="1:23" ht="16" thickBot="1" x14ac:dyDescent="0.25">
      <c r="A15" s="166"/>
      <c r="B15" s="389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87"/>
      <c r="R15" s="403"/>
      <c r="S15" s="401"/>
      <c r="T15" s="402"/>
      <c r="U15" s="397"/>
      <c r="V15" s="398"/>
      <c r="W15" s="166"/>
    </row>
    <row r="16" spans="1:23" x14ac:dyDescent="0.2">
      <c r="A16" s="166"/>
      <c r="B16" s="389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9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89"/>
      <c r="C18" s="148" t="s">
        <v>408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451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8" t="s">
        <v>317</v>
      </c>
      <c r="E21" s="308"/>
      <c r="F21" s="308"/>
      <c r="G21" s="308"/>
      <c r="H21" s="166"/>
      <c r="I21" s="166"/>
    </row>
    <row r="22" spans="1:12" ht="15" customHeight="1" x14ac:dyDescent="0.2">
      <c r="A22" s="166"/>
      <c r="B22" s="168"/>
      <c r="C22" s="168"/>
      <c r="D22" s="410" t="s">
        <v>82</v>
      </c>
      <c r="E22" s="410"/>
      <c r="F22" s="410"/>
      <c r="G22" s="410"/>
      <c r="H22" s="166"/>
      <c r="I22" s="166"/>
    </row>
    <row r="23" spans="1:12" x14ac:dyDescent="0.2">
      <c r="A23" s="166"/>
      <c r="B23" s="411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379</v>
      </c>
      <c r="H23" s="166"/>
      <c r="I23" s="166"/>
    </row>
    <row r="24" spans="1:12" x14ac:dyDescent="0.2">
      <c r="A24" s="166"/>
      <c r="B24" s="411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1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1"/>
      <c r="C26" s="148" t="s">
        <v>408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09" t="s">
        <v>404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409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09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09"/>
      <c r="C35" s="148" t="s">
        <v>408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309</vt:i4>
      </vt:variant>
    </vt:vector>
  </HeadingPairs>
  <TitlesOfParts>
    <vt:vector size="322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 M RUVY matrices (mat level)</vt:lpstr>
      <vt:lpstr>MCC h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'MCC h RUVY matrices (mat level)'!r_eiou_M</vt:lpstr>
      <vt:lpstr>r_eiou_M</vt:lpstr>
      <vt:lpstr>'MCC h RUVY matrices (mat level)'!R_M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'MCC h RUVY matrices (mat level)'!S_units_M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'MCC h RUVY matrices (mat level)'!U_eiou_M</vt:lpstr>
      <vt:lpstr>U_eiou_M</vt:lpstr>
      <vt:lpstr>U_feed__MCC_B_RUVY_matrices_mat_level</vt:lpstr>
      <vt:lpstr>'MCC h RUVY matrices (mat level)'!U_feed_M</vt:lpstr>
      <vt:lpstr>U_feed_M</vt:lpstr>
      <vt:lpstr>'MCC h RUVY matrices (mat level)'!U_M</vt:lpstr>
      <vt:lpstr>U_M</vt:lpstr>
      <vt:lpstr>V__MCC_B_RUVY_matrices_mat_level</vt:lpstr>
      <vt:lpstr>'MCC h RUVY matrices (mat level)'!V_M</vt:lpstr>
      <vt:lpstr>V_M</vt:lpstr>
      <vt:lpstr>Y__MCC_B_RUVY_matrices_mat_level</vt:lpstr>
      <vt:lpstr>'MCC h RUVY matrices (mat level)'!Y_M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2025-07-12T17:26:08Z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