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FAF4A6E8-B5CA-DC49-A70F-FA25715F7B49}" xr6:coauthVersionLast="47" xr6:coauthVersionMax="47" xr10:uidLastSave="{00000000-0000-0000-0000-000000000000}"/>
  <bookViews>
    <workbookView xWindow="0" yWindow="500" windowWidth="51200" windowHeight="28300" activeTab="13" xr2:uid="{B56C0490-30AA-4047-9BD3-68F16EDF25FC}"/>
  </bookViews>
  <sheets>
    <sheet name="Constants" sheetId="3" r:id="rId1"/>
    <sheet name="Calculators" sheetId="11" r:id="rId2"/>
    <sheet name="Ore_to_PI" sheetId="9" r:id="rId3"/>
    <sheet name="Appx_exergy_account" sheetId="25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MCC_MW_RUVY_matrices_mat_level" sheetId="23" r:id="rId9"/>
    <sheet name="MCC_hM_RUVY_matrices_mat_level " sheetId="24" r:id="rId10"/>
    <sheet name="Efficiencies" sheetId="12" r:id="rId11"/>
    <sheet name="Waste" sheetId="13" r:id="rId12"/>
    <sheet name="Methane Combustion - EES" sheetId="8" r:id="rId13"/>
    <sheet name="Tables for Paper" sheetId="14" r:id="rId14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Paper'!$L$50:$N$65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2" i="14" l="1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51" i="14"/>
  <c r="AG4" i="14"/>
  <c r="AG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AG191" i="14"/>
  <c r="AG192" i="14"/>
  <c r="AG193" i="14"/>
  <c r="AG194" i="14"/>
  <c r="AG195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AG211" i="14"/>
  <c r="AG212" i="14"/>
  <c r="AG213" i="14"/>
  <c r="AG214" i="14"/>
  <c r="AG215" i="14"/>
  <c r="AG216" i="14"/>
  <c r="AG217" i="14"/>
  <c r="AG218" i="14"/>
  <c r="AG219" i="14"/>
  <c r="AG220" i="14"/>
  <c r="AG221" i="14"/>
  <c r="AG222" i="14"/>
  <c r="AG223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AG239" i="14"/>
  <c r="AG240" i="14"/>
  <c r="AG241" i="14"/>
  <c r="AG242" i="14"/>
  <c r="AG243" i="14"/>
  <c r="AG244" i="14"/>
  <c r="AG245" i="14"/>
  <c r="AG246" i="14"/>
  <c r="AG247" i="14"/>
  <c r="AG248" i="14"/>
  <c r="AG249" i="14"/>
  <c r="AG250" i="14"/>
  <c r="AG251" i="14"/>
  <c r="AG252" i="14"/>
  <c r="AG253" i="14"/>
  <c r="AG254" i="14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AG271" i="14"/>
  <c r="AG272" i="14"/>
  <c r="AG273" i="14"/>
  <c r="AG274" i="14"/>
  <c r="AG275" i="14"/>
  <c r="AG276" i="14"/>
  <c r="AG277" i="14"/>
  <c r="AG278" i="14"/>
  <c r="AG279" i="14"/>
  <c r="AG280" i="14"/>
  <c r="AG281" i="14"/>
  <c r="AG282" i="14"/>
  <c r="AG283" i="14"/>
  <c r="AG284" i="14"/>
  <c r="AG285" i="14"/>
  <c r="AG286" i="14"/>
  <c r="AG287" i="14"/>
  <c r="AG288" i="14"/>
  <c r="AG289" i="14"/>
  <c r="AG290" i="14"/>
  <c r="AG291" i="14"/>
  <c r="AG292" i="14"/>
  <c r="AG293" i="14"/>
  <c r="AG294" i="14"/>
  <c r="AG295" i="14"/>
  <c r="AG296" i="14"/>
  <c r="AG297" i="14"/>
  <c r="AG298" i="14"/>
  <c r="AG299" i="14"/>
  <c r="AG300" i="14"/>
  <c r="AG301" i="14"/>
  <c r="AG302" i="14"/>
  <c r="AG303" i="14"/>
  <c r="AG304" i="14"/>
  <c r="AG305" i="14"/>
  <c r="AG306" i="14"/>
  <c r="AG307" i="14"/>
  <c r="AG308" i="14"/>
  <c r="AG309" i="14"/>
  <c r="AG310" i="14"/>
  <c r="AG311" i="14"/>
  <c r="AG312" i="14"/>
  <c r="AG313" i="14"/>
  <c r="AG314" i="14"/>
  <c r="AG315" i="14"/>
  <c r="AG316" i="14"/>
  <c r="AG317" i="14"/>
  <c r="AG318" i="14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AG331" i="14"/>
  <c r="AG332" i="14"/>
  <c r="AG333" i="14"/>
  <c r="AG334" i="14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AG348" i="14"/>
  <c r="AG349" i="14"/>
  <c r="AG350" i="14"/>
  <c r="AG351" i="14"/>
  <c r="AG352" i="14"/>
  <c r="AG353" i="14"/>
  <c r="AG354" i="14"/>
  <c r="AG355" i="14"/>
  <c r="AG356" i="14"/>
  <c r="AG357" i="14"/>
  <c r="AG358" i="14"/>
  <c r="AG359" i="14"/>
  <c r="AG360" i="14"/>
  <c r="AG361" i="14"/>
  <c r="AG362" i="14"/>
  <c r="AG363" i="14"/>
  <c r="AG364" i="14"/>
  <c r="AG365" i="14"/>
  <c r="AG366" i="14"/>
  <c r="AG367" i="14"/>
  <c r="AG368" i="14"/>
  <c r="AG369" i="14"/>
  <c r="AG370" i="14"/>
  <c r="AG371" i="14"/>
  <c r="AG372" i="14"/>
  <c r="AG373" i="14"/>
  <c r="AG374" i="14"/>
  <c r="AG375" i="14"/>
  <c r="AG376" i="14"/>
  <c r="AG377" i="14"/>
  <c r="AG378" i="14"/>
  <c r="AG379" i="14"/>
  <c r="AG380" i="14"/>
  <c r="AG381" i="14"/>
  <c r="AG382" i="14"/>
  <c r="AG383" i="14"/>
  <c r="AG384" i="14"/>
  <c r="AG385" i="14"/>
  <c r="AG386" i="14"/>
  <c r="AG387" i="14"/>
  <c r="AG388" i="14"/>
  <c r="AG389" i="14"/>
  <c r="AG390" i="14"/>
  <c r="AG391" i="14"/>
  <c r="AG392" i="14"/>
  <c r="AG393" i="14"/>
  <c r="AG394" i="14"/>
  <c r="AG395" i="14"/>
  <c r="AG396" i="14"/>
  <c r="AG397" i="14"/>
  <c r="AG398" i="14"/>
  <c r="AG399" i="14"/>
  <c r="AG400" i="14"/>
  <c r="AG401" i="14"/>
  <c r="AG402" i="14"/>
  <c r="AG403" i="14"/>
  <c r="AG404" i="14"/>
  <c r="AG405" i="14"/>
  <c r="AG406" i="14"/>
  <c r="AG407" i="14"/>
  <c r="AG408" i="14"/>
  <c r="AG409" i="14"/>
  <c r="AG410" i="14"/>
  <c r="AG411" i="14"/>
  <c r="AG412" i="14"/>
  <c r="AG413" i="14"/>
  <c r="AG414" i="14"/>
  <c r="AG415" i="14"/>
  <c r="AG416" i="14"/>
  <c r="AG417" i="14"/>
  <c r="AG418" i="14"/>
  <c r="AG419" i="14"/>
  <c r="AG420" i="14"/>
  <c r="AG421" i="14"/>
  <c r="AG422" i="14"/>
  <c r="AG423" i="14"/>
  <c r="AG424" i="14"/>
  <c r="AG425" i="14"/>
  <c r="AG426" i="14"/>
  <c r="AG427" i="14"/>
  <c r="AG428" i="14"/>
  <c r="AG429" i="14"/>
  <c r="AG430" i="14"/>
  <c r="AG431" i="14"/>
  <c r="AG432" i="14"/>
  <c r="AG433" i="14"/>
  <c r="AG434" i="14"/>
  <c r="AG435" i="14"/>
  <c r="AG436" i="14"/>
  <c r="AG437" i="14"/>
  <c r="AG438" i="14"/>
  <c r="AG439" i="14"/>
  <c r="AG440" i="14"/>
  <c r="AG441" i="14"/>
  <c r="AG442" i="14"/>
  <c r="AG443" i="14"/>
  <c r="AG444" i="14"/>
  <c r="AG445" i="14"/>
  <c r="AG446" i="14"/>
  <c r="AG447" i="14"/>
  <c r="AG448" i="14"/>
  <c r="AG449" i="14"/>
  <c r="AG450" i="14"/>
  <c r="AG451" i="14"/>
  <c r="AG452" i="14"/>
  <c r="AG453" i="14"/>
  <c r="AG454" i="14"/>
  <c r="AG455" i="14"/>
  <c r="AG456" i="14"/>
  <c r="AG457" i="14"/>
  <c r="AG458" i="14"/>
  <c r="AG459" i="14"/>
  <c r="AG460" i="14"/>
  <c r="AG461" i="14"/>
  <c r="AG462" i="14"/>
  <c r="AG463" i="14"/>
  <c r="AG464" i="14"/>
  <c r="AG465" i="14"/>
  <c r="AG466" i="14"/>
  <c r="AG467" i="14"/>
  <c r="AG468" i="14"/>
  <c r="AG469" i="14"/>
  <c r="AG470" i="14"/>
  <c r="AG471" i="14"/>
  <c r="AG472" i="14"/>
  <c r="AG473" i="14"/>
  <c r="AG474" i="14"/>
  <c r="AG475" i="14"/>
  <c r="AG476" i="14"/>
  <c r="AG477" i="14"/>
  <c r="AG478" i="14"/>
  <c r="AG479" i="14"/>
  <c r="AG480" i="14"/>
  <c r="AG481" i="14"/>
  <c r="AG482" i="14"/>
  <c r="AG483" i="14"/>
  <c r="AG484" i="14"/>
  <c r="AG485" i="14"/>
  <c r="AG486" i="14"/>
  <c r="AG487" i="14"/>
  <c r="AG488" i="14"/>
  <c r="AG489" i="14"/>
  <c r="AG490" i="14"/>
  <c r="AG491" i="14"/>
  <c r="AG492" i="14"/>
  <c r="AG493" i="14"/>
  <c r="AG494" i="14"/>
  <c r="AG495" i="14"/>
  <c r="AG496" i="14"/>
  <c r="AG497" i="14"/>
  <c r="AG498" i="14"/>
  <c r="AG499" i="14"/>
  <c r="AG500" i="14"/>
  <c r="AG501" i="14"/>
  <c r="AG502" i="14"/>
  <c r="AG503" i="14"/>
  <c r="AG504" i="14"/>
  <c r="AG505" i="14"/>
  <c r="AG506" i="14"/>
  <c r="AG507" i="14"/>
  <c r="AG508" i="14"/>
  <c r="AG509" i="14"/>
  <c r="AG510" i="14"/>
  <c r="AG511" i="14"/>
  <c r="AG512" i="14"/>
  <c r="AG513" i="14"/>
  <c r="AG514" i="14"/>
  <c r="AG515" i="14"/>
  <c r="AG516" i="14"/>
  <c r="AG517" i="14"/>
  <c r="AG518" i="14"/>
  <c r="AG519" i="14"/>
  <c r="AG520" i="14"/>
  <c r="AG521" i="14"/>
  <c r="AG522" i="14"/>
  <c r="AG523" i="14"/>
  <c r="AG524" i="14"/>
  <c r="AG525" i="14"/>
  <c r="AG526" i="14"/>
  <c r="AG527" i="14"/>
  <c r="AG528" i="14"/>
  <c r="AG529" i="14"/>
  <c r="AG530" i="14"/>
  <c r="AG531" i="14"/>
  <c r="AG532" i="14"/>
  <c r="AG533" i="14"/>
  <c r="AG534" i="14"/>
  <c r="AG535" i="14"/>
  <c r="AG536" i="14"/>
  <c r="AG537" i="14"/>
  <c r="AG538" i="14"/>
  <c r="AG539" i="14"/>
  <c r="AG540" i="14"/>
  <c r="AG541" i="14"/>
  <c r="AG542" i="14"/>
  <c r="AG543" i="14"/>
  <c r="AG544" i="14"/>
  <c r="AG545" i="14"/>
  <c r="AG546" i="14"/>
  <c r="AG547" i="14"/>
  <c r="AG548" i="14"/>
  <c r="AG549" i="14"/>
  <c r="AG550" i="14"/>
  <c r="AG551" i="14"/>
  <c r="AG552" i="14"/>
  <c r="AG553" i="14"/>
  <c r="AG554" i="14"/>
  <c r="AG555" i="14"/>
  <c r="AG556" i="14"/>
  <c r="AG557" i="14"/>
  <c r="AG558" i="14"/>
  <c r="AG559" i="14"/>
  <c r="AG560" i="14"/>
  <c r="AG561" i="14"/>
  <c r="AG562" i="14"/>
  <c r="AG563" i="14"/>
  <c r="AG564" i="14"/>
  <c r="AG565" i="14"/>
  <c r="AG566" i="14"/>
  <c r="AG567" i="14"/>
  <c r="AG568" i="14"/>
  <c r="AG569" i="14"/>
  <c r="AG570" i="14"/>
  <c r="AG571" i="14"/>
  <c r="AG572" i="14"/>
  <c r="AG573" i="14"/>
  <c r="AG574" i="14"/>
  <c r="AG575" i="14"/>
  <c r="AG576" i="14"/>
  <c r="AG577" i="14"/>
  <c r="AG578" i="14"/>
  <c r="AG579" i="14"/>
  <c r="AG580" i="14"/>
  <c r="AG581" i="14"/>
  <c r="AG582" i="14"/>
  <c r="AG583" i="14"/>
  <c r="AG584" i="14"/>
  <c r="AG585" i="14"/>
  <c r="AG586" i="14"/>
  <c r="AG587" i="14"/>
  <c r="AG588" i="14"/>
  <c r="AG589" i="14"/>
  <c r="AG590" i="14"/>
  <c r="AG591" i="14"/>
  <c r="AG592" i="14"/>
  <c r="AG593" i="14"/>
  <c r="AG594" i="14"/>
  <c r="AG595" i="14"/>
  <c r="AG596" i="14"/>
  <c r="AG597" i="14"/>
  <c r="AG598" i="14"/>
  <c r="AG599" i="14"/>
  <c r="AG600" i="14"/>
  <c r="AG601" i="14"/>
  <c r="AG602" i="14"/>
  <c r="AG603" i="14"/>
  <c r="AG604" i="14"/>
  <c r="AG605" i="14"/>
  <c r="AG606" i="14"/>
  <c r="AG607" i="14"/>
  <c r="AG608" i="14"/>
  <c r="AG609" i="14"/>
  <c r="AG610" i="14"/>
  <c r="AG611" i="14"/>
  <c r="AG612" i="14"/>
  <c r="AG613" i="14"/>
  <c r="AG614" i="14"/>
  <c r="AG615" i="14"/>
  <c r="AG616" i="14"/>
  <c r="AG617" i="14"/>
  <c r="AG618" i="14"/>
  <c r="AG619" i="14"/>
  <c r="AG620" i="14"/>
  <c r="AG621" i="14"/>
  <c r="AG622" i="14"/>
  <c r="AG623" i="14"/>
  <c r="AG624" i="14"/>
  <c r="AG625" i="14"/>
  <c r="AG626" i="14"/>
  <c r="AG627" i="14"/>
  <c r="AG628" i="14"/>
  <c r="AG629" i="14"/>
  <c r="AG630" i="14"/>
  <c r="AG631" i="14"/>
  <c r="AG632" i="14"/>
  <c r="AG633" i="14"/>
  <c r="AG634" i="14"/>
  <c r="AG635" i="14"/>
  <c r="AG636" i="14"/>
  <c r="AG637" i="14"/>
  <c r="AG638" i="14"/>
  <c r="AG639" i="14"/>
  <c r="AG640" i="14"/>
  <c r="AG641" i="14"/>
  <c r="AG642" i="14"/>
  <c r="AG643" i="14"/>
  <c r="AG644" i="14"/>
  <c r="AG645" i="14"/>
  <c r="AG646" i="14"/>
  <c r="AG647" i="14"/>
  <c r="AG648" i="14"/>
  <c r="AG649" i="14"/>
  <c r="AG650" i="14"/>
  <c r="AG651" i="14"/>
  <c r="AG652" i="14"/>
  <c r="AG653" i="14"/>
  <c r="AG654" i="14"/>
  <c r="AG655" i="14"/>
  <c r="AG656" i="14"/>
  <c r="AG657" i="14"/>
  <c r="AG658" i="14"/>
  <c r="AG659" i="14"/>
  <c r="AG660" i="14"/>
  <c r="AG661" i="14"/>
  <c r="AG662" i="14"/>
  <c r="AG663" i="14"/>
  <c r="AG664" i="14"/>
  <c r="AG665" i="14"/>
  <c r="AG666" i="14"/>
  <c r="AG667" i="14"/>
  <c r="AG668" i="14"/>
  <c r="AG669" i="14"/>
  <c r="AG670" i="14"/>
  <c r="AG671" i="14"/>
  <c r="AG672" i="14"/>
  <c r="AG673" i="14"/>
  <c r="AG674" i="14"/>
  <c r="AG675" i="14"/>
  <c r="AG676" i="14"/>
  <c r="AG677" i="14"/>
  <c r="AG678" i="14"/>
  <c r="AG679" i="14"/>
  <c r="AG680" i="14"/>
  <c r="AG681" i="14"/>
  <c r="AG682" i="14"/>
  <c r="AG683" i="14"/>
  <c r="AG684" i="14"/>
  <c r="AG685" i="14"/>
  <c r="AG686" i="14"/>
  <c r="AG687" i="14"/>
  <c r="AG688" i="14"/>
  <c r="AG689" i="14"/>
  <c r="AG690" i="14"/>
  <c r="AG691" i="14"/>
  <c r="AG692" i="14"/>
  <c r="AG693" i="14"/>
  <c r="AG694" i="14"/>
  <c r="AG695" i="14"/>
  <c r="AG696" i="14"/>
  <c r="AG697" i="14"/>
  <c r="AG698" i="14"/>
  <c r="AG699" i="14"/>
  <c r="AG700" i="14"/>
  <c r="AG701" i="14"/>
  <c r="AG702" i="14"/>
  <c r="AG703" i="14"/>
  <c r="AG704" i="14"/>
  <c r="AG705" i="14"/>
  <c r="AG706" i="14"/>
  <c r="AG707" i="14"/>
  <c r="AG708" i="14"/>
  <c r="AG709" i="14"/>
  <c r="AG710" i="14"/>
  <c r="AG711" i="14"/>
  <c r="AG712" i="14"/>
  <c r="AG713" i="14"/>
  <c r="AG714" i="14"/>
  <c r="AG715" i="14"/>
  <c r="AG716" i="14"/>
  <c r="AG717" i="14"/>
  <c r="AG718" i="14"/>
  <c r="AG719" i="14"/>
  <c r="AG720" i="14"/>
  <c r="AG721" i="14"/>
  <c r="AG722" i="14"/>
  <c r="AG723" i="14"/>
  <c r="AG724" i="14"/>
  <c r="AG725" i="14"/>
  <c r="AG726" i="14"/>
  <c r="AG727" i="14"/>
  <c r="AG728" i="14"/>
  <c r="AG729" i="14"/>
  <c r="AG730" i="14"/>
  <c r="AG731" i="14"/>
  <c r="AG732" i="14"/>
  <c r="AG733" i="14"/>
  <c r="AG734" i="14"/>
  <c r="AG735" i="14"/>
  <c r="AG736" i="14"/>
  <c r="AG737" i="14"/>
  <c r="AG738" i="14"/>
  <c r="AG739" i="14"/>
  <c r="AG740" i="14"/>
  <c r="AG741" i="14"/>
  <c r="AG742" i="14"/>
  <c r="AG743" i="14"/>
  <c r="AG744" i="14"/>
  <c r="AG745" i="14"/>
  <c r="AG746" i="14"/>
  <c r="AG747" i="14"/>
  <c r="AG748" i="14"/>
  <c r="AG749" i="14"/>
  <c r="AG750" i="14"/>
  <c r="AG751" i="14"/>
  <c r="AG752" i="14"/>
  <c r="AG753" i="14"/>
  <c r="AG754" i="14"/>
  <c r="AG755" i="14"/>
  <c r="AG756" i="14"/>
  <c r="AG757" i="14"/>
  <c r="AG758" i="14"/>
  <c r="AG759" i="14"/>
  <c r="AG760" i="14"/>
  <c r="AG761" i="14"/>
  <c r="AG762" i="14"/>
  <c r="AG763" i="14"/>
  <c r="AG764" i="14"/>
  <c r="AG765" i="14"/>
  <c r="AG766" i="14"/>
  <c r="AG767" i="14"/>
  <c r="AG768" i="14"/>
  <c r="AG769" i="14"/>
  <c r="AG770" i="14"/>
  <c r="AG771" i="14"/>
  <c r="AG772" i="14"/>
  <c r="AG773" i="14"/>
  <c r="AG774" i="14"/>
  <c r="AG775" i="14"/>
  <c r="AG776" i="14"/>
  <c r="AG777" i="14"/>
  <c r="AG778" i="14"/>
  <c r="AG779" i="14"/>
  <c r="AG780" i="14"/>
  <c r="AG781" i="14"/>
  <c r="AG782" i="14"/>
  <c r="AG783" i="14"/>
  <c r="AG784" i="14"/>
  <c r="AG785" i="14"/>
  <c r="AG786" i="14"/>
  <c r="AG787" i="14"/>
  <c r="AG788" i="14"/>
  <c r="AG789" i="14"/>
  <c r="AG790" i="14"/>
  <c r="AG791" i="14"/>
  <c r="AG792" i="14"/>
  <c r="AG793" i="14"/>
  <c r="AG794" i="14"/>
  <c r="AG795" i="14"/>
  <c r="AG796" i="14"/>
  <c r="AG797" i="14"/>
  <c r="AG798" i="14"/>
  <c r="AG799" i="14"/>
  <c r="AG800" i="14"/>
  <c r="AG801" i="14"/>
  <c r="AG802" i="14"/>
  <c r="AG803" i="14"/>
  <c r="AG804" i="14"/>
  <c r="AG805" i="14"/>
  <c r="AG806" i="14"/>
  <c r="AG807" i="14"/>
  <c r="AG808" i="14"/>
  <c r="AG809" i="14"/>
  <c r="AG810" i="14"/>
  <c r="AG811" i="14"/>
  <c r="AG812" i="14"/>
  <c r="AG813" i="14"/>
  <c r="AG814" i="14"/>
  <c r="AG815" i="14"/>
  <c r="AG816" i="14"/>
  <c r="AG817" i="14"/>
  <c r="AG818" i="14"/>
  <c r="AG819" i="14"/>
  <c r="AG820" i="14"/>
  <c r="AG821" i="14"/>
  <c r="AG822" i="14"/>
  <c r="AG823" i="14"/>
  <c r="AG824" i="14"/>
  <c r="AG825" i="14"/>
  <c r="AG826" i="14"/>
  <c r="AG827" i="14"/>
  <c r="AG828" i="14"/>
  <c r="AG829" i="14"/>
  <c r="AG830" i="14"/>
  <c r="AG831" i="14"/>
  <c r="AG832" i="14"/>
  <c r="AG833" i="14"/>
  <c r="AG834" i="14"/>
  <c r="AG835" i="14"/>
  <c r="AG836" i="14"/>
  <c r="AG837" i="14"/>
  <c r="AG838" i="14"/>
  <c r="AG839" i="14"/>
  <c r="AG840" i="14"/>
  <c r="AG841" i="14"/>
  <c r="AG842" i="14"/>
  <c r="AG843" i="14"/>
  <c r="AG844" i="14"/>
  <c r="AG845" i="14"/>
  <c r="AG846" i="14"/>
  <c r="AG847" i="14"/>
  <c r="AG848" i="14"/>
  <c r="AG849" i="14"/>
  <c r="AG850" i="14"/>
  <c r="AG851" i="14"/>
  <c r="AG852" i="14"/>
  <c r="AG853" i="14"/>
  <c r="AG854" i="14"/>
  <c r="AG855" i="14"/>
  <c r="AG856" i="14"/>
  <c r="AG857" i="14"/>
  <c r="AG858" i="14"/>
  <c r="AG859" i="14"/>
  <c r="AG860" i="14"/>
  <c r="AG861" i="14"/>
  <c r="AG862" i="14"/>
  <c r="AG863" i="14"/>
  <c r="AG864" i="14"/>
  <c r="AG865" i="14"/>
  <c r="AG866" i="14"/>
  <c r="AG867" i="14"/>
  <c r="AG868" i="14"/>
  <c r="AG869" i="14"/>
  <c r="AG870" i="14"/>
  <c r="AG871" i="14"/>
  <c r="AG872" i="14"/>
  <c r="AG873" i="14"/>
  <c r="AG874" i="14"/>
  <c r="AG875" i="14"/>
  <c r="AG876" i="14"/>
  <c r="AG877" i="14"/>
  <c r="AG878" i="14"/>
  <c r="AG879" i="14"/>
  <c r="AG880" i="14"/>
  <c r="AG881" i="14"/>
  <c r="AG882" i="14"/>
  <c r="AG883" i="14"/>
  <c r="AG884" i="14"/>
  <c r="AG885" i="14"/>
  <c r="AG886" i="14"/>
  <c r="AG887" i="14"/>
  <c r="AG888" i="14"/>
  <c r="AG889" i="14"/>
  <c r="AG890" i="14"/>
  <c r="AG891" i="14"/>
  <c r="AG892" i="14"/>
  <c r="AG893" i="14"/>
  <c r="AG894" i="14"/>
  <c r="AG895" i="14"/>
  <c r="AG896" i="14"/>
  <c r="AG897" i="14"/>
  <c r="AG898" i="14"/>
  <c r="AG899" i="14"/>
  <c r="AG900" i="14"/>
  <c r="AG901" i="14"/>
  <c r="AG902" i="14"/>
  <c r="AG903" i="14"/>
  <c r="AG904" i="14"/>
  <c r="AG905" i="14"/>
  <c r="AG906" i="14"/>
  <c r="AG907" i="14"/>
  <c r="AG908" i="14"/>
  <c r="AG909" i="14"/>
  <c r="AG910" i="14"/>
  <c r="AG911" i="14"/>
  <c r="AG912" i="14"/>
  <c r="AG913" i="14"/>
  <c r="AG914" i="14"/>
  <c r="AG915" i="14"/>
  <c r="AG916" i="14"/>
  <c r="AG917" i="14"/>
  <c r="AG918" i="14"/>
  <c r="AG919" i="14"/>
  <c r="AG920" i="14"/>
  <c r="AG921" i="14"/>
  <c r="AG922" i="14"/>
  <c r="AG923" i="14"/>
  <c r="AG924" i="14"/>
  <c r="AG925" i="14"/>
  <c r="AG926" i="14"/>
  <c r="AG927" i="14"/>
  <c r="AG928" i="14"/>
  <c r="AG929" i="14"/>
  <c r="AG930" i="14"/>
  <c r="AG931" i="14"/>
  <c r="AG932" i="14"/>
  <c r="AG933" i="14"/>
  <c r="AG934" i="14"/>
  <c r="AG935" i="14"/>
  <c r="AG936" i="14"/>
  <c r="AG937" i="14"/>
  <c r="AG938" i="14"/>
  <c r="AG939" i="14"/>
  <c r="AG940" i="14"/>
  <c r="AG941" i="14"/>
  <c r="AG942" i="14"/>
  <c r="AG943" i="14"/>
  <c r="AG944" i="14"/>
  <c r="AG945" i="14"/>
  <c r="AG946" i="14"/>
  <c r="AG947" i="14"/>
  <c r="AG948" i="14"/>
  <c r="AG949" i="14"/>
  <c r="AG950" i="14"/>
  <c r="AG951" i="14"/>
  <c r="AG952" i="14"/>
  <c r="AG953" i="14"/>
  <c r="AG954" i="14"/>
  <c r="AG955" i="14"/>
  <c r="AG956" i="14"/>
  <c r="AG957" i="14"/>
  <c r="AG958" i="14"/>
  <c r="AG959" i="14"/>
  <c r="AG960" i="14"/>
  <c r="AG961" i="14"/>
  <c r="AG962" i="14"/>
  <c r="AG963" i="14"/>
  <c r="AG964" i="14"/>
  <c r="AG965" i="14"/>
  <c r="AG966" i="14"/>
  <c r="AG967" i="14"/>
  <c r="AG968" i="14"/>
  <c r="AG969" i="14"/>
  <c r="AG970" i="14"/>
  <c r="AG971" i="14"/>
  <c r="AG972" i="14"/>
  <c r="AG973" i="14"/>
  <c r="AG974" i="14"/>
  <c r="AG975" i="14"/>
  <c r="AG976" i="14"/>
  <c r="AG977" i="14"/>
  <c r="AG978" i="14"/>
  <c r="AG979" i="14"/>
  <c r="AG980" i="14"/>
  <c r="AG981" i="14"/>
  <c r="AG982" i="14"/>
  <c r="AG983" i="14"/>
  <c r="AG984" i="14"/>
  <c r="AG985" i="14"/>
  <c r="AG986" i="14"/>
  <c r="AG987" i="14"/>
  <c r="AG988" i="14"/>
  <c r="AG989" i="14"/>
  <c r="AG990" i="14"/>
  <c r="AG991" i="14"/>
  <c r="AG992" i="14"/>
  <c r="AG993" i="14"/>
  <c r="AG994" i="14"/>
  <c r="AG995" i="14"/>
  <c r="AG996" i="14"/>
  <c r="AG997" i="14"/>
  <c r="AG998" i="14"/>
  <c r="AG999" i="14"/>
  <c r="AG1000" i="14"/>
  <c r="AG1001" i="14"/>
  <c r="AG1002" i="14"/>
  <c r="AG1003" i="14"/>
  <c r="AG1004" i="14"/>
  <c r="AG1005" i="14"/>
  <c r="AG1006" i="14"/>
  <c r="AG1007" i="14"/>
  <c r="AG1008" i="14"/>
  <c r="AG1009" i="14"/>
  <c r="AG1010" i="14"/>
  <c r="AG1011" i="14"/>
  <c r="AG1012" i="14"/>
  <c r="AG1013" i="14"/>
  <c r="AG1014" i="14"/>
  <c r="AG1015" i="14"/>
  <c r="AG1016" i="14"/>
  <c r="AG1017" i="14"/>
  <c r="AG1018" i="14"/>
  <c r="AG1019" i="14"/>
  <c r="AG1020" i="14"/>
  <c r="AG1021" i="14"/>
  <c r="AG1022" i="14"/>
  <c r="AG1023" i="14"/>
  <c r="AG1024" i="14"/>
  <c r="AG1025" i="14"/>
  <c r="AG1026" i="14"/>
  <c r="AG1027" i="14"/>
  <c r="AG1028" i="14"/>
  <c r="AG1029" i="14"/>
  <c r="AG1030" i="14"/>
  <c r="AG1031" i="14"/>
  <c r="AG1032" i="14"/>
  <c r="AG1033" i="14"/>
  <c r="AG1034" i="14"/>
  <c r="AG1035" i="14"/>
  <c r="AG1036" i="14"/>
  <c r="AG1037" i="14"/>
  <c r="AG1038" i="14"/>
  <c r="AG1039" i="14"/>
  <c r="AG1040" i="14"/>
  <c r="AG1041" i="14"/>
  <c r="AG1042" i="14"/>
  <c r="AG1043" i="14"/>
  <c r="AG1044" i="14"/>
  <c r="AG1045" i="14"/>
  <c r="AG1046" i="14"/>
  <c r="AG1047" i="14"/>
  <c r="AG1048" i="14"/>
  <c r="AG1049" i="14"/>
  <c r="AG1050" i="14"/>
  <c r="AG1051" i="14"/>
  <c r="AG1052" i="14"/>
  <c r="AG1053" i="14"/>
  <c r="AG1054" i="14"/>
  <c r="AG1055" i="14"/>
  <c r="AG1056" i="14"/>
  <c r="AG1057" i="14"/>
  <c r="AG1058" i="14"/>
  <c r="AG1059" i="14"/>
  <c r="AG1060" i="14"/>
  <c r="AG1061" i="14"/>
  <c r="AG1062" i="14"/>
  <c r="AG1063" i="14"/>
  <c r="AG1064" i="14"/>
  <c r="AG1065" i="14"/>
  <c r="AG1066" i="14"/>
  <c r="AG1067" i="14"/>
  <c r="AG1068" i="14"/>
  <c r="AG1069" i="14"/>
  <c r="AG1070" i="14"/>
  <c r="AG1071" i="14"/>
  <c r="AG1072" i="14"/>
  <c r="AG1073" i="14"/>
  <c r="AG1074" i="14"/>
  <c r="AG1075" i="14"/>
  <c r="AG1076" i="14"/>
  <c r="AG1077" i="14"/>
  <c r="AG1078" i="14"/>
  <c r="AG1079" i="14"/>
  <c r="AG1080" i="14"/>
  <c r="AG1081" i="14"/>
  <c r="AG1082" i="14"/>
  <c r="AG1083" i="14"/>
  <c r="AG1084" i="14"/>
  <c r="AG1085" i="14"/>
  <c r="AG1086" i="14"/>
  <c r="AG1087" i="14"/>
  <c r="AG1088" i="14"/>
  <c r="AG1089" i="14"/>
  <c r="AG1090" i="14"/>
  <c r="AG1091" i="14"/>
  <c r="AG1092" i="14"/>
  <c r="AG1093" i="14"/>
  <c r="AG1094" i="14"/>
  <c r="AG1095" i="14"/>
  <c r="AG1096" i="14"/>
  <c r="AG1097" i="14"/>
  <c r="AG1098" i="14"/>
  <c r="AG1099" i="14"/>
  <c r="AG1100" i="14"/>
  <c r="AG1101" i="14"/>
  <c r="AG1102" i="14"/>
  <c r="AG1103" i="14"/>
  <c r="AG1104" i="14"/>
  <c r="AG1105" i="14"/>
  <c r="AG1106" i="14"/>
  <c r="AG1107" i="14"/>
  <c r="AG1108" i="14"/>
  <c r="AG1109" i="14"/>
  <c r="AG1110" i="14"/>
  <c r="AG1111" i="14"/>
  <c r="AG1112" i="14"/>
  <c r="AG1113" i="14"/>
  <c r="AG1114" i="14"/>
  <c r="AG1115" i="14"/>
  <c r="AG1116" i="14"/>
  <c r="AG1117" i="14"/>
  <c r="AG1118" i="14"/>
  <c r="AG1119" i="14"/>
  <c r="AG1120" i="14"/>
  <c r="AG1121" i="14"/>
  <c r="AG1122" i="14"/>
  <c r="AG1123" i="14"/>
  <c r="AG1124" i="14"/>
  <c r="AG1125" i="14"/>
  <c r="AG1126" i="14"/>
  <c r="AG1127" i="14"/>
  <c r="AG1128" i="14"/>
  <c r="AG1129" i="14"/>
  <c r="AG1130" i="14"/>
  <c r="AG1131" i="14"/>
  <c r="AG1132" i="14"/>
  <c r="AG1133" i="14"/>
  <c r="AG1134" i="14"/>
  <c r="AG1135" i="14"/>
  <c r="AG1136" i="14"/>
  <c r="AG1137" i="14"/>
  <c r="AG1138" i="14"/>
  <c r="AG1139" i="14"/>
  <c r="AG1140" i="14"/>
  <c r="AG1141" i="14"/>
  <c r="AG1142" i="14"/>
  <c r="AG1143" i="14"/>
  <c r="AG1144" i="14"/>
  <c r="AG1145" i="14"/>
  <c r="AG1146" i="14"/>
  <c r="AG1147" i="14"/>
  <c r="AG1148" i="14"/>
  <c r="AG1149" i="14"/>
  <c r="AG1150" i="14"/>
  <c r="AG1151" i="14"/>
  <c r="AG1152" i="14"/>
  <c r="AG1153" i="14"/>
  <c r="AG1154" i="14"/>
  <c r="AG1155" i="14"/>
  <c r="AG1156" i="14"/>
  <c r="AG1157" i="14"/>
  <c r="AG1158" i="14"/>
  <c r="AG1159" i="14"/>
  <c r="AG1160" i="14"/>
  <c r="AG1161" i="14"/>
  <c r="AG1162" i="14"/>
  <c r="AG1163" i="14"/>
  <c r="AG1164" i="14"/>
  <c r="AG1165" i="14"/>
  <c r="AG1166" i="14"/>
  <c r="AG1167" i="14"/>
  <c r="AG1168" i="14"/>
  <c r="AG1169" i="14"/>
  <c r="AG1170" i="14"/>
  <c r="AG1171" i="14"/>
  <c r="AG1172" i="14"/>
  <c r="AG1173" i="14"/>
  <c r="AG1174" i="14"/>
  <c r="AG1175" i="14"/>
  <c r="AG1176" i="14"/>
  <c r="AG1177" i="14"/>
  <c r="AG1178" i="14"/>
  <c r="AG1179" i="14"/>
  <c r="AG1180" i="14"/>
  <c r="AG1181" i="14"/>
  <c r="AG1182" i="14"/>
  <c r="AG1183" i="14"/>
  <c r="AG1184" i="14"/>
  <c r="AG1185" i="14"/>
  <c r="AG1186" i="14"/>
  <c r="AG1187" i="14"/>
  <c r="AG1188" i="14"/>
  <c r="AG1189" i="14"/>
  <c r="AG1190" i="14"/>
  <c r="AG1191" i="14"/>
  <c r="AG1192" i="14"/>
  <c r="AG1193" i="14"/>
  <c r="AG1194" i="14"/>
  <c r="AG1195" i="14"/>
  <c r="AG1196" i="14"/>
  <c r="AG1197" i="14"/>
  <c r="AG1198" i="14"/>
  <c r="AG1199" i="14"/>
  <c r="AG1200" i="14"/>
  <c r="AG1201" i="14"/>
  <c r="AG1202" i="14"/>
  <c r="AG1203" i="14"/>
  <c r="AG1204" i="14"/>
  <c r="AG1205" i="14"/>
  <c r="AG1206" i="14"/>
  <c r="AG1207" i="14"/>
  <c r="AG1208" i="14"/>
  <c r="AG1209" i="14"/>
  <c r="AG1210" i="14"/>
  <c r="AG1211" i="14"/>
  <c r="AG1212" i="14"/>
  <c r="AG1213" i="14"/>
  <c r="AG1214" i="14"/>
  <c r="AG1215" i="14"/>
  <c r="AG1216" i="14"/>
  <c r="AG1217" i="14"/>
  <c r="AG1218" i="14"/>
  <c r="AG1219" i="14"/>
  <c r="AG1220" i="14"/>
  <c r="AG1221" i="14"/>
  <c r="AG1222" i="14"/>
  <c r="AG1223" i="14"/>
  <c r="AG1224" i="14"/>
  <c r="AG1225" i="14"/>
  <c r="AG1226" i="14"/>
  <c r="AG1227" i="14"/>
  <c r="AG1228" i="14"/>
  <c r="AG1229" i="14"/>
  <c r="AG1230" i="14"/>
  <c r="AG1231" i="14"/>
  <c r="AG1232" i="14"/>
  <c r="AG1233" i="14"/>
  <c r="AG1234" i="14"/>
  <c r="AG1235" i="14"/>
  <c r="AG1236" i="14"/>
  <c r="AG1237" i="14"/>
  <c r="AG1238" i="14"/>
  <c r="AG1239" i="14"/>
  <c r="AG1240" i="14"/>
  <c r="AG1241" i="14"/>
  <c r="AG1242" i="14"/>
  <c r="AG1243" i="14"/>
  <c r="AG1244" i="14"/>
  <c r="AG1245" i="14"/>
  <c r="AG1246" i="14"/>
  <c r="AG1247" i="14"/>
  <c r="AG1248" i="14"/>
  <c r="AG1249" i="14"/>
  <c r="AG1250" i="14"/>
  <c r="AG1251" i="14"/>
  <c r="AG1252" i="14"/>
  <c r="AG1253" i="14"/>
  <c r="AG1254" i="14"/>
  <c r="AG1255" i="14"/>
  <c r="AG1256" i="14"/>
  <c r="AG1257" i="14"/>
  <c r="AG1258" i="14"/>
  <c r="AG1259" i="14"/>
  <c r="AG1260" i="14"/>
  <c r="AG1261" i="14"/>
  <c r="AG1262" i="14"/>
  <c r="AG1263" i="14"/>
  <c r="AG1264" i="14"/>
  <c r="AG1265" i="14"/>
  <c r="AG1266" i="14"/>
  <c r="AG1267" i="14"/>
  <c r="AG1268" i="14"/>
  <c r="AG1269" i="14"/>
  <c r="AG1270" i="14"/>
  <c r="AG1271" i="14"/>
  <c r="AG1272" i="14"/>
  <c r="AG1273" i="14"/>
  <c r="AG1274" i="14"/>
  <c r="AG1275" i="14"/>
  <c r="AG1276" i="14"/>
  <c r="AG1277" i="14"/>
  <c r="AG1278" i="14"/>
  <c r="AG1279" i="14"/>
  <c r="AG1280" i="14"/>
  <c r="AG1281" i="14"/>
  <c r="AG1282" i="14"/>
  <c r="AG1283" i="14"/>
  <c r="AG1284" i="14"/>
  <c r="AG1285" i="14"/>
  <c r="AG1286" i="14"/>
  <c r="AG1287" i="14"/>
  <c r="AG1288" i="14"/>
  <c r="AG1289" i="14"/>
  <c r="AG1290" i="14"/>
  <c r="AG1291" i="14"/>
  <c r="AG1292" i="14"/>
  <c r="AG1293" i="14"/>
  <c r="AG1294" i="14"/>
  <c r="AG1295" i="14"/>
  <c r="AG1296" i="14"/>
  <c r="AG1297" i="14"/>
  <c r="AG1298" i="14"/>
  <c r="AG1299" i="14"/>
  <c r="AG1300" i="14"/>
  <c r="AG1301" i="14"/>
  <c r="AG1302" i="14"/>
  <c r="AG1303" i="14"/>
  <c r="AG1304" i="14"/>
  <c r="AG1305" i="14"/>
  <c r="AG1306" i="14"/>
  <c r="AG1307" i="14"/>
  <c r="AG1308" i="14"/>
  <c r="AG1309" i="14"/>
  <c r="AG1310" i="14"/>
  <c r="AG1311" i="14"/>
  <c r="AG1312" i="14"/>
  <c r="AG1313" i="14"/>
  <c r="AG1314" i="14"/>
  <c r="AG1315" i="14"/>
  <c r="AG1316" i="14"/>
  <c r="AG1317" i="14"/>
  <c r="AG1318" i="14"/>
  <c r="AG1319" i="14"/>
  <c r="AG1320" i="14"/>
  <c r="AG1321" i="14"/>
  <c r="AG1322" i="14"/>
  <c r="AG1323" i="14"/>
  <c r="AG1324" i="14"/>
  <c r="AG1325" i="14"/>
  <c r="AG1326" i="14"/>
  <c r="AG1327" i="14"/>
  <c r="AG1328" i="14"/>
  <c r="AG1329" i="14"/>
  <c r="AG1330" i="14"/>
  <c r="AG1331" i="14"/>
  <c r="AG1332" i="14"/>
  <c r="AG1333" i="14"/>
  <c r="AG1334" i="14"/>
  <c r="AG1335" i="14"/>
  <c r="AG1336" i="14"/>
  <c r="AG1337" i="14"/>
  <c r="AG1338" i="14"/>
  <c r="AG1339" i="14"/>
  <c r="AG1340" i="14"/>
  <c r="AG1341" i="14"/>
  <c r="AG1342" i="14"/>
  <c r="AG1343" i="14"/>
  <c r="AG1344" i="14"/>
  <c r="AG1345" i="14"/>
  <c r="AG1346" i="14"/>
  <c r="AG1347" i="14"/>
  <c r="AG1348" i="14"/>
  <c r="AG1349" i="14"/>
  <c r="AG1350" i="14"/>
  <c r="AG1351" i="14"/>
  <c r="AG1352" i="14"/>
  <c r="AG1353" i="14"/>
  <c r="AG1354" i="14"/>
  <c r="AG1355" i="14"/>
  <c r="AG1356" i="14"/>
  <c r="AG1357" i="14"/>
  <c r="AG1358" i="14"/>
  <c r="AG1359" i="14"/>
  <c r="AG1360" i="14"/>
  <c r="AG1361" i="14"/>
  <c r="AG1362" i="14"/>
  <c r="AG1363" i="14"/>
  <c r="AG1364" i="14"/>
  <c r="AG1365" i="14"/>
  <c r="AG1366" i="14"/>
  <c r="AG1367" i="14"/>
  <c r="AG1368" i="14"/>
  <c r="AG1369" i="14"/>
  <c r="AG1370" i="14"/>
  <c r="AG1371" i="14"/>
  <c r="AG1372" i="14"/>
  <c r="AG1373" i="14"/>
  <c r="AG1374" i="14"/>
  <c r="AG1375" i="14"/>
  <c r="AG1376" i="14"/>
  <c r="AG1377" i="14"/>
  <c r="AG1378" i="14"/>
  <c r="AG1379" i="14"/>
  <c r="AG1380" i="14"/>
  <c r="AG1381" i="14"/>
  <c r="AG1382" i="14"/>
  <c r="AG1383" i="14"/>
  <c r="AG1384" i="14"/>
  <c r="AG1385" i="14"/>
  <c r="AG1386" i="14"/>
  <c r="AG1387" i="14"/>
  <c r="AG1388" i="14"/>
  <c r="AG1389" i="14"/>
  <c r="AG1390" i="14"/>
  <c r="AG1391" i="14"/>
  <c r="AG1392" i="14"/>
  <c r="AG1393" i="14"/>
  <c r="AG1394" i="14"/>
  <c r="AG1395" i="14"/>
  <c r="AG1396" i="14"/>
  <c r="AG1397" i="14"/>
  <c r="AG1398" i="14"/>
  <c r="AG1399" i="14"/>
  <c r="AG1400" i="14"/>
  <c r="AG1401" i="14"/>
  <c r="AG1402" i="14"/>
  <c r="AG1403" i="14"/>
  <c r="AG1404" i="14"/>
  <c r="AG1405" i="14"/>
  <c r="AG1406" i="14"/>
  <c r="AG1407" i="14"/>
  <c r="AG1408" i="14"/>
  <c r="AG1409" i="14"/>
  <c r="AG1410" i="14"/>
  <c r="AG1411" i="14"/>
  <c r="AG1412" i="14"/>
  <c r="AG1413" i="14"/>
  <c r="AG1414" i="14"/>
  <c r="AG1415" i="14"/>
  <c r="AG1416" i="14"/>
  <c r="AG1417" i="14"/>
  <c r="AG1418" i="14"/>
  <c r="AG1419" i="14"/>
  <c r="AG1420" i="14"/>
  <c r="AG1421" i="14"/>
  <c r="AG1422" i="14"/>
  <c r="AG1423" i="14"/>
  <c r="AG1424" i="14"/>
  <c r="AG1425" i="14"/>
  <c r="AG1426" i="14"/>
  <c r="AG1427" i="14"/>
  <c r="AG1428" i="14"/>
  <c r="AG1429" i="14"/>
  <c r="AG1430" i="14"/>
  <c r="AG1431" i="14"/>
  <c r="AG1432" i="14"/>
  <c r="AG1433" i="14"/>
  <c r="AG1434" i="14"/>
  <c r="AG1435" i="14"/>
  <c r="AG1436" i="14"/>
  <c r="AG1437" i="14"/>
  <c r="AG1438" i="14"/>
  <c r="AG1439" i="14"/>
  <c r="AG1440" i="14"/>
  <c r="AG1441" i="14"/>
  <c r="AG1442" i="14"/>
  <c r="AG1443" i="14"/>
  <c r="AG1444" i="14"/>
  <c r="AG1445" i="14"/>
  <c r="AG1446" i="14"/>
  <c r="AG1447" i="14"/>
  <c r="AG1448" i="14"/>
  <c r="AG1449" i="14"/>
  <c r="AG1450" i="14"/>
  <c r="AG1451" i="14"/>
  <c r="AG1452" i="14"/>
  <c r="AG1453" i="14"/>
  <c r="AG1454" i="14"/>
  <c r="AG1455" i="14"/>
  <c r="AG1456" i="14"/>
  <c r="AG1457" i="14"/>
  <c r="AG1458" i="14"/>
  <c r="AG1459" i="14"/>
  <c r="AG1460" i="14"/>
  <c r="AG1461" i="14"/>
  <c r="AG1462" i="14"/>
  <c r="AG1463" i="14"/>
  <c r="AG1464" i="14"/>
  <c r="AG1465" i="14"/>
  <c r="AG1466" i="14"/>
  <c r="AG1467" i="14"/>
  <c r="AG1468" i="14"/>
  <c r="AG1469" i="14"/>
  <c r="AG1470" i="14"/>
  <c r="AG1471" i="14"/>
  <c r="AG1472" i="14"/>
  <c r="AG1473" i="14"/>
  <c r="AG1474" i="14"/>
  <c r="AG1475" i="14"/>
  <c r="AG1476" i="14"/>
  <c r="AG1477" i="14"/>
  <c r="AG1478" i="14"/>
  <c r="AG1479" i="14"/>
  <c r="AG1480" i="14"/>
  <c r="AG1481" i="14"/>
  <c r="AG1482" i="14"/>
  <c r="AG1483" i="14"/>
  <c r="AG1484" i="14"/>
  <c r="AG1485" i="14"/>
  <c r="AG1486" i="14"/>
  <c r="AG1487" i="14"/>
  <c r="AG1488" i="14"/>
  <c r="AG1489" i="14"/>
  <c r="AG1490" i="14"/>
  <c r="AG1491" i="14"/>
  <c r="AG1492" i="14"/>
  <c r="AG1493" i="14"/>
  <c r="AG1494" i="14"/>
  <c r="AG1495" i="14"/>
  <c r="AG1496" i="14"/>
  <c r="AG1497" i="14"/>
  <c r="AG1498" i="14"/>
  <c r="AG1499" i="14"/>
  <c r="AG1500" i="14"/>
  <c r="AG1501" i="14"/>
  <c r="AG1502" i="14"/>
  <c r="AG1503" i="14"/>
  <c r="AG1504" i="14"/>
  <c r="AG1505" i="14"/>
  <c r="AG1506" i="14"/>
  <c r="AG1507" i="14"/>
  <c r="AG1508" i="14"/>
  <c r="AG1509" i="14"/>
  <c r="AG1510" i="14"/>
  <c r="AG1511" i="14"/>
  <c r="AG1512" i="14"/>
  <c r="AG1513" i="14"/>
  <c r="AG1514" i="14"/>
  <c r="AG1515" i="14"/>
  <c r="AG1516" i="14"/>
  <c r="AG1517" i="14"/>
  <c r="AG1518" i="14"/>
  <c r="AG1519" i="14"/>
  <c r="AG1520" i="14"/>
  <c r="AG1521" i="14"/>
  <c r="AG1522" i="14"/>
  <c r="AG1523" i="14"/>
  <c r="AG1524" i="14"/>
  <c r="AG1525" i="14"/>
  <c r="AG1526" i="14"/>
  <c r="AG1527" i="14"/>
  <c r="AG1528" i="14"/>
  <c r="AG1529" i="14"/>
  <c r="AG1530" i="14"/>
  <c r="AG1531" i="14"/>
  <c r="AG1532" i="14"/>
  <c r="AG1533" i="14"/>
  <c r="AG1534" i="14"/>
  <c r="AG1535" i="14"/>
  <c r="AG1536" i="14"/>
  <c r="AG1537" i="14"/>
  <c r="AG1538" i="14"/>
  <c r="AG1539" i="14"/>
  <c r="AG1540" i="14"/>
  <c r="AG1541" i="14"/>
  <c r="AG1542" i="14"/>
  <c r="AG1543" i="14"/>
  <c r="AG1544" i="14"/>
  <c r="AG1545" i="14"/>
  <c r="AG1546" i="14"/>
  <c r="AG1547" i="14"/>
  <c r="AG1548" i="14"/>
  <c r="AG1549" i="14"/>
  <c r="AG1550" i="14"/>
  <c r="AG1551" i="14"/>
  <c r="AG1552" i="14"/>
  <c r="AG1553" i="14"/>
  <c r="AG1554" i="14"/>
  <c r="AG1555" i="14"/>
  <c r="AG1556" i="14"/>
  <c r="AG1557" i="14"/>
  <c r="AG1558" i="14"/>
  <c r="AG1559" i="14"/>
  <c r="AG1560" i="14"/>
  <c r="AG1561" i="14"/>
  <c r="AG1562" i="14"/>
  <c r="AG1563" i="14"/>
  <c r="AG1564" i="14"/>
  <c r="AG1565" i="14"/>
  <c r="AG1566" i="14"/>
  <c r="AG1567" i="14"/>
  <c r="AG1568" i="14"/>
  <c r="AG1569" i="14"/>
  <c r="AG1570" i="14"/>
  <c r="AG1571" i="14"/>
  <c r="AG1572" i="14"/>
  <c r="AG1573" i="14"/>
  <c r="AG1574" i="14"/>
  <c r="AG1575" i="14"/>
  <c r="AG1576" i="14"/>
  <c r="AG1577" i="14"/>
  <c r="AG1578" i="14"/>
  <c r="AG1579" i="14"/>
  <c r="AG1580" i="14"/>
  <c r="AG1581" i="14"/>
  <c r="AG1582" i="14"/>
  <c r="AG1583" i="14"/>
  <c r="AG1584" i="14"/>
  <c r="AG1585" i="14"/>
  <c r="AG1586" i="14"/>
  <c r="AG1587" i="14"/>
  <c r="AG1588" i="14"/>
  <c r="AG1589" i="14"/>
  <c r="AG1590" i="14"/>
  <c r="AG1591" i="14"/>
  <c r="AG1592" i="14"/>
  <c r="AG1593" i="14"/>
  <c r="AG1594" i="14"/>
  <c r="AG1595" i="14"/>
  <c r="AG1596" i="14"/>
  <c r="AG1597" i="14"/>
  <c r="AG1598" i="14"/>
  <c r="AG1599" i="14"/>
  <c r="AG1600" i="14"/>
  <c r="AG1601" i="14"/>
  <c r="AG1602" i="14"/>
  <c r="AG1603" i="14"/>
  <c r="AG1604" i="14"/>
  <c r="AG1605" i="14"/>
  <c r="AG1606" i="14"/>
  <c r="AG1607" i="14"/>
  <c r="AG1608" i="14"/>
  <c r="AG1609" i="14"/>
  <c r="AG1610" i="14"/>
  <c r="AG1611" i="14"/>
  <c r="AG1612" i="14"/>
  <c r="AG1613" i="14"/>
  <c r="AG1614" i="14"/>
  <c r="AG1615" i="14"/>
  <c r="AG1616" i="14"/>
  <c r="AG1617" i="14"/>
  <c r="AG1618" i="14"/>
  <c r="AG1619" i="14"/>
  <c r="AG1620" i="14"/>
  <c r="AG1621" i="14"/>
  <c r="AG1622" i="14"/>
  <c r="AG1623" i="14"/>
  <c r="AG1624" i="14"/>
  <c r="AG1625" i="14"/>
  <c r="AG1626" i="14"/>
  <c r="AG1627" i="14"/>
  <c r="AG1628" i="14"/>
  <c r="AG1629" i="14"/>
  <c r="AG1630" i="14"/>
  <c r="AG1631" i="14"/>
  <c r="AG1632" i="14"/>
  <c r="AG1633" i="14"/>
  <c r="AG1634" i="14"/>
  <c r="AG1635" i="14"/>
  <c r="AG1636" i="14"/>
  <c r="AG1637" i="14"/>
  <c r="AG1638" i="14"/>
  <c r="AG1639" i="14"/>
  <c r="AG1640" i="14"/>
  <c r="AG1641" i="14"/>
  <c r="AG1642" i="14"/>
  <c r="AG1643" i="14"/>
  <c r="AG1644" i="14"/>
  <c r="AG1645" i="14"/>
  <c r="AG1646" i="14"/>
  <c r="AG1647" i="14"/>
  <c r="AG1648" i="14"/>
  <c r="AG1649" i="14"/>
  <c r="AG1650" i="14"/>
  <c r="AG1651" i="14"/>
  <c r="AG1652" i="14"/>
  <c r="AG1653" i="14"/>
  <c r="AG1654" i="14"/>
  <c r="AG1655" i="14"/>
  <c r="AG1656" i="14"/>
  <c r="AG1657" i="14"/>
  <c r="AG1658" i="14"/>
  <c r="AG1659" i="14"/>
  <c r="AG1660" i="14"/>
  <c r="AG1661" i="14"/>
  <c r="AG1662" i="14"/>
  <c r="AG1663" i="14"/>
  <c r="AG1664" i="14"/>
  <c r="AG1665" i="14"/>
  <c r="AG1666" i="14"/>
  <c r="AG1667" i="14"/>
  <c r="AG1668" i="14"/>
  <c r="AG1669" i="14"/>
  <c r="AG1670" i="14"/>
  <c r="AG1671" i="14"/>
  <c r="AG1672" i="14"/>
  <c r="AG1673" i="14"/>
  <c r="AG1674" i="14"/>
  <c r="AG1675" i="14"/>
  <c r="AG1676" i="14"/>
  <c r="AG1677" i="14"/>
  <c r="AG1678" i="14"/>
  <c r="AG1679" i="14"/>
  <c r="AG1680" i="14"/>
  <c r="AG1681" i="14"/>
  <c r="AG1682" i="14"/>
  <c r="AG1683" i="14"/>
  <c r="AG1684" i="14"/>
  <c r="AG1685" i="14"/>
  <c r="AG1686" i="14"/>
  <c r="AG1687" i="14"/>
  <c r="AG1688" i="14"/>
  <c r="AG1689" i="14"/>
  <c r="AG1690" i="14"/>
  <c r="AG1691" i="14"/>
  <c r="AG1692" i="14"/>
  <c r="AG1693" i="14"/>
  <c r="AG1694" i="14"/>
  <c r="AG1695" i="14"/>
  <c r="AG1696" i="14"/>
  <c r="AG1697" i="14"/>
  <c r="AG1698" i="14"/>
  <c r="AG1699" i="14"/>
  <c r="AG1700" i="14"/>
  <c r="AG1701" i="14"/>
  <c r="AG1702" i="14"/>
  <c r="AG1703" i="14"/>
  <c r="AG1704" i="14"/>
  <c r="AG1705" i="14"/>
  <c r="AG1706" i="14"/>
  <c r="AG1707" i="14"/>
  <c r="AG1708" i="14"/>
  <c r="AG1709" i="14"/>
  <c r="AG1710" i="14"/>
  <c r="AG1711" i="14"/>
  <c r="AG1712" i="14"/>
  <c r="AG1713" i="14"/>
  <c r="AG1714" i="14"/>
  <c r="AG1715" i="14"/>
  <c r="AG1716" i="14"/>
  <c r="AG1717" i="14"/>
  <c r="AG1718" i="14"/>
  <c r="AG1719" i="14"/>
  <c r="AG1720" i="14"/>
  <c r="AG1721" i="14"/>
  <c r="AG1722" i="14"/>
  <c r="AG1723" i="14"/>
  <c r="AG1724" i="14"/>
  <c r="AG1725" i="14"/>
  <c r="AG1726" i="14"/>
  <c r="AG1727" i="14"/>
  <c r="AG1728" i="14"/>
  <c r="AG1729" i="14"/>
  <c r="AG1730" i="14"/>
  <c r="AG1731" i="14"/>
  <c r="AG1732" i="14"/>
  <c r="AG1733" i="14"/>
  <c r="AG3" i="14"/>
  <c r="AW3" i="14"/>
  <c r="AW109" i="14"/>
  <c r="AW110" i="14"/>
  <c r="AW111" i="14"/>
  <c r="AU111" i="14"/>
  <c r="AV111" i="14" s="1"/>
  <c r="AU110" i="14"/>
  <c r="AV110" i="14" s="1"/>
  <c r="AU109" i="14"/>
  <c r="AV109" i="14"/>
  <c r="AW108" i="14"/>
  <c r="AU108" i="14"/>
  <c r="AV108" i="14" s="1"/>
  <c r="AW103" i="14"/>
  <c r="AW104" i="14"/>
  <c r="AW105" i="14"/>
  <c r="AW106" i="14"/>
  <c r="AW107" i="14"/>
  <c r="AU107" i="14"/>
  <c r="AV107" i="14" s="1"/>
  <c r="AU106" i="14"/>
  <c r="AV106" i="14" s="1"/>
  <c r="AU105" i="14"/>
  <c r="AV105" i="14" s="1"/>
  <c r="AU104" i="14"/>
  <c r="AV104" i="14" s="1"/>
  <c r="AU103" i="14"/>
  <c r="AV103" i="14" s="1"/>
  <c r="AU71" i="14"/>
  <c r="AV71" i="14" s="1"/>
  <c r="AW71" i="14" s="1"/>
  <c r="AU72" i="14"/>
  <c r="AV72" i="14" s="1"/>
  <c r="AW72" i="14" s="1"/>
  <c r="AU73" i="14"/>
  <c r="AV73" i="14" s="1"/>
  <c r="AW73" i="14" s="1"/>
  <c r="AU74" i="14"/>
  <c r="AV74" i="14" s="1"/>
  <c r="AW74" i="14" s="1"/>
  <c r="AU75" i="14"/>
  <c r="AV75" i="14"/>
  <c r="AW75" i="14"/>
  <c r="AU76" i="14"/>
  <c r="AV76" i="14"/>
  <c r="AW76" i="14"/>
  <c r="AU77" i="14"/>
  <c r="AV77" i="14"/>
  <c r="AW77" i="14"/>
  <c r="AU78" i="14"/>
  <c r="AV78" i="14"/>
  <c r="AW78" i="14"/>
  <c r="AU79" i="14"/>
  <c r="AV79" i="14" s="1"/>
  <c r="AW79" i="14" s="1"/>
  <c r="AU80" i="14"/>
  <c r="AV80" i="14"/>
  <c r="AW80" i="14"/>
  <c r="AU81" i="14"/>
  <c r="AV81" i="14"/>
  <c r="AW81" i="14"/>
  <c r="AU82" i="14"/>
  <c r="AV82" i="14"/>
  <c r="AW82" i="14"/>
  <c r="AU83" i="14"/>
  <c r="AV83" i="14"/>
  <c r="AW83" i="14"/>
  <c r="AU84" i="14"/>
  <c r="AV84" i="14"/>
  <c r="AW84" i="14"/>
  <c r="AU85" i="14"/>
  <c r="AV85" i="14" s="1"/>
  <c r="AW85" i="14" s="1"/>
  <c r="AU86" i="14"/>
  <c r="AV86" i="14"/>
  <c r="AW86" i="14"/>
  <c r="AU87" i="14"/>
  <c r="AV87" i="14" s="1"/>
  <c r="AW87" i="14" s="1"/>
  <c r="AU88" i="14"/>
  <c r="AV88" i="14"/>
  <c r="AW88" i="14"/>
  <c r="AU89" i="14"/>
  <c r="AV89" i="14"/>
  <c r="AW89" i="14"/>
  <c r="AU90" i="14"/>
  <c r="AV90" i="14"/>
  <c r="AW90" i="14"/>
  <c r="AU91" i="14"/>
  <c r="AV91" i="14"/>
  <c r="AW91" i="14"/>
  <c r="AU92" i="14"/>
  <c r="AV92" i="14"/>
  <c r="AW92" i="14" s="1"/>
  <c r="AU93" i="14"/>
  <c r="AV93" i="14" s="1"/>
  <c r="AW93" i="14" s="1"/>
  <c r="AU94" i="14"/>
  <c r="AV94" i="14"/>
  <c r="AW94" i="14"/>
  <c r="AU95" i="14"/>
  <c r="AV95" i="14" s="1"/>
  <c r="AW95" i="14" s="1"/>
  <c r="AU96" i="14"/>
  <c r="AV96" i="14"/>
  <c r="AW96" i="14"/>
  <c r="AU97" i="14"/>
  <c r="AV97" i="14"/>
  <c r="AW97" i="14"/>
  <c r="AU98" i="14"/>
  <c r="AV98" i="14"/>
  <c r="AW98" i="14" s="1"/>
  <c r="AU99" i="14"/>
  <c r="AV99" i="14"/>
  <c r="AW99" i="14"/>
  <c r="AU100" i="14"/>
  <c r="AV100" i="14"/>
  <c r="AW100" i="14" s="1"/>
  <c r="AU101" i="14"/>
  <c r="AV101" i="14" s="1"/>
  <c r="AW101" i="14" s="1"/>
  <c r="AU102" i="14"/>
  <c r="AV102" i="14"/>
  <c r="AW102" i="14" s="1"/>
  <c r="AW4" i="14"/>
  <c r="AW5" i="14"/>
  <c r="AW6" i="14"/>
  <c r="AW7" i="14"/>
  <c r="AW8" i="14"/>
  <c r="AW9" i="14"/>
  <c r="AW10" i="14"/>
  <c r="AW11" i="14"/>
  <c r="AW12" i="14"/>
  <c r="AW13" i="14"/>
  <c r="AW14" i="14"/>
  <c r="AW15" i="14"/>
  <c r="AW16" i="14"/>
  <c r="AW17" i="14"/>
  <c r="AW18" i="14"/>
  <c r="AW19" i="14"/>
  <c r="AW20" i="14"/>
  <c r="AW21" i="14"/>
  <c r="AW22" i="14"/>
  <c r="AW23" i="14"/>
  <c r="AW24" i="14"/>
  <c r="AW25" i="14"/>
  <c r="AW26" i="14"/>
  <c r="AW27" i="14"/>
  <c r="AW28" i="14"/>
  <c r="AW29" i="14"/>
  <c r="AW30" i="14"/>
  <c r="AW31" i="14"/>
  <c r="AW32" i="14"/>
  <c r="AW33" i="14"/>
  <c r="AW34" i="14"/>
  <c r="AW35" i="14"/>
  <c r="AW36" i="14"/>
  <c r="AW37" i="14"/>
  <c r="AW38" i="14"/>
  <c r="AW39" i="14"/>
  <c r="AW40" i="14"/>
  <c r="AW41" i="14"/>
  <c r="AW42" i="14"/>
  <c r="AW43" i="14"/>
  <c r="AW44" i="14"/>
  <c r="AW45" i="14"/>
  <c r="AW46" i="14"/>
  <c r="AW47" i="14"/>
  <c r="AW48" i="14"/>
  <c r="AW49" i="14"/>
  <c r="AW50" i="14"/>
  <c r="AW51" i="14"/>
  <c r="AW52" i="14"/>
  <c r="AW53" i="14"/>
  <c r="AW54" i="14"/>
  <c r="AW55" i="14"/>
  <c r="AW56" i="14"/>
  <c r="AW57" i="14"/>
  <c r="AW58" i="14"/>
  <c r="AW59" i="14"/>
  <c r="AW60" i="14"/>
  <c r="AW61" i="14"/>
  <c r="AW62" i="14"/>
  <c r="AW63" i="14"/>
  <c r="AW64" i="14"/>
  <c r="AW65" i="14"/>
  <c r="AW66" i="14"/>
  <c r="AW67" i="14"/>
  <c r="AW68" i="14"/>
  <c r="AW69" i="14"/>
  <c r="AW70" i="14"/>
  <c r="AV23" i="14"/>
  <c r="AV24" i="14"/>
  <c r="AV25" i="14"/>
  <c r="AV26" i="14"/>
  <c r="AV27" i="14"/>
  <c r="AV28" i="14"/>
  <c r="AV29" i="14"/>
  <c r="AV30" i="14"/>
  <c r="AV31" i="14"/>
  <c r="AV32" i="14"/>
  <c r="AV33" i="14"/>
  <c r="AV34" i="14"/>
  <c r="AV35" i="14"/>
  <c r="AV36" i="14"/>
  <c r="AV37" i="14"/>
  <c r="AV38" i="14"/>
  <c r="AV39" i="14"/>
  <c r="AV40" i="14"/>
  <c r="AV41" i="14"/>
  <c r="AV42" i="14"/>
  <c r="AV43" i="14"/>
  <c r="AV44" i="14"/>
  <c r="AV45" i="14"/>
  <c r="AV46" i="14"/>
  <c r="AV47" i="14"/>
  <c r="AV48" i="14"/>
  <c r="AV49" i="14"/>
  <c r="AV50" i="14"/>
  <c r="AV51" i="14"/>
  <c r="AV52" i="14"/>
  <c r="AV53" i="14"/>
  <c r="AV54" i="14"/>
  <c r="AV55" i="14"/>
  <c r="AV56" i="14"/>
  <c r="AV57" i="14"/>
  <c r="AV58" i="14"/>
  <c r="AV59" i="14"/>
  <c r="AV60" i="14"/>
  <c r="AV61" i="14"/>
  <c r="AV62" i="14"/>
  <c r="AV63" i="14"/>
  <c r="AV64" i="14"/>
  <c r="AV65" i="14"/>
  <c r="AV66" i="14"/>
  <c r="AV67" i="14"/>
  <c r="AV68" i="14"/>
  <c r="AV69" i="14"/>
  <c r="AV70" i="14"/>
  <c r="AV4" i="14"/>
  <c r="AV5" i="14"/>
  <c r="AV6" i="14"/>
  <c r="AV7" i="14"/>
  <c r="AV8" i="14"/>
  <c r="AV9" i="14"/>
  <c r="AV10" i="14"/>
  <c r="AV11" i="14"/>
  <c r="AV12" i="14"/>
  <c r="AV13" i="14"/>
  <c r="AV14" i="14"/>
  <c r="AV15" i="14"/>
  <c r="AV16" i="14"/>
  <c r="AV17" i="14"/>
  <c r="AV18" i="14"/>
  <c r="AV19" i="14"/>
  <c r="AV20" i="14"/>
  <c r="AV21" i="14"/>
  <c r="AV22" i="14"/>
  <c r="AV3" i="14"/>
  <c r="AU4" i="14"/>
  <c r="AU5" i="14"/>
  <c r="AU6" i="14"/>
  <c r="AU7" i="14"/>
  <c r="AU8" i="14"/>
  <c r="AU9" i="14"/>
  <c r="AU10" i="14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59" i="14"/>
  <c r="AU60" i="14"/>
  <c r="AU61" i="14"/>
  <c r="AU62" i="14"/>
  <c r="AU63" i="14"/>
  <c r="AU64" i="14"/>
  <c r="AU65" i="14"/>
  <c r="AU66" i="14"/>
  <c r="AU67" i="14"/>
  <c r="AU68" i="14"/>
  <c r="AU69" i="14"/>
  <c r="AU70" i="14"/>
  <c r="AU3" i="14"/>
  <c r="AH4" i="14"/>
  <c r="AH5" i="14" s="1"/>
  <c r="AH6" i="14" s="1"/>
  <c r="AH7" i="14" s="1"/>
  <c r="AH8" i="14" s="1"/>
  <c r="AH9" i="14" s="1"/>
  <c r="AH10" i="14" s="1"/>
  <c r="AH11" i="14" s="1"/>
  <c r="AH12" i="14" s="1"/>
  <c r="AH13" i="14" s="1"/>
  <c r="AH14" i="14" s="1"/>
  <c r="AH15" i="14" s="1"/>
  <c r="AH16" i="14" s="1"/>
  <c r="AH17" i="14" s="1"/>
  <c r="AH18" i="14" s="1"/>
  <c r="AH19" i="14" s="1"/>
  <c r="AH20" i="14" s="1"/>
  <c r="AH21" i="14" s="1"/>
  <c r="AH22" i="14" s="1"/>
  <c r="AH23" i="14" s="1"/>
  <c r="AH24" i="14" s="1"/>
  <c r="AH25" i="14" s="1"/>
  <c r="AH26" i="14" s="1"/>
  <c r="AH27" i="14" s="1"/>
  <c r="AH28" i="14" s="1"/>
  <c r="AH29" i="14" s="1"/>
  <c r="AH30" i="14" s="1"/>
  <c r="AH31" i="14" s="1"/>
  <c r="AH32" i="14" s="1"/>
  <c r="AH33" i="14" s="1"/>
  <c r="AH34" i="14" s="1"/>
  <c r="AH35" i="14" s="1"/>
  <c r="AH36" i="14" s="1"/>
  <c r="AH37" i="14" s="1"/>
  <c r="AH38" i="14" s="1"/>
  <c r="AH39" i="14" s="1"/>
  <c r="AH40" i="14" s="1"/>
  <c r="AH41" i="14" s="1"/>
  <c r="AH42" i="14" s="1"/>
  <c r="AH43" i="14" s="1"/>
  <c r="AH44" i="14" s="1"/>
  <c r="AH45" i="14" s="1"/>
  <c r="AH46" i="14" s="1"/>
  <c r="AH47" i="14" s="1"/>
  <c r="AH48" i="14" s="1"/>
  <c r="AH49" i="14" s="1"/>
  <c r="AH50" i="14" s="1"/>
  <c r="AH51" i="14" s="1"/>
  <c r="AH52" i="14" s="1"/>
  <c r="AH53" i="14" s="1"/>
  <c r="AH54" i="14" s="1"/>
  <c r="AH55" i="14" s="1"/>
  <c r="AH56" i="14" s="1"/>
  <c r="AH57" i="14" s="1"/>
  <c r="AH58" i="14" s="1"/>
  <c r="AH59" i="14" s="1"/>
  <c r="AH60" i="14" s="1"/>
  <c r="AH61" i="14" s="1"/>
  <c r="AH62" i="14" s="1"/>
  <c r="AH63" i="14" s="1"/>
  <c r="AH64" i="14" s="1"/>
  <c r="AH65" i="14" s="1"/>
  <c r="AH66" i="14" s="1"/>
  <c r="AH67" i="14" s="1"/>
  <c r="AH68" i="14" s="1"/>
  <c r="AH69" i="14" s="1"/>
  <c r="AH70" i="14" s="1"/>
  <c r="AH71" i="14" s="1"/>
  <c r="AH72" i="14" s="1"/>
  <c r="AH73" i="14" s="1"/>
  <c r="AH74" i="14" s="1"/>
  <c r="AH75" i="14" s="1"/>
  <c r="AH76" i="14" s="1"/>
  <c r="AH77" i="14" s="1"/>
  <c r="AH78" i="14" s="1"/>
  <c r="AH79" i="14" s="1"/>
  <c r="AH80" i="14" s="1"/>
  <c r="AH81" i="14" s="1"/>
  <c r="AH82" i="14" s="1"/>
  <c r="AH83" i="14" s="1"/>
  <c r="AH84" i="14" s="1"/>
  <c r="AH85" i="14" s="1"/>
  <c r="AH86" i="14" s="1"/>
  <c r="AH87" i="14" s="1"/>
  <c r="AH88" i="14" s="1"/>
  <c r="AH89" i="14" s="1"/>
  <c r="AH90" i="14" s="1"/>
  <c r="AH91" i="14" s="1"/>
  <c r="AH92" i="14" s="1"/>
  <c r="AH93" i="14" s="1"/>
  <c r="AH94" i="14" s="1"/>
  <c r="AH95" i="14" s="1"/>
  <c r="AH96" i="14" s="1"/>
  <c r="AH97" i="14" s="1"/>
  <c r="AH98" i="14" s="1"/>
  <c r="AH99" i="14" s="1"/>
  <c r="AH100" i="14" s="1"/>
  <c r="AH101" i="14" s="1"/>
  <c r="AH102" i="14" s="1"/>
  <c r="AH103" i="14" s="1"/>
  <c r="AH104" i="14" s="1"/>
  <c r="AH105" i="14" s="1"/>
  <c r="AH106" i="14" s="1"/>
  <c r="AH107" i="14" s="1"/>
  <c r="AH108" i="14" s="1"/>
  <c r="AH109" i="14" s="1"/>
  <c r="AH110" i="14" s="1"/>
  <c r="AH111" i="14" s="1"/>
  <c r="AH112" i="14" s="1"/>
  <c r="AH113" i="14" s="1"/>
  <c r="AH114" i="14" s="1"/>
  <c r="AH115" i="14" s="1"/>
  <c r="AH116" i="14" s="1"/>
  <c r="AH117" i="14" s="1"/>
  <c r="AH118" i="14" s="1"/>
  <c r="AH119" i="14" s="1"/>
  <c r="AH120" i="14" s="1"/>
  <c r="AH121" i="14" s="1"/>
  <c r="AH122" i="14" s="1"/>
  <c r="AH123" i="14" s="1"/>
  <c r="AH124" i="14" s="1"/>
  <c r="AH125" i="14" s="1"/>
  <c r="AH126" i="14" s="1"/>
  <c r="AH127" i="14" s="1"/>
  <c r="AH128" i="14" s="1"/>
  <c r="AH129" i="14" s="1"/>
  <c r="AH130" i="14" s="1"/>
  <c r="AH131" i="14" s="1"/>
  <c r="AH132" i="14" s="1"/>
  <c r="AH133" i="14" s="1"/>
  <c r="AH134" i="14" s="1"/>
  <c r="AH135" i="14" s="1"/>
  <c r="AH136" i="14" s="1"/>
  <c r="AH137" i="14" s="1"/>
  <c r="AH138" i="14" s="1"/>
  <c r="AH139" i="14" s="1"/>
  <c r="AH140" i="14" s="1"/>
  <c r="AH141" i="14" s="1"/>
  <c r="AH142" i="14" s="1"/>
  <c r="AH143" i="14" s="1"/>
  <c r="AH144" i="14" s="1"/>
  <c r="AH145" i="14" s="1"/>
  <c r="AH146" i="14" s="1"/>
  <c r="AH147" i="14" s="1"/>
  <c r="AH148" i="14" s="1"/>
  <c r="AH149" i="14" s="1"/>
  <c r="AH150" i="14" s="1"/>
  <c r="AH151" i="14" s="1"/>
  <c r="AH152" i="14" s="1"/>
  <c r="AH153" i="14" s="1"/>
  <c r="AH154" i="14" s="1"/>
  <c r="AH155" i="14" s="1"/>
  <c r="AH156" i="14" s="1"/>
  <c r="AH157" i="14" s="1"/>
  <c r="AH158" i="14" s="1"/>
  <c r="AH159" i="14" s="1"/>
  <c r="AH160" i="14" s="1"/>
  <c r="AH161" i="14" s="1"/>
  <c r="AH162" i="14" s="1"/>
  <c r="AH163" i="14" s="1"/>
  <c r="AH164" i="14" s="1"/>
  <c r="AH165" i="14" s="1"/>
  <c r="AH166" i="14" s="1"/>
  <c r="AH167" i="14" s="1"/>
  <c r="AH168" i="14" s="1"/>
  <c r="AH169" i="14" s="1"/>
  <c r="AH170" i="14" s="1"/>
  <c r="AH171" i="14" s="1"/>
  <c r="AH172" i="14" s="1"/>
  <c r="AH173" i="14" s="1"/>
  <c r="AH174" i="14" s="1"/>
  <c r="AH175" i="14" s="1"/>
  <c r="AH176" i="14" s="1"/>
  <c r="AH177" i="14" s="1"/>
  <c r="AH178" i="14" s="1"/>
  <c r="AH179" i="14" s="1"/>
  <c r="AH180" i="14" s="1"/>
  <c r="AH181" i="14" s="1"/>
  <c r="AH182" i="14" s="1"/>
  <c r="AH183" i="14" s="1"/>
  <c r="AH184" i="14" s="1"/>
  <c r="AH185" i="14" s="1"/>
  <c r="AH186" i="14" s="1"/>
  <c r="AH187" i="14" s="1"/>
  <c r="AH188" i="14" s="1"/>
  <c r="AH189" i="14" s="1"/>
  <c r="AH190" i="14" s="1"/>
  <c r="AH191" i="14" s="1"/>
  <c r="AH192" i="14" s="1"/>
  <c r="AH193" i="14" s="1"/>
  <c r="AH194" i="14" s="1"/>
  <c r="AH195" i="14" s="1"/>
  <c r="AH196" i="14" s="1"/>
  <c r="AH197" i="14" s="1"/>
  <c r="AH198" i="14" s="1"/>
  <c r="AH199" i="14" s="1"/>
  <c r="AH200" i="14" s="1"/>
  <c r="AH201" i="14" s="1"/>
  <c r="AH202" i="14" s="1"/>
  <c r="AH203" i="14" s="1"/>
  <c r="AH204" i="14" s="1"/>
  <c r="AH205" i="14" s="1"/>
  <c r="AH206" i="14" s="1"/>
  <c r="AH207" i="14" s="1"/>
  <c r="AH208" i="14" s="1"/>
  <c r="AH209" i="14" s="1"/>
  <c r="AH210" i="14" s="1"/>
  <c r="AH211" i="14" s="1"/>
  <c r="AH212" i="14" s="1"/>
  <c r="AH213" i="14" s="1"/>
  <c r="AH214" i="14" s="1"/>
  <c r="AH215" i="14" s="1"/>
  <c r="AH216" i="14" s="1"/>
  <c r="AH217" i="14" s="1"/>
  <c r="AH218" i="14" s="1"/>
  <c r="AH219" i="14" s="1"/>
  <c r="AH220" i="14" s="1"/>
  <c r="AH221" i="14" s="1"/>
  <c r="AH222" i="14" s="1"/>
  <c r="AH223" i="14" s="1"/>
  <c r="AH224" i="14" s="1"/>
  <c r="AH225" i="14" s="1"/>
  <c r="AH226" i="14" s="1"/>
  <c r="AH227" i="14" s="1"/>
  <c r="AH228" i="14" s="1"/>
  <c r="AH229" i="14" s="1"/>
  <c r="AH230" i="14" s="1"/>
  <c r="AH231" i="14" s="1"/>
  <c r="AH232" i="14" s="1"/>
  <c r="AH233" i="14" s="1"/>
  <c r="AH234" i="14" s="1"/>
  <c r="AH235" i="14" s="1"/>
  <c r="AH236" i="14" s="1"/>
  <c r="AH237" i="14" s="1"/>
  <c r="AH238" i="14" s="1"/>
  <c r="AH239" i="14" s="1"/>
  <c r="AH240" i="14" s="1"/>
  <c r="AH241" i="14" s="1"/>
  <c r="AH242" i="14" s="1"/>
  <c r="AH243" i="14" s="1"/>
  <c r="AH244" i="14" s="1"/>
  <c r="AH245" i="14" s="1"/>
  <c r="AH246" i="14" s="1"/>
  <c r="AH247" i="14" s="1"/>
  <c r="AH248" i="14" s="1"/>
  <c r="AH249" i="14" s="1"/>
  <c r="AH250" i="14" s="1"/>
  <c r="AH251" i="14" s="1"/>
  <c r="AH252" i="14" s="1"/>
  <c r="AH253" i="14" s="1"/>
  <c r="AH254" i="14" s="1"/>
  <c r="AH255" i="14" s="1"/>
  <c r="AH256" i="14" s="1"/>
  <c r="AH257" i="14" s="1"/>
  <c r="AH258" i="14" s="1"/>
  <c r="AH259" i="14" s="1"/>
  <c r="AH260" i="14" s="1"/>
  <c r="AH261" i="14" s="1"/>
  <c r="AH262" i="14" s="1"/>
  <c r="AH263" i="14" s="1"/>
  <c r="AH264" i="14" s="1"/>
  <c r="AH265" i="14" s="1"/>
  <c r="AH266" i="14" s="1"/>
  <c r="AH267" i="14" s="1"/>
  <c r="AH268" i="14" s="1"/>
  <c r="AH269" i="14" s="1"/>
  <c r="AH270" i="14" s="1"/>
  <c r="AH271" i="14" s="1"/>
  <c r="AH272" i="14" s="1"/>
  <c r="AH273" i="14" s="1"/>
  <c r="AH274" i="14" s="1"/>
  <c r="AH275" i="14" s="1"/>
  <c r="AH276" i="14" s="1"/>
  <c r="AH277" i="14" s="1"/>
  <c r="AH278" i="14" s="1"/>
  <c r="AH279" i="14" s="1"/>
  <c r="AH280" i="14" s="1"/>
  <c r="AH281" i="14" s="1"/>
  <c r="AH282" i="14" s="1"/>
  <c r="AH283" i="14" s="1"/>
  <c r="AH284" i="14" s="1"/>
  <c r="AH285" i="14" s="1"/>
  <c r="AH286" i="14" s="1"/>
  <c r="AH287" i="14" s="1"/>
  <c r="AH288" i="14" s="1"/>
  <c r="AH289" i="14" s="1"/>
  <c r="AH290" i="14" s="1"/>
  <c r="AH291" i="14" s="1"/>
  <c r="AH292" i="14" s="1"/>
  <c r="AH293" i="14" s="1"/>
  <c r="AH294" i="14" s="1"/>
  <c r="AH295" i="14" s="1"/>
  <c r="AH296" i="14" s="1"/>
  <c r="AH297" i="14" s="1"/>
  <c r="AH298" i="14" s="1"/>
  <c r="AH299" i="14" s="1"/>
  <c r="AH300" i="14" s="1"/>
  <c r="AH301" i="14" s="1"/>
  <c r="AH302" i="14" s="1"/>
  <c r="AH303" i="14" s="1"/>
  <c r="AH304" i="14" s="1"/>
  <c r="AH305" i="14" s="1"/>
  <c r="AH306" i="14" s="1"/>
  <c r="AH307" i="14" s="1"/>
  <c r="AH308" i="14" s="1"/>
  <c r="AH309" i="14" s="1"/>
  <c r="AH310" i="14" s="1"/>
  <c r="AH311" i="14" s="1"/>
  <c r="AH312" i="14" s="1"/>
  <c r="AH313" i="14" s="1"/>
  <c r="AH314" i="14" s="1"/>
  <c r="AH315" i="14" s="1"/>
  <c r="AH316" i="14" s="1"/>
  <c r="AH317" i="14" s="1"/>
  <c r="AH318" i="14" s="1"/>
  <c r="AH319" i="14" s="1"/>
  <c r="AH320" i="14" s="1"/>
  <c r="AH321" i="14" s="1"/>
  <c r="AH322" i="14" s="1"/>
  <c r="AH323" i="14" s="1"/>
  <c r="AH324" i="14" s="1"/>
  <c r="AH325" i="14" s="1"/>
  <c r="AH326" i="14" s="1"/>
  <c r="AH327" i="14" s="1"/>
  <c r="AH328" i="14" s="1"/>
  <c r="AH329" i="14" s="1"/>
  <c r="AH330" i="14" s="1"/>
  <c r="AH331" i="14" s="1"/>
  <c r="AH332" i="14" s="1"/>
  <c r="AH333" i="14" s="1"/>
  <c r="AH334" i="14" s="1"/>
  <c r="AH335" i="14" s="1"/>
  <c r="AH336" i="14" s="1"/>
  <c r="AH337" i="14" s="1"/>
  <c r="AH338" i="14" s="1"/>
  <c r="AH339" i="14" s="1"/>
  <c r="AH340" i="14" s="1"/>
  <c r="AH341" i="14" s="1"/>
  <c r="AH342" i="14" s="1"/>
  <c r="AH343" i="14" s="1"/>
  <c r="AH344" i="14" s="1"/>
  <c r="AH345" i="14" s="1"/>
  <c r="AH346" i="14" s="1"/>
  <c r="AH347" i="14" s="1"/>
  <c r="AH348" i="14" s="1"/>
  <c r="AH349" i="14" s="1"/>
  <c r="AH350" i="14" s="1"/>
  <c r="AH351" i="14" s="1"/>
  <c r="AH352" i="14" s="1"/>
  <c r="AH353" i="14" s="1"/>
  <c r="AH354" i="14" s="1"/>
  <c r="AH355" i="14" s="1"/>
  <c r="AH356" i="14" s="1"/>
  <c r="AH357" i="14" s="1"/>
  <c r="AH358" i="14" s="1"/>
  <c r="AH359" i="14" s="1"/>
  <c r="AH360" i="14" s="1"/>
  <c r="AH361" i="14" s="1"/>
  <c r="AH362" i="14" s="1"/>
  <c r="AH363" i="14" s="1"/>
  <c r="AH364" i="14" s="1"/>
  <c r="AH365" i="14" s="1"/>
  <c r="AH366" i="14" s="1"/>
  <c r="AH367" i="14" s="1"/>
  <c r="AH368" i="14" s="1"/>
  <c r="AH369" i="14" s="1"/>
  <c r="AH370" i="14" s="1"/>
  <c r="AH371" i="14" s="1"/>
  <c r="AH372" i="14" s="1"/>
  <c r="AH373" i="14" s="1"/>
  <c r="AH374" i="14" s="1"/>
  <c r="AH375" i="14" s="1"/>
  <c r="AH376" i="14" s="1"/>
  <c r="AH377" i="14" s="1"/>
  <c r="AH378" i="14" s="1"/>
  <c r="AH379" i="14" s="1"/>
  <c r="AH380" i="14" s="1"/>
  <c r="AH381" i="14" s="1"/>
  <c r="AH382" i="14" s="1"/>
  <c r="AH383" i="14" s="1"/>
  <c r="AH384" i="14" s="1"/>
  <c r="AH385" i="14" s="1"/>
  <c r="AH386" i="14" s="1"/>
  <c r="AH387" i="14" s="1"/>
  <c r="AH388" i="14" s="1"/>
  <c r="AH389" i="14" s="1"/>
  <c r="AH390" i="14" s="1"/>
  <c r="AH391" i="14" s="1"/>
  <c r="AH392" i="14" s="1"/>
  <c r="AH393" i="14" s="1"/>
  <c r="AH394" i="14" s="1"/>
  <c r="AH395" i="14" s="1"/>
  <c r="AH396" i="14" s="1"/>
  <c r="AH397" i="14" s="1"/>
  <c r="AH398" i="14" s="1"/>
  <c r="AH399" i="14" s="1"/>
  <c r="AH400" i="14" s="1"/>
  <c r="AH401" i="14" s="1"/>
  <c r="AH402" i="14" s="1"/>
  <c r="AH403" i="14" s="1"/>
  <c r="AH404" i="14" s="1"/>
  <c r="AH405" i="14" s="1"/>
  <c r="AH406" i="14" s="1"/>
  <c r="AH407" i="14" s="1"/>
  <c r="AH408" i="14" s="1"/>
  <c r="AH409" i="14" s="1"/>
  <c r="AH410" i="14" s="1"/>
  <c r="AH411" i="14" s="1"/>
  <c r="AH412" i="14" s="1"/>
  <c r="AH413" i="14" s="1"/>
  <c r="AH414" i="14" s="1"/>
  <c r="AH415" i="14" s="1"/>
  <c r="AH416" i="14" s="1"/>
  <c r="AH417" i="14" s="1"/>
  <c r="AH418" i="14" s="1"/>
  <c r="AH419" i="14" s="1"/>
  <c r="AH420" i="14" s="1"/>
  <c r="AH421" i="14" s="1"/>
  <c r="AH422" i="14" s="1"/>
  <c r="AH423" i="14" s="1"/>
  <c r="AH424" i="14" s="1"/>
  <c r="AH425" i="14" s="1"/>
  <c r="AH426" i="14" s="1"/>
  <c r="AH427" i="14" s="1"/>
  <c r="AH428" i="14" s="1"/>
  <c r="AH429" i="14" s="1"/>
  <c r="AH430" i="14" s="1"/>
  <c r="AH431" i="14" s="1"/>
  <c r="AH432" i="14" s="1"/>
  <c r="AH433" i="14" s="1"/>
  <c r="AH434" i="14" s="1"/>
  <c r="AH435" i="14" s="1"/>
  <c r="AH436" i="14" s="1"/>
  <c r="AH437" i="14" s="1"/>
  <c r="AH438" i="14" s="1"/>
  <c r="AH439" i="14" s="1"/>
  <c r="AH440" i="14" s="1"/>
  <c r="AH441" i="14" s="1"/>
  <c r="AH442" i="14" s="1"/>
  <c r="AH443" i="14" s="1"/>
  <c r="AH444" i="14" s="1"/>
  <c r="AH445" i="14" s="1"/>
  <c r="AH446" i="14" s="1"/>
  <c r="AH447" i="14" s="1"/>
  <c r="AH448" i="14" s="1"/>
  <c r="AH449" i="14" s="1"/>
  <c r="AH450" i="14" s="1"/>
  <c r="AH451" i="14" s="1"/>
  <c r="AH452" i="14" s="1"/>
  <c r="AH453" i="14" s="1"/>
  <c r="AH454" i="14" s="1"/>
  <c r="AH455" i="14" s="1"/>
  <c r="AH456" i="14" s="1"/>
  <c r="AH457" i="14" s="1"/>
  <c r="AH458" i="14" s="1"/>
  <c r="AH459" i="14" s="1"/>
  <c r="AH460" i="14" s="1"/>
  <c r="AH461" i="14" s="1"/>
  <c r="AH462" i="14" s="1"/>
  <c r="AH463" i="14" s="1"/>
  <c r="AH464" i="14" s="1"/>
  <c r="AH465" i="14" s="1"/>
  <c r="AH466" i="14" s="1"/>
  <c r="AH467" i="14" s="1"/>
  <c r="AH468" i="14" s="1"/>
  <c r="AH469" i="14" s="1"/>
  <c r="AH470" i="14" s="1"/>
  <c r="AH471" i="14" s="1"/>
  <c r="AH472" i="14" s="1"/>
  <c r="AH473" i="14" s="1"/>
  <c r="AH474" i="14" s="1"/>
  <c r="AH475" i="14" s="1"/>
  <c r="AH476" i="14" s="1"/>
  <c r="AH477" i="14" s="1"/>
  <c r="AH478" i="14" s="1"/>
  <c r="AH479" i="14" s="1"/>
  <c r="AH480" i="14" s="1"/>
  <c r="AH481" i="14" s="1"/>
  <c r="AH482" i="14" s="1"/>
  <c r="AH483" i="14" s="1"/>
  <c r="AH484" i="14" s="1"/>
  <c r="AH485" i="14" s="1"/>
  <c r="AH486" i="14" s="1"/>
  <c r="AH487" i="14" s="1"/>
  <c r="AH488" i="14" s="1"/>
  <c r="AH489" i="14" s="1"/>
  <c r="AH490" i="14" s="1"/>
  <c r="AH491" i="14" s="1"/>
  <c r="AH492" i="14" s="1"/>
  <c r="AH493" i="14" s="1"/>
  <c r="AH494" i="14" s="1"/>
  <c r="AH495" i="14" s="1"/>
  <c r="AH496" i="14" s="1"/>
  <c r="AH497" i="14" s="1"/>
  <c r="AH498" i="14" s="1"/>
  <c r="AH499" i="14" s="1"/>
  <c r="AH500" i="14" s="1"/>
  <c r="AH501" i="14" s="1"/>
  <c r="AH502" i="14" s="1"/>
  <c r="AH503" i="14" s="1"/>
  <c r="AH504" i="14" s="1"/>
  <c r="AH505" i="14" s="1"/>
  <c r="AH506" i="14" s="1"/>
  <c r="AH507" i="14" s="1"/>
  <c r="AH508" i="14" s="1"/>
  <c r="AH509" i="14" s="1"/>
  <c r="AH510" i="14" s="1"/>
  <c r="AH511" i="14" s="1"/>
  <c r="AH512" i="14" s="1"/>
  <c r="AH513" i="14" s="1"/>
  <c r="AH514" i="14" s="1"/>
  <c r="AH515" i="14" s="1"/>
  <c r="AH516" i="14" s="1"/>
  <c r="AH517" i="14" s="1"/>
  <c r="AH518" i="14" s="1"/>
  <c r="AH519" i="14" s="1"/>
  <c r="AH520" i="14" s="1"/>
  <c r="AH521" i="14" s="1"/>
  <c r="AH522" i="14" s="1"/>
  <c r="AH523" i="14" s="1"/>
  <c r="AH524" i="14" s="1"/>
  <c r="AH525" i="14" s="1"/>
  <c r="AH526" i="14" s="1"/>
  <c r="AH527" i="14" s="1"/>
  <c r="AH528" i="14" s="1"/>
  <c r="AH529" i="14" s="1"/>
  <c r="AH530" i="14" s="1"/>
  <c r="AH531" i="14" s="1"/>
  <c r="AH532" i="14" s="1"/>
  <c r="AH533" i="14" s="1"/>
  <c r="AH534" i="14" s="1"/>
  <c r="AH535" i="14" s="1"/>
  <c r="AH536" i="14" s="1"/>
  <c r="AH537" i="14" s="1"/>
  <c r="AH538" i="14" s="1"/>
  <c r="AH539" i="14" s="1"/>
  <c r="AH540" i="14" s="1"/>
  <c r="AH541" i="14" s="1"/>
  <c r="AH542" i="14" s="1"/>
  <c r="AH543" i="14" s="1"/>
  <c r="AH544" i="14" s="1"/>
  <c r="AH545" i="14" s="1"/>
  <c r="AH546" i="14" s="1"/>
  <c r="AH547" i="14" s="1"/>
  <c r="AH548" i="14" s="1"/>
  <c r="AH549" i="14" s="1"/>
  <c r="AH550" i="14" s="1"/>
  <c r="AH551" i="14" s="1"/>
  <c r="AH552" i="14" s="1"/>
  <c r="AH553" i="14" s="1"/>
  <c r="AH554" i="14" s="1"/>
  <c r="AH555" i="14" s="1"/>
  <c r="AH556" i="14" s="1"/>
  <c r="AH557" i="14" s="1"/>
  <c r="AH558" i="14" s="1"/>
  <c r="AH559" i="14" s="1"/>
  <c r="AH560" i="14" s="1"/>
  <c r="AH561" i="14" s="1"/>
  <c r="AH562" i="14" s="1"/>
  <c r="AH563" i="14" s="1"/>
  <c r="AH564" i="14" s="1"/>
  <c r="AH565" i="14" s="1"/>
  <c r="AH566" i="14" s="1"/>
  <c r="AH567" i="14" s="1"/>
  <c r="AH568" i="14" s="1"/>
  <c r="AH569" i="14" s="1"/>
  <c r="AH570" i="14" s="1"/>
  <c r="AH571" i="14" s="1"/>
  <c r="AH572" i="14" s="1"/>
  <c r="AH573" i="14" s="1"/>
  <c r="AH574" i="14" s="1"/>
  <c r="AH575" i="14" s="1"/>
  <c r="AH576" i="14" s="1"/>
  <c r="AH577" i="14" s="1"/>
  <c r="AH578" i="14" s="1"/>
  <c r="AH579" i="14" s="1"/>
  <c r="AH580" i="14" s="1"/>
  <c r="AH581" i="14" s="1"/>
  <c r="AH582" i="14" s="1"/>
  <c r="AH583" i="14" s="1"/>
  <c r="AH584" i="14" s="1"/>
  <c r="AH585" i="14" s="1"/>
  <c r="AH586" i="14" s="1"/>
  <c r="AH587" i="14" s="1"/>
  <c r="AH588" i="14" s="1"/>
  <c r="AH589" i="14" s="1"/>
  <c r="AH590" i="14" s="1"/>
  <c r="AH591" i="14" s="1"/>
  <c r="AH592" i="14" s="1"/>
  <c r="AH593" i="14" s="1"/>
  <c r="AH594" i="14" s="1"/>
  <c r="AH595" i="14" s="1"/>
  <c r="AH596" i="14" s="1"/>
  <c r="AH597" i="14" s="1"/>
  <c r="AH598" i="14" s="1"/>
  <c r="AH599" i="14" s="1"/>
  <c r="AH600" i="14" s="1"/>
  <c r="AH601" i="14" s="1"/>
  <c r="AH602" i="14" s="1"/>
  <c r="AH603" i="14" s="1"/>
  <c r="AH604" i="14" s="1"/>
  <c r="AH605" i="14" s="1"/>
  <c r="AH606" i="14" s="1"/>
  <c r="AH607" i="14" s="1"/>
  <c r="AH608" i="14" s="1"/>
  <c r="AH609" i="14" s="1"/>
  <c r="AH610" i="14" s="1"/>
  <c r="AH611" i="14" s="1"/>
  <c r="AH612" i="14" s="1"/>
  <c r="AH613" i="14" s="1"/>
  <c r="AH614" i="14" s="1"/>
  <c r="AH615" i="14" s="1"/>
  <c r="AH616" i="14" s="1"/>
  <c r="AH617" i="14" s="1"/>
  <c r="AH618" i="14" s="1"/>
  <c r="AH619" i="14" s="1"/>
  <c r="AH620" i="14" s="1"/>
  <c r="AH621" i="14" s="1"/>
  <c r="AH622" i="14" s="1"/>
  <c r="AH623" i="14" s="1"/>
  <c r="AH624" i="14" s="1"/>
  <c r="AH625" i="14" s="1"/>
  <c r="AH626" i="14" s="1"/>
  <c r="AH627" i="14" s="1"/>
  <c r="AH628" i="14" s="1"/>
  <c r="AH629" i="14" s="1"/>
  <c r="AH630" i="14" s="1"/>
  <c r="AH631" i="14" s="1"/>
  <c r="AH632" i="14" s="1"/>
  <c r="AH633" i="14" s="1"/>
  <c r="AH634" i="14" s="1"/>
  <c r="AH635" i="14" s="1"/>
  <c r="AH636" i="14" s="1"/>
  <c r="AH637" i="14" s="1"/>
  <c r="AH638" i="14" s="1"/>
  <c r="AH639" i="14" s="1"/>
  <c r="AH640" i="14" s="1"/>
  <c r="AH641" i="14" s="1"/>
  <c r="AH642" i="14" s="1"/>
  <c r="AH643" i="14" s="1"/>
  <c r="AH644" i="14" s="1"/>
  <c r="AH645" i="14" s="1"/>
  <c r="AH646" i="14" s="1"/>
  <c r="AH647" i="14" s="1"/>
  <c r="AH648" i="14" s="1"/>
  <c r="AH649" i="14" s="1"/>
  <c r="AH650" i="14" s="1"/>
  <c r="AH651" i="14" s="1"/>
  <c r="AH652" i="14" s="1"/>
  <c r="AH653" i="14" s="1"/>
  <c r="AH654" i="14" s="1"/>
  <c r="AH655" i="14" s="1"/>
  <c r="AH656" i="14" s="1"/>
  <c r="AH657" i="14" s="1"/>
  <c r="AH658" i="14" s="1"/>
  <c r="AH659" i="14" s="1"/>
  <c r="AH660" i="14" s="1"/>
  <c r="AH661" i="14" s="1"/>
  <c r="AH662" i="14" s="1"/>
  <c r="AH663" i="14" s="1"/>
  <c r="AH664" i="14" s="1"/>
  <c r="AH665" i="14" s="1"/>
  <c r="AH666" i="14" s="1"/>
  <c r="AH667" i="14" s="1"/>
  <c r="AH668" i="14" s="1"/>
  <c r="AH669" i="14" s="1"/>
  <c r="AH670" i="14" s="1"/>
  <c r="AH671" i="14" s="1"/>
  <c r="AH672" i="14" s="1"/>
  <c r="AH673" i="14" s="1"/>
  <c r="AH674" i="14" s="1"/>
  <c r="AH675" i="14" s="1"/>
  <c r="AH676" i="14" s="1"/>
  <c r="AH677" i="14" s="1"/>
  <c r="AH678" i="14" s="1"/>
  <c r="AH679" i="14" s="1"/>
  <c r="AH680" i="14" s="1"/>
  <c r="AH681" i="14" s="1"/>
  <c r="AH682" i="14" s="1"/>
  <c r="AH683" i="14" s="1"/>
  <c r="AH684" i="14" s="1"/>
  <c r="AH685" i="14" s="1"/>
  <c r="AH686" i="14" s="1"/>
  <c r="AH687" i="14" s="1"/>
  <c r="AH688" i="14" s="1"/>
  <c r="AH689" i="14" s="1"/>
  <c r="AH690" i="14" s="1"/>
  <c r="AH691" i="14" s="1"/>
  <c r="AH692" i="14" s="1"/>
  <c r="AH693" i="14" s="1"/>
  <c r="AH694" i="14" s="1"/>
  <c r="AH695" i="14" s="1"/>
  <c r="AH696" i="14" s="1"/>
  <c r="AH697" i="14" s="1"/>
  <c r="AH698" i="14" s="1"/>
  <c r="AH699" i="14" s="1"/>
  <c r="AH700" i="14" s="1"/>
  <c r="AH701" i="14" s="1"/>
  <c r="AH702" i="14" s="1"/>
  <c r="AH703" i="14" s="1"/>
  <c r="AH704" i="14" s="1"/>
  <c r="AH705" i="14" s="1"/>
  <c r="AH706" i="14" s="1"/>
  <c r="AH707" i="14" s="1"/>
  <c r="AH708" i="14" s="1"/>
  <c r="AH709" i="14" s="1"/>
  <c r="AH710" i="14" s="1"/>
  <c r="AH711" i="14" s="1"/>
  <c r="AH712" i="14" s="1"/>
  <c r="AH713" i="14" s="1"/>
  <c r="AH714" i="14" s="1"/>
  <c r="AH715" i="14" s="1"/>
  <c r="AH716" i="14" s="1"/>
  <c r="AH717" i="14" s="1"/>
  <c r="AH718" i="14" s="1"/>
  <c r="AH719" i="14" s="1"/>
  <c r="AH720" i="14" s="1"/>
  <c r="AH721" i="14" s="1"/>
  <c r="AH722" i="14" s="1"/>
  <c r="AH723" i="14" s="1"/>
  <c r="AH724" i="14" s="1"/>
  <c r="AH725" i="14" s="1"/>
  <c r="AH726" i="14" s="1"/>
  <c r="AH727" i="14" s="1"/>
  <c r="AH728" i="14" s="1"/>
  <c r="AH729" i="14" s="1"/>
  <c r="AH730" i="14" s="1"/>
  <c r="AH731" i="14" s="1"/>
  <c r="AH732" i="14" s="1"/>
  <c r="AH733" i="14" s="1"/>
  <c r="AH734" i="14" s="1"/>
  <c r="AH735" i="14" s="1"/>
  <c r="AH736" i="14" s="1"/>
  <c r="AH737" i="14" s="1"/>
  <c r="AH738" i="14" s="1"/>
  <c r="AH739" i="14" s="1"/>
  <c r="AH740" i="14" s="1"/>
  <c r="AH741" i="14" s="1"/>
  <c r="AH742" i="14" s="1"/>
  <c r="AH743" i="14" s="1"/>
  <c r="AH744" i="14" s="1"/>
  <c r="AH745" i="14" s="1"/>
  <c r="AH746" i="14" s="1"/>
  <c r="AH747" i="14" s="1"/>
  <c r="AH748" i="14" s="1"/>
  <c r="AH749" i="14" s="1"/>
  <c r="AH750" i="14" s="1"/>
  <c r="AH751" i="14" s="1"/>
  <c r="AH752" i="14" s="1"/>
  <c r="AH753" i="14" s="1"/>
  <c r="AH754" i="14" s="1"/>
  <c r="AH755" i="14" s="1"/>
  <c r="AH756" i="14" s="1"/>
  <c r="AH757" i="14" s="1"/>
  <c r="AH758" i="14" s="1"/>
  <c r="AH759" i="14" s="1"/>
  <c r="AH760" i="14" s="1"/>
  <c r="AH761" i="14" s="1"/>
  <c r="AH762" i="14" s="1"/>
  <c r="AH763" i="14" s="1"/>
  <c r="AH764" i="14" s="1"/>
  <c r="AH765" i="14" s="1"/>
  <c r="AH766" i="14" s="1"/>
  <c r="AH767" i="14" s="1"/>
  <c r="AH768" i="14" s="1"/>
  <c r="AH769" i="14" s="1"/>
  <c r="AH770" i="14" s="1"/>
  <c r="AH771" i="14" s="1"/>
  <c r="AH772" i="14" s="1"/>
  <c r="AH773" i="14" s="1"/>
  <c r="AH774" i="14" s="1"/>
  <c r="AH775" i="14" s="1"/>
  <c r="AH776" i="14" s="1"/>
  <c r="AH777" i="14" s="1"/>
  <c r="AH778" i="14" s="1"/>
  <c r="AH779" i="14" s="1"/>
  <c r="AH780" i="14" s="1"/>
  <c r="AH781" i="14" s="1"/>
  <c r="AH782" i="14" s="1"/>
  <c r="AH783" i="14" s="1"/>
  <c r="AH784" i="14" s="1"/>
  <c r="AH785" i="14" s="1"/>
  <c r="AH786" i="14" s="1"/>
  <c r="AH787" i="14" s="1"/>
  <c r="AH788" i="14" s="1"/>
  <c r="AH789" i="14" s="1"/>
  <c r="AH790" i="14" s="1"/>
  <c r="AH791" i="14" s="1"/>
  <c r="AH792" i="14" s="1"/>
  <c r="AH793" i="14" s="1"/>
  <c r="AH794" i="14" s="1"/>
  <c r="AH795" i="14" s="1"/>
  <c r="AH796" i="14" s="1"/>
  <c r="AH797" i="14" s="1"/>
  <c r="AH798" i="14" s="1"/>
  <c r="AH799" i="14" s="1"/>
  <c r="AH800" i="14" s="1"/>
  <c r="AH801" i="14" s="1"/>
  <c r="AH802" i="14" s="1"/>
  <c r="AH803" i="14" s="1"/>
  <c r="AH804" i="14" s="1"/>
  <c r="AH805" i="14" s="1"/>
  <c r="AH806" i="14" s="1"/>
  <c r="AH807" i="14" s="1"/>
  <c r="AH808" i="14" s="1"/>
  <c r="AH809" i="14" s="1"/>
  <c r="AH810" i="14" s="1"/>
  <c r="AH811" i="14" s="1"/>
  <c r="AH812" i="14" s="1"/>
  <c r="AH813" i="14" s="1"/>
  <c r="AH814" i="14" s="1"/>
  <c r="AH815" i="14" s="1"/>
  <c r="AH816" i="14" s="1"/>
  <c r="AH817" i="14" s="1"/>
  <c r="AH818" i="14" s="1"/>
  <c r="AH819" i="14" s="1"/>
  <c r="AH820" i="14" s="1"/>
  <c r="AH821" i="14" s="1"/>
  <c r="AH822" i="14" s="1"/>
  <c r="AH823" i="14" s="1"/>
  <c r="AH824" i="14" s="1"/>
  <c r="AH825" i="14" s="1"/>
  <c r="AH826" i="14" s="1"/>
  <c r="AH827" i="14" s="1"/>
  <c r="AH828" i="14" s="1"/>
  <c r="AH829" i="14" s="1"/>
  <c r="AH830" i="14" s="1"/>
  <c r="AH831" i="14" s="1"/>
  <c r="AH832" i="14" s="1"/>
  <c r="AH833" i="14" s="1"/>
  <c r="AH834" i="14" s="1"/>
  <c r="AH835" i="14" s="1"/>
  <c r="AH836" i="14" s="1"/>
  <c r="AH837" i="14" s="1"/>
  <c r="AH838" i="14" s="1"/>
  <c r="AH839" i="14" s="1"/>
  <c r="AH840" i="14" s="1"/>
  <c r="AH841" i="14" s="1"/>
  <c r="AH842" i="14" s="1"/>
  <c r="AH843" i="14" s="1"/>
  <c r="AH844" i="14" s="1"/>
  <c r="AH845" i="14" s="1"/>
  <c r="AH846" i="14" s="1"/>
  <c r="AH847" i="14" s="1"/>
  <c r="AH848" i="14" s="1"/>
  <c r="AH849" i="14" s="1"/>
  <c r="AH850" i="14" s="1"/>
  <c r="AH851" i="14" s="1"/>
  <c r="AH852" i="14" s="1"/>
  <c r="AH853" i="14" s="1"/>
  <c r="AH854" i="14" s="1"/>
  <c r="AH855" i="14" s="1"/>
  <c r="AH856" i="14" s="1"/>
  <c r="AH857" i="14" s="1"/>
  <c r="AH858" i="14" s="1"/>
  <c r="AH859" i="14" s="1"/>
  <c r="AH860" i="14" s="1"/>
  <c r="AH861" i="14" s="1"/>
  <c r="AH862" i="14" s="1"/>
  <c r="AH863" i="14" s="1"/>
  <c r="AH864" i="14" s="1"/>
  <c r="AH865" i="14" s="1"/>
  <c r="AH866" i="14" s="1"/>
  <c r="AH867" i="14" s="1"/>
  <c r="AH868" i="14" s="1"/>
  <c r="AH869" i="14" s="1"/>
  <c r="AH870" i="14" s="1"/>
  <c r="AH871" i="14" s="1"/>
  <c r="AH872" i="14" s="1"/>
  <c r="AH873" i="14" s="1"/>
  <c r="AH874" i="14" s="1"/>
  <c r="AH875" i="14" s="1"/>
  <c r="AH876" i="14" s="1"/>
  <c r="AH877" i="14" s="1"/>
  <c r="AH878" i="14" s="1"/>
  <c r="AH879" i="14" s="1"/>
  <c r="AH880" i="14" s="1"/>
  <c r="AH881" i="14" s="1"/>
  <c r="AH882" i="14" s="1"/>
  <c r="AH883" i="14" s="1"/>
  <c r="AH884" i="14" s="1"/>
  <c r="AH885" i="14" s="1"/>
  <c r="AH886" i="14" s="1"/>
  <c r="AH887" i="14" s="1"/>
  <c r="AH888" i="14" s="1"/>
  <c r="AH889" i="14" s="1"/>
  <c r="AH890" i="14" s="1"/>
  <c r="AH891" i="14" s="1"/>
  <c r="AH892" i="14" s="1"/>
  <c r="AH893" i="14" s="1"/>
  <c r="AH894" i="14" s="1"/>
  <c r="AH895" i="14" s="1"/>
  <c r="AH896" i="14" s="1"/>
  <c r="AH897" i="14" s="1"/>
  <c r="AH898" i="14" s="1"/>
  <c r="AH899" i="14" s="1"/>
  <c r="AH900" i="14" s="1"/>
  <c r="AH901" i="14" s="1"/>
  <c r="AH902" i="14" s="1"/>
  <c r="AH903" i="14" s="1"/>
  <c r="AH904" i="14" s="1"/>
  <c r="AH905" i="14" s="1"/>
  <c r="AH906" i="14" s="1"/>
  <c r="AH907" i="14" s="1"/>
  <c r="AH908" i="14" s="1"/>
  <c r="AH909" i="14" s="1"/>
  <c r="AH910" i="14" s="1"/>
  <c r="AH911" i="14" s="1"/>
  <c r="AH912" i="14" s="1"/>
  <c r="AH913" i="14" s="1"/>
  <c r="AH914" i="14" s="1"/>
  <c r="AH915" i="14" s="1"/>
  <c r="AH916" i="14" s="1"/>
  <c r="AH917" i="14" s="1"/>
  <c r="AH918" i="14" s="1"/>
  <c r="AH919" i="14" s="1"/>
  <c r="AH920" i="14" s="1"/>
  <c r="AH921" i="14" s="1"/>
  <c r="AH922" i="14" s="1"/>
  <c r="AH923" i="14" s="1"/>
  <c r="AH924" i="14" s="1"/>
  <c r="AH925" i="14" s="1"/>
  <c r="AH926" i="14" s="1"/>
  <c r="AH927" i="14" s="1"/>
  <c r="AH928" i="14" s="1"/>
  <c r="AH929" i="14" s="1"/>
  <c r="AH930" i="14" s="1"/>
  <c r="AH931" i="14" s="1"/>
  <c r="AH932" i="14" s="1"/>
  <c r="AH933" i="14" s="1"/>
  <c r="AH934" i="14" s="1"/>
  <c r="AH935" i="14" s="1"/>
  <c r="AH936" i="14" s="1"/>
  <c r="AH937" i="14" s="1"/>
  <c r="AH938" i="14" s="1"/>
  <c r="AH939" i="14" s="1"/>
  <c r="AH940" i="14" s="1"/>
  <c r="AH941" i="14" s="1"/>
  <c r="AH942" i="14" s="1"/>
  <c r="AH943" i="14" s="1"/>
  <c r="AH944" i="14" s="1"/>
  <c r="AH945" i="14" s="1"/>
  <c r="AH946" i="14" s="1"/>
  <c r="AH947" i="14" s="1"/>
  <c r="AH948" i="14" s="1"/>
  <c r="AH949" i="14" s="1"/>
  <c r="AH950" i="14" s="1"/>
  <c r="AH951" i="14" s="1"/>
  <c r="AH952" i="14" s="1"/>
  <c r="AH953" i="14" s="1"/>
  <c r="AH954" i="14" s="1"/>
  <c r="AH955" i="14" s="1"/>
  <c r="AH956" i="14" s="1"/>
  <c r="AH957" i="14" s="1"/>
  <c r="AH958" i="14" s="1"/>
  <c r="AH959" i="14" s="1"/>
  <c r="AH960" i="14" s="1"/>
  <c r="AH961" i="14" s="1"/>
  <c r="AH962" i="14" s="1"/>
  <c r="AH963" i="14" s="1"/>
  <c r="AH964" i="14" s="1"/>
  <c r="AH965" i="14" s="1"/>
  <c r="AH966" i="14" s="1"/>
  <c r="AH967" i="14" s="1"/>
  <c r="AH968" i="14" s="1"/>
  <c r="AH969" i="14" s="1"/>
  <c r="AH970" i="14" s="1"/>
  <c r="AH971" i="14" s="1"/>
  <c r="AH972" i="14" s="1"/>
  <c r="AH973" i="14" s="1"/>
  <c r="AH974" i="14" s="1"/>
  <c r="AH975" i="14" s="1"/>
  <c r="AH976" i="14" s="1"/>
  <c r="AH977" i="14" s="1"/>
  <c r="AH978" i="14" s="1"/>
  <c r="AH979" i="14" s="1"/>
  <c r="AH980" i="14" s="1"/>
  <c r="AH981" i="14" s="1"/>
  <c r="AH982" i="14" s="1"/>
  <c r="AH983" i="14" s="1"/>
  <c r="AH984" i="14" s="1"/>
  <c r="AH985" i="14" s="1"/>
  <c r="AH986" i="14" s="1"/>
  <c r="AH987" i="14" s="1"/>
  <c r="AH988" i="14" s="1"/>
  <c r="AH989" i="14" s="1"/>
  <c r="AH990" i="14" s="1"/>
  <c r="AH991" i="14" s="1"/>
  <c r="AH992" i="14" s="1"/>
  <c r="AH993" i="14" s="1"/>
  <c r="AH994" i="14" s="1"/>
  <c r="AH995" i="14" s="1"/>
  <c r="AH996" i="14" s="1"/>
  <c r="AH997" i="14" s="1"/>
  <c r="AH998" i="14" s="1"/>
  <c r="AH999" i="14" s="1"/>
  <c r="AH1000" i="14" s="1"/>
  <c r="AH1001" i="14" s="1"/>
  <c r="AH1002" i="14" s="1"/>
  <c r="AH1003" i="14" s="1"/>
  <c r="AH1004" i="14" s="1"/>
  <c r="AH1005" i="14" s="1"/>
  <c r="AH1006" i="14" s="1"/>
  <c r="AH1007" i="14" s="1"/>
  <c r="AH1008" i="14" s="1"/>
  <c r="AH1009" i="14" s="1"/>
  <c r="AH1010" i="14" s="1"/>
  <c r="AH1011" i="14" s="1"/>
  <c r="AH1012" i="14" s="1"/>
  <c r="AH1013" i="14" s="1"/>
  <c r="AH1014" i="14" s="1"/>
  <c r="AH1015" i="14" s="1"/>
  <c r="AH1016" i="14" s="1"/>
  <c r="AH1017" i="14" s="1"/>
  <c r="AH1018" i="14" s="1"/>
  <c r="AH1019" i="14" s="1"/>
  <c r="AH1020" i="14" s="1"/>
  <c r="AH1021" i="14" s="1"/>
  <c r="AH1022" i="14" s="1"/>
  <c r="AH1023" i="14" s="1"/>
  <c r="AH1024" i="14" s="1"/>
  <c r="AH1025" i="14" s="1"/>
  <c r="AH1026" i="14" s="1"/>
  <c r="AH1027" i="14" s="1"/>
  <c r="AH1028" i="14" s="1"/>
  <c r="AH1029" i="14" s="1"/>
  <c r="AH1030" i="14" s="1"/>
  <c r="AH1031" i="14" s="1"/>
  <c r="AH1032" i="14" s="1"/>
  <c r="AH1033" i="14" s="1"/>
  <c r="AH1034" i="14" s="1"/>
  <c r="AH1035" i="14" s="1"/>
  <c r="AH1036" i="14" s="1"/>
  <c r="AH1037" i="14" s="1"/>
  <c r="AH1038" i="14" s="1"/>
  <c r="AH1039" i="14" s="1"/>
  <c r="AH1040" i="14" s="1"/>
  <c r="AH1041" i="14" s="1"/>
  <c r="AH1042" i="14" s="1"/>
  <c r="AH1043" i="14" s="1"/>
  <c r="AH1044" i="14" s="1"/>
  <c r="AH1045" i="14" s="1"/>
  <c r="AH1046" i="14" s="1"/>
  <c r="AH1047" i="14" s="1"/>
  <c r="AH1048" i="14" s="1"/>
  <c r="AH1049" i="14" s="1"/>
  <c r="AH1050" i="14" s="1"/>
  <c r="AH1051" i="14" s="1"/>
  <c r="AH1052" i="14" s="1"/>
  <c r="AH1053" i="14" s="1"/>
  <c r="AH1054" i="14" s="1"/>
  <c r="AH1055" i="14" s="1"/>
  <c r="AH1056" i="14" s="1"/>
  <c r="AH1057" i="14" s="1"/>
  <c r="AH1058" i="14" s="1"/>
  <c r="AH1059" i="14" s="1"/>
  <c r="AH1060" i="14" s="1"/>
  <c r="AH1061" i="14" s="1"/>
  <c r="AH1062" i="14" s="1"/>
  <c r="AH1063" i="14" s="1"/>
  <c r="AH1064" i="14" s="1"/>
  <c r="AH1065" i="14" s="1"/>
  <c r="AH1066" i="14" s="1"/>
  <c r="AH1067" i="14" s="1"/>
  <c r="AH1068" i="14" s="1"/>
  <c r="AH1069" i="14" s="1"/>
  <c r="AH1070" i="14" s="1"/>
  <c r="AH1071" i="14" s="1"/>
  <c r="AH1072" i="14" s="1"/>
  <c r="AH1073" i="14" s="1"/>
  <c r="AH1074" i="14" s="1"/>
  <c r="AH1075" i="14" s="1"/>
  <c r="AH1076" i="14" s="1"/>
  <c r="AH1077" i="14" s="1"/>
  <c r="AH1078" i="14" s="1"/>
  <c r="AH1079" i="14" s="1"/>
  <c r="AH1080" i="14" s="1"/>
  <c r="AH1081" i="14" s="1"/>
  <c r="AH1082" i="14" s="1"/>
  <c r="AH1083" i="14" s="1"/>
  <c r="AH1084" i="14" s="1"/>
  <c r="AH1085" i="14" s="1"/>
  <c r="AH1086" i="14" s="1"/>
  <c r="AH1087" i="14" s="1"/>
  <c r="AH1088" i="14" s="1"/>
  <c r="AH1089" i="14" s="1"/>
  <c r="AH1090" i="14" s="1"/>
  <c r="AH1091" i="14" s="1"/>
  <c r="AH1092" i="14" s="1"/>
  <c r="AH1093" i="14" s="1"/>
  <c r="AH1094" i="14" s="1"/>
  <c r="AH1095" i="14" s="1"/>
  <c r="AH1096" i="14" s="1"/>
  <c r="AH1097" i="14" s="1"/>
  <c r="AH1098" i="14" s="1"/>
  <c r="AH1099" i="14" s="1"/>
  <c r="AH1100" i="14" s="1"/>
  <c r="AH1101" i="14" s="1"/>
  <c r="AH1102" i="14" s="1"/>
  <c r="AH1103" i="14" s="1"/>
  <c r="AH1104" i="14" s="1"/>
  <c r="AH1105" i="14" s="1"/>
  <c r="AH1106" i="14" s="1"/>
  <c r="AH1107" i="14" s="1"/>
  <c r="AH1108" i="14" s="1"/>
  <c r="AH1109" i="14" s="1"/>
  <c r="AH1110" i="14" s="1"/>
  <c r="AH1111" i="14" s="1"/>
  <c r="AH1112" i="14" s="1"/>
  <c r="AH1113" i="14" s="1"/>
  <c r="AH1114" i="14" s="1"/>
  <c r="AH1115" i="14" s="1"/>
  <c r="AH1116" i="14" s="1"/>
  <c r="AH1117" i="14" s="1"/>
  <c r="AH1118" i="14" s="1"/>
  <c r="AH1119" i="14" s="1"/>
  <c r="AH1120" i="14" s="1"/>
  <c r="AH1121" i="14" s="1"/>
  <c r="AH1122" i="14" s="1"/>
  <c r="AH1123" i="14" s="1"/>
  <c r="AH1124" i="14" s="1"/>
  <c r="AH1125" i="14" s="1"/>
  <c r="AH1126" i="14" s="1"/>
  <c r="AH1127" i="14" s="1"/>
  <c r="AH1128" i="14" s="1"/>
  <c r="AH1129" i="14" s="1"/>
  <c r="AH1130" i="14" s="1"/>
  <c r="AH1131" i="14" s="1"/>
  <c r="AH1132" i="14" s="1"/>
  <c r="AH1133" i="14" s="1"/>
  <c r="AH1134" i="14" s="1"/>
  <c r="AH1135" i="14" s="1"/>
  <c r="AH1136" i="14" s="1"/>
  <c r="AH1137" i="14" s="1"/>
  <c r="AH1138" i="14" s="1"/>
  <c r="AH1139" i="14" s="1"/>
  <c r="AH1140" i="14" s="1"/>
  <c r="AH1141" i="14" s="1"/>
  <c r="AH1142" i="14" s="1"/>
  <c r="AH1143" i="14" s="1"/>
  <c r="AH1144" i="14" s="1"/>
  <c r="AH1145" i="14" s="1"/>
  <c r="AH1146" i="14" s="1"/>
  <c r="AH1147" i="14" s="1"/>
  <c r="AH1148" i="14" s="1"/>
  <c r="AH1149" i="14" s="1"/>
  <c r="AH1150" i="14" s="1"/>
  <c r="AH1151" i="14" s="1"/>
  <c r="AH1152" i="14" s="1"/>
  <c r="AH1153" i="14" s="1"/>
  <c r="AH1154" i="14" s="1"/>
  <c r="AH1155" i="14" s="1"/>
  <c r="AH1156" i="14" s="1"/>
  <c r="AH1157" i="14" s="1"/>
  <c r="AH1158" i="14" s="1"/>
  <c r="AH1159" i="14" s="1"/>
  <c r="AH1160" i="14" s="1"/>
  <c r="AH1161" i="14" s="1"/>
  <c r="AH1162" i="14" s="1"/>
  <c r="AH1163" i="14" s="1"/>
  <c r="AH1164" i="14" s="1"/>
  <c r="AH1165" i="14" s="1"/>
  <c r="AH1166" i="14" s="1"/>
  <c r="AH1167" i="14" s="1"/>
  <c r="AH1168" i="14" s="1"/>
  <c r="AH1169" i="14" s="1"/>
  <c r="AH1170" i="14" s="1"/>
  <c r="AH1171" i="14" s="1"/>
  <c r="AH1172" i="14" s="1"/>
  <c r="AH1173" i="14" s="1"/>
  <c r="AH1174" i="14" s="1"/>
  <c r="AH1175" i="14" s="1"/>
  <c r="AH1176" i="14" s="1"/>
  <c r="AH1177" i="14" s="1"/>
  <c r="AH1178" i="14" s="1"/>
  <c r="AH1179" i="14" s="1"/>
  <c r="AH1180" i="14" s="1"/>
  <c r="AH1181" i="14" s="1"/>
  <c r="AH1182" i="14" s="1"/>
  <c r="AH1183" i="14" s="1"/>
  <c r="AH1184" i="14" s="1"/>
  <c r="AH1185" i="14" s="1"/>
  <c r="AH1186" i="14" s="1"/>
  <c r="AH1187" i="14" s="1"/>
  <c r="AH1188" i="14" s="1"/>
  <c r="AH1189" i="14" s="1"/>
  <c r="AH1190" i="14" s="1"/>
  <c r="AH1191" i="14" s="1"/>
  <c r="AH1192" i="14" s="1"/>
  <c r="AH1193" i="14" s="1"/>
  <c r="AH1194" i="14" s="1"/>
  <c r="AH1195" i="14" s="1"/>
  <c r="AH1196" i="14" s="1"/>
  <c r="AH1197" i="14" s="1"/>
  <c r="AH1198" i="14" s="1"/>
  <c r="AH1199" i="14" s="1"/>
  <c r="AH1200" i="14" s="1"/>
  <c r="AH1201" i="14" s="1"/>
  <c r="AH1202" i="14" s="1"/>
  <c r="AH1203" i="14" s="1"/>
  <c r="AH1204" i="14" s="1"/>
  <c r="AH1205" i="14" s="1"/>
  <c r="AH1206" i="14" s="1"/>
  <c r="AH1207" i="14" s="1"/>
  <c r="AH1208" i="14" s="1"/>
  <c r="AH1209" i="14" s="1"/>
  <c r="AH1210" i="14" s="1"/>
  <c r="AH1211" i="14" s="1"/>
  <c r="AH1212" i="14" s="1"/>
  <c r="AH1213" i="14" s="1"/>
  <c r="AH1214" i="14" s="1"/>
  <c r="AH1215" i="14" s="1"/>
  <c r="AH1216" i="14" s="1"/>
  <c r="AH1217" i="14" s="1"/>
  <c r="AH1218" i="14" s="1"/>
  <c r="AH1219" i="14" s="1"/>
  <c r="AH1220" i="14" s="1"/>
  <c r="AH1221" i="14" s="1"/>
  <c r="AH1222" i="14" s="1"/>
  <c r="AH1223" i="14" s="1"/>
  <c r="AH1224" i="14" s="1"/>
  <c r="AH1225" i="14" s="1"/>
  <c r="AH1226" i="14" s="1"/>
  <c r="AH1227" i="14" s="1"/>
  <c r="AH1228" i="14" s="1"/>
  <c r="AH1229" i="14" s="1"/>
  <c r="AH1230" i="14" s="1"/>
  <c r="AH1231" i="14" s="1"/>
  <c r="AH1232" i="14" s="1"/>
  <c r="AH1233" i="14" s="1"/>
  <c r="AH1234" i="14" s="1"/>
  <c r="AH1235" i="14" s="1"/>
  <c r="AH1236" i="14" s="1"/>
  <c r="AH1237" i="14" s="1"/>
  <c r="AH1238" i="14" s="1"/>
  <c r="AH1239" i="14" s="1"/>
  <c r="AH1240" i="14" s="1"/>
  <c r="AH1241" i="14" s="1"/>
  <c r="AH1242" i="14" s="1"/>
  <c r="AH1243" i="14" s="1"/>
  <c r="AH1244" i="14" s="1"/>
  <c r="AH1245" i="14" s="1"/>
  <c r="AH1246" i="14" s="1"/>
  <c r="AH1247" i="14" s="1"/>
  <c r="AH1248" i="14" s="1"/>
  <c r="AH1249" i="14" s="1"/>
  <c r="AH1250" i="14" s="1"/>
  <c r="AH1251" i="14" s="1"/>
  <c r="AH1252" i="14" s="1"/>
  <c r="AH1253" i="14" s="1"/>
  <c r="AH1254" i="14" s="1"/>
  <c r="AH1255" i="14" s="1"/>
  <c r="AH1256" i="14" s="1"/>
  <c r="AH1257" i="14" s="1"/>
  <c r="AH1258" i="14" s="1"/>
  <c r="AH1259" i="14" s="1"/>
  <c r="AH1260" i="14" s="1"/>
  <c r="AH1261" i="14" s="1"/>
  <c r="AH1262" i="14" s="1"/>
  <c r="AH1263" i="14" s="1"/>
  <c r="AH1264" i="14" s="1"/>
  <c r="AH1265" i="14" s="1"/>
  <c r="AH1266" i="14" s="1"/>
  <c r="AH1267" i="14" s="1"/>
  <c r="AH1268" i="14" s="1"/>
  <c r="AH1269" i="14" s="1"/>
  <c r="AH1270" i="14" s="1"/>
  <c r="AH1271" i="14" s="1"/>
  <c r="AH1272" i="14" s="1"/>
  <c r="AH1273" i="14" s="1"/>
  <c r="AH1274" i="14" s="1"/>
  <c r="AH1275" i="14" s="1"/>
  <c r="AH1276" i="14" s="1"/>
  <c r="AH1277" i="14" s="1"/>
  <c r="AH1278" i="14" s="1"/>
  <c r="AH1279" i="14" s="1"/>
  <c r="AH1280" i="14" s="1"/>
  <c r="AH1281" i="14" s="1"/>
  <c r="AH1282" i="14" s="1"/>
  <c r="AH1283" i="14" s="1"/>
  <c r="AH1284" i="14" s="1"/>
  <c r="AH1285" i="14" s="1"/>
  <c r="AH1286" i="14" s="1"/>
  <c r="AH1287" i="14" s="1"/>
  <c r="AH1288" i="14" s="1"/>
  <c r="AH1289" i="14" s="1"/>
  <c r="AH1290" i="14" s="1"/>
  <c r="AH1291" i="14" s="1"/>
  <c r="AH1292" i="14" s="1"/>
  <c r="AH1293" i="14" s="1"/>
  <c r="AH1294" i="14" s="1"/>
  <c r="AH1295" i="14" s="1"/>
  <c r="AH1296" i="14" s="1"/>
  <c r="AH1297" i="14" s="1"/>
  <c r="AH1298" i="14" s="1"/>
  <c r="AH1299" i="14" s="1"/>
  <c r="AH1300" i="14" s="1"/>
  <c r="AH1301" i="14" s="1"/>
  <c r="AH1302" i="14" s="1"/>
  <c r="AH1303" i="14" s="1"/>
  <c r="AH1304" i="14" s="1"/>
  <c r="AH1305" i="14" s="1"/>
  <c r="AH1306" i="14" s="1"/>
  <c r="AH1307" i="14" s="1"/>
  <c r="AH1308" i="14" s="1"/>
  <c r="AH1309" i="14" s="1"/>
  <c r="AH1310" i="14" s="1"/>
  <c r="AH1311" i="14" s="1"/>
  <c r="AH1312" i="14" s="1"/>
  <c r="AH1313" i="14" s="1"/>
  <c r="AH1314" i="14" s="1"/>
  <c r="AH1315" i="14" s="1"/>
  <c r="AH1316" i="14" s="1"/>
  <c r="AH1317" i="14" s="1"/>
  <c r="AH1318" i="14" s="1"/>
  <c r="AH1319" i="14" s="1"/>
  <c r="AH1320" i="14" s="1"/>
  <c r="AH1321" i="14" s="1"/>
  <c r="AH1322" i="14" s="1"/>
  <c r="AH1323" i="14" s="1"/>
  <c r="AH1324" i="14" s="1"/>
  <c r="AH1325" i="14" s="1"/>
  <c r="AH1326" i="14" s="1"/>
  <c r="AH1327" i="14" s="1"/>
  <c r="AH1328" i="14" s="1"/>
  <c r="AH1329" i="14" s="1"/>
  <c r="AH1330" i="14" s="1"/>
  <c r="AH1331" i="14" s="1"/>
  <c r="AH1332" i="14" s="1"/>
  <c r="AH1333" i="14" s="1"/>
  <c r="AH1334" i="14" s="1"/>
  <c r="AH1335" i="14" s="1"/>
  <c r="AH1336" i="14" s="1"/>
  <c r="AH1337" i="14" s="1"/>
  <c r="AH1338" i="14" s="1"/>
  <c r="AH1339" i="14" s="1"/>
  <c r="AH1340" i="14" s="1"/>
  <c r="AH1341" i="14" s="1"/>
  <c r="AH1342" i="14" s="1"/>
  <c r="AH1343" i="14" s="1"/>
  <c r="AH1344" i="14" s="1"/>
  <c r="AH1345" i="14" s="1"/>
  <c r="AH1346" i="14" s="1"/>
  <c r="AH1347" i="14" s="1"/>
  <c r="AH1348" i="14" s="1"/>
  <c r="AH1349" i="14" s="1"/>
  <c r="AH1350" i="14" s="1"/>
  <c r="AH1351" i="14" s="1"/>
  <c r="AH1352" i="14" s="1"/>
  <c r="AH1353" i="14" s="1"/>
  <c r="AH1354" i="14" s="1"/>
  <c r="AH1355" i="14" s="1"/>
  <c r="AH1356" i="14" s="1"/>
  <c r="AH1357" i="14" s="1"/>
  <c r="AH1358" i="14" s="1"/>
  <c r="AH1359" i="14" s="1"/>
  <c r="AH1360" i="14" s="1"/>
  <c r="AH1361" i="14" s="1"/>
  <c r="AH1362" i="14" s="1"/>
  <c r="AH1363" i="14" s="1"/>
  <c r="AH1364" i="14" s="1"/>
  <c r="AH1365" i="14" s="1"/>
  <c r="AH1366" i="14" s="1"/>
  <c r="AH1367" i="14" s="1"/>
  <c r="AH1368" i="14" s="1"/>
  <c r="AH1369" i="14" s="1"/>
  <c r="AH1370" i="14" s="1"/>
  <c r="AH1371" i="14" s="1"/>
  <c r="AH1372" i="14" s="1"/>
  <c r="AH1373" i="14" s="1"/>
  <c r="AH1374" i="14" s="1"/>
  <c r="AH1375" i="14" s="1"/>
  <c r="AH1376" i="14" s="1"/>
  <c r="AH1377" i="14" s="1"/>
  <c r="AH1378" i="14" s="1"/>
  <c r="AH1379" i="14" s="1"/>
  <c r="AH1380" i="14" s="1"/>
  <c r="AH1381" i="14" s="1"/>
  <c r="AH1382" i="14" s="1"/>
  <c r="AH1383" i="14" s="1"/>
  <c r="AH1384" i="14" s="1"/>
  <c r="AH1385" i="14" s="1"/>
  <c r="AH1386" i="14" s="1"/>
  <c r="AH1387" i="14" s="1"/>
  <c r="AH1388" i="14" s="1"/>
  <c r="AH1389" i="14" s="1"/>
  <c r="AH1390" i="14" s="1"/>
  <c r="AH1391" i="14" s="1"/>
  <c r="AH1392" i="14" s="1"/>
  <c r="AH1393" i="14" s="1"/>
  <c r="AH1394" i="14" s="1"/>
  <c r="AH1395" i="14" s="1"/>
  <c r="AH1396" i="14" s="1"/>
  <c r="AH1397" i="14" s="1"/>
  <c r="AH1398" i="14" s="1"/>
  <c r="AH1399" i="14" s="1"/>
  <c r="AH1400" i="14" s="1"/>
  <c r="AH1401" i="14" s="1"/>
  <c r="AH1402" i="14" s="1"/>
  <c r="AH1403" i="14" s="1"/>
  <c r="AH1404" i="14" s="1"/>
  <c r="AH1405" i="14" s="1"/>
  <c r="AH1406" i="14" s="1"/>
  <c r="AH1407" i="14" s="1"/>
  <c r="AH1408" i="14" s="1"/>
  <c r="AH1409" i="14" s="1"/>
  <c r="AH1410" i="14" s="1"/>
  <c r="AH1411" i="14" s="1"/>
  <c r="AH1412" i="14" s="1"/>
  <c r="AH1413" i="14" s="1"/>
  <c r="AH1414" i="14" s="1"/>
  <c r="AH1415" i="14" s="1"/>
  <c r="AH1416" i="14" s="1"/>
  <c r="AH1417" i="14" s="1"/>
  <c r="AH1418" i="14" s="1"/>
  <c r="AH1419" i="14" s="1"/>
  <c r="AH1420" i="14" s="1"/>
  <c r="AH1421" i="14" s="1"/>
  <c r="AH1422" i="14" s="1"/>
  <c r="AH1423" i="14" s="1"/>
  <c r="AH1424" i="14" s="1"/>
  <c r="AH1425" i="14" s="1"/>
  <c r="AH1426" i="14" s="1"/>
  <c r="AH1427" i="14" s="1"/>
  <c r="AH1428" i="14" s="1"/>
  <c r="AH1429" i="14" s="1"/>
  <c r="AH1430" i="14" s="1"/>
  <c r="AH1431" i="14" s="1"/>
  <c r="AH1432" i="14" s="1"/>
  <c r="AH1433" i="14" s="1"/>
  <c r="AH1434" i="14" s="1"/>
  <c r="AH1435" i="14" s="1"/>
  <c r="AH1436" i="14" s="1"/>
  <c r="AH1437" i="14" s="1"/>
  <c r="AH1438" i="14" s="1"/>
  <c r="AH1439" i="14" s="1"/>
  <c r="AH1440" i="14" s="1"/>
  <c r="AH1441" i="14" s="1"/>
  <c r="AH1442" i="14" s="1"/>
  <c r="AH1443" i="14" s="1"/>
  <c r="AH1444" i="14" s="1"/>
  <c r="AH1445" i="14" s="1"/>
  <c r="AH1446" i="14" s="1"/>
  <c r="AH1447" i="14" s="1"/>
  <c r="AH1448" i="14" s="1"/>
  <c r="AH1449" i="14" s="1"/>
  <c r="AH1450" i="14" s="1"/>
  <c r="AH1451" i="14" s="1"/>
  <c r="AH1452" i="14" s="1"/>
  <c r="AH1453" i="14" s="1"/>
  <c r="AH1454" i="14" s="1"/>
  <c r="AH1455" i="14" s="1"/>
  <c r="AH1456" i="14" s="1"/>
  <c r="AH1457" i="14" s="1"/>
  <c r="AH1458" i="14" s="1"/>
  <c r="AH1459" i="14" s="1"/>
  <c r="AH1460" i="14" s="1"/>
  <c r="AH1461" i="14" s="1"/>
  <c r="AH1462" i="14" s="1"/>
  <c r="AH1463" i="14" s="1"/>
  <c r="AH1464" i="14" s="1"/>
  <c r="AH1465" i="14" s="1"/>
  <c r="AH1466" i="14" s="1"/>
  <c r="AH1467" i="14" s="1"/>
  <c r="AH1468" i="14" s="1"/>
  <c r="AH1469" i="14" s="1"/>
  <c r="AH1470" i="14" s="1"/>
  <c r="AH1471" i="14" s="1"/>
  <c r="AH1472" i="14" s="1"/>
  <c r="AH1473" i="14" s="1"/>
  <c r="AH1474" i="14" s="1"/>
  <c r="AH1475" i="14" s="1"/>
  <c r="AH1476" i="14" s="1"/>
  <c r="AH1477" i="14" s="1"/>
  <c r="AH1478" i="14" s="1"/>
  <c r="AH1479" i="14" s="1"/>
  <c r="AH1480" i="14" s="1"/>
  <c r="AH1481" i="14" s="1"/>
  <c r="AH1482" i="14" s="1"/>
  <c r="AH1483" i="14" s="1"/>
  <c r="AH1484" i="14" s="1"/>
  <c r="AH1485" i="14" s="1"/>
  <c r="AH1486" i="14" s="1"/>
  <c r="AH1487" i="14" s="1"/>
  <c r="AH1488" i="14" s="1"/>
  <c r="AH1489" i="14" s="1"/>
  <c r="AH1490" i="14" s="1"/>
  <c r="AH1491" i="14" s="1"/>
  <c r="AH1492" i="14" s="1"/>
  <c r="AH1493" i="14" s="1"/>
  <c r="AH1494" i="14" s="1"/>
  <c r="AH1495" i="14" s="1"/>
  <c r="AH1496" i="14" s="1"/>
  <c r="AH1497" i="14" s="1"/>
  <c r="AH1498" i="14" s="1"/>
  <c r="AH1499" i="14" s="1"/>
  <c r="AH1500" i="14" s="1"/>
  <c r="AH1501" i="14" s="1"/>
  <c r="AH1502" i="14" s="1"/>
  <c r="AH1503" i="14" s="1"/>
  <c r="AH1504" i="14" s="1"/>
  <c r="AH1505" i="14" s="1"/>
  <c r="AH1506" i="14" s="1"/>
  <c r="AH1507" i="14" s="1"/>
  <c r="AH1508" i="14" s="1"/>
  <c r="AH1509" i="14" s="1"/>
  <c r="AH1510" i="14" s="1"/>
  <c r="AH1511" i="14" s="1"/>
  <c r="AH1512" i="14" s="1"/>
  <c r="AH1513" i="14" s="1"/>
  <c r="AH1514" i="14" s="1"/>
  <c r="AH1515" i="14" s="1"/>
  <c r="AH1516" i="14" s="1"/>
  <c r="AH1517" i="14" s="1"/>
  <c r="AH1518" i="14" s="1"/>
  <c r="AH1519" i="14" s="1"/>
  <c r="AH1520" i="14" s="1"/>
  <c r="AH1521" i="14" s="1"/>
  <c r="AH1522" i="14" s="1"/>
  <c r="AH1523" i="14" s="1"/>
  <c r="AH1524" i="14" s="1"/>
  <c r="AH1525" i="14" s="1"/>
  <c r="AH1526" i="14" s="1"/>
  <c r="AH1527" i="14" s="1"/>
  <c r="AH1528" i="14" s="1"/>
  <c r="AH1529" i="14" s="1"/>
  <c r="AH1530" i="14" s="1"/>
  <c r="AH1531" i="14" s="1"/>
  <c r="AH1532" i="14" s="1"/>
  <c r="AH1533" i="14" s="1"/>
  <c r="AH1534" i="14" s="1"/>
  <c r="AH1535" i="14" s="1"/>
  <c r="AH1536" i="14" s="1"/>
  <c r="AH1537" i="14" s="1"/>
  <c r="AH1538" i="14" s="1"/>
  <c r="AH1539" i="14" s="1"/>
  <c r="AH1540" i="14" s="1"/>
  <c r="AH1541" i="14" s="1"/>
  <c r="AH1542" i="14" s="1"/>
  <c r="AH1543" i="14" s="1"/>
  <c r="AH1544" i="14" s="1"/>
  <c r="AH1545" i="14" s="1"/>
  <c r="AH1546" i="14" s="1"/>
  <c r="AH1547" i="14" s="1"/>
  <c r="AH1548" i="14" s="1"/>
  <c r="AH1549" i="14" s="1"/>
  <c r="AH1550" i="14" s="1"/>
  <c r="AH1551" i="14" s="1"/>
  <c r="AH1552" i="14" s="1"/>
  <c r="AH1553" i="14" s="1"/>
  <c r="AH1554" i="14" s="1"/>
  <c r="AH1555" i="14" s="1"/>
  <c r="AH1556" i="14" s="1"/>
  <c r="AH1557" i="14" s="1"/>
  <c r="AH1558" i="14" s="1"/>
  <c r="AH1559" i="14" s="1"/>
  <c r="AH1560" i="14" s="1"/>
  <c r="AH1561" i="14" s="1"/>
  <c r="AH1562" i="14" s="1"/>
  <c r="AH1563" i="14" s="1"/>
  <c r="AH1564" i="14" s="1"/>
  <c r="AH1565" i="14" s="1"/>
  <c r="AH1566" i="14" s="1"/>
  <c r="AH1567" i="14" s="1"/>
  <c r="AH1568" i="14" s="1"/>
  <c r="AH1569" i="14" s="1"/>
  <c r="AH1570" i="14" s="1"/>
  <c r="AH1571" i="14" s="1"/>
  <c r="AH1572" i="14" s="1"/>
  <c r="AH1573" i="14" s="1"/>
  <c r="AH1574" i="14" s="1"/>
  <c r="AH1575" i="14" s="1"/>
  <c r="AH1576" i="14" s="1"/>
  <c r="AH1577" i="14" s="1"/>
  <c r="AH1578" i="14" s="1"/>
  <c r="AH1579" i="14" s="1"/>
  <c r="AH1580" i="14" s="1"/>
  <c r="AH1581" i="14" s="1"/>
  <c r="AH1582" i="14" s="1"/>
  <c r="AH1583" i="14" s="1"/>
  <c r="AH1584" i="14" s="1"/>
  <c r="AH1585" i="14" s="1"/>
  <c r="AH1586" i="14" s="1"/>
  <c r="AH1587" i="14" s="1"/>
  <c r="AH1588" i="14" s="1"/>
  <c r="AH1589" i="14" s="1"/>
  <c r="AH1590" i="14" s="1"/>
  <c r="AH1591" i="14" s="1"/>
  <c r="AH1592" i="14" s="1"/>
  <c r="AH1593" i="14" s="1"/>
  <c r="AH1594" i="14" s="1"/>
  <c r="AH1595" i="14" s="1"/>
  <c r="AH1596" i="14" s="1"/>
  <c r="AH1597" i="14" s="1"/>
  <c r="AH1598" i="14" s="1"/>
  <c r="AH1599" i="14" s="1"/>
  <c r="AH1600" i="14" s="1"/>
  <c r="AH1601" i="14" s="1"/>
  <c r="AH1602" i="14" s="1"/>
  <c r="AH1603" i="14" s="1"/>
  <c r="AH1604" i="14" s="1"/>
  <c r="AH1605" i="14" s="1"/>
  <c r="AH1606" i="14" s="1"/>
  <c r="AH1607" i="14" s="1"/>
  <c r="AH1608" i="14" s="1"/>
  <c r="AH1609" i="14" s="1"/>
  <c r="AH1610" i="14" s="1"/>
  <c r="AH1611" i="14" s="1"/>
  <c r="AH1612" i="14" s="1"/>
  <c r="AH1613" i="14" s="1"/>
  <c r="AH1614" i="14" s="1"/>
  <c r="AH1615" i="14" s="1"/>
  <c r="AH1616" i="14" s="1"/>
  <c r="AH1617" i="14" s="1"/>
  <c r="AH1618" i="14" s="1"/>
  <c r="AH1619" i="14" s="1"/>
  <c r="AH1620" i="14" s="1"/>
  <c r="AH1621" i="14" s="1"/>
  <c r="AH1622" i="14" s="1"/>
  <c r="AH1623" i="14" s="1"/>
  <c r="AH1624" i="14" s="1"/>
  <c r="AH1625" i="14" s="1"/>
  <c r="AH1626" i="14" s="1"/>
  <c r="AH1627" i="14" s="1"/>
  <c r="AH1628" i="14" s="1"/>
  <c r="AH1629" i="14" s="1"/>
  <c r="AH1630" i="14" s="1"/>
  <c r="AH1631" i="14" s="1"/>
  <c r="AH1632" i="14" s="1"/>
  <c r="AH1633" i="14" s="1"/>
  <c r="AH1634" i="14" s="1"/>
  <c r="AH1635" i="14" s="1"/>
  <c r="AH1636" i="14" s="1"/>
  <c r="AH1637" i="14" s="1"/>
  <c r="AH1638" i="14" s="1"/>
  <c r="AH1639" i="14" s="1"/>
  <c r="AH1640" i="14" s="1"/>
  <c r="AH1641" i="14" s="1"/>
  <c r="AH1642" i="14" s="1"/>
  <c r="AH1643" i="14" s="1"/>
  <c r="AH1644" i="14" s="1"/>
  <c r="AH1645" i="14" s="1"/>
  <c r="AH1646" i="14" s="1"/>
  <c r="AH1647" i="14" s="1"/>
  <c r="AH1648" i="14" s="1"/>
  <c r="AH1649" i="14" s="1"/>
  <c r="AH1650" i="14" s="1"/>
  <c r="AH1651" i="14" s="1"/>
  <c r="AH1652" i="14" s="1"/>
  <c r="AH1653" i="14" s="1"/>
  <c r="AH1654" i="14" s="1"/>
  <c r="AH1655" i="14" s="1"/>
  <c r="AH1656" i="14" s="1"/>
  <c r="AH1657" i="14" s="1"/>
  <c r="AH1658" i="14" s="1"/>
  <c r="AH1659" i="14" s="1"/>
  <c r="AH1660" i="14" s="1"/>
  <c r="AH1661" i="14" s="1"/>
  <c r="AH1662" i="14" s="1"/>
  <c r="AH1663" i="14" s="1"/>
  <c r="AH1664" i="14" s="1"/>
  <c r="AH1665" i="14" s="1"/>
  <c r="AH1666" i="14" s="1"/>
  <c r="AH1667" i="14" s="1"/>
  <c r="AH1668" i="14" s="1"/>
  <c r="AH1669" i="14" s="1"/>
  <c r="AH1670" i="14" s="1"/>
  <c r="AH1671" i="14" s="1"/>
  <c r="AH1672" i="14" s="1"/>
  <c r="AH1673" i="14" s="1"/>
  <c r="AH1674" i="14" s="1"/>
  <c r="AH1675" i="14" s="1"/>
  <c r="AH1676" i="14" s="1"/>
  <c r="AH1677" i="14" s="1"/>
  <c r="AH1678" i="14" s="1"/>
  <c r="AH1679" i="14" s="1"/>
  <c r="AH1680" i="14" s="1"/>
  <c r="AH1681" i="14" s="1"/>
  <c r="AH1682" i="14" s="1"/>
  <c r="AH1683" i="14" s="1"/>
  <c r="AH1684" i="14" s="1"/>
  <c r="AH1685" i="14" s="1"/>
  <c r="AH1686" i="14" s="1"/>
  <c r="AH1687" i="14" s="1"/>
  <c r="AH1688" i="14" s="1"/>
  <c r="AH1689" i="14" s="1"/>
  <c r="AH1690" i="14" s="1"/>
  <c r="AH1691" i="14" s="1"/>
  <c r="AH1692" i="14" s="1"/>
  <c r="AH1693" i="14" s="1"/>
  <c r="AH1694" i="14" s="1"/>
  <c r="AH1695" i="14" s="1"/>
  <c r="AH1696" i="14" s="1"/>
  <c r="AH1697" i="14" s="1"/>
  <c r="AH1698" i="14" s="1"/>
  <c r="AH1699" i="14" s="1"/>
  <c r="AH1700" i="14" s="1"/>
  <c r="AH1701" i="14" s="1"/>
  <c r="AH1702" i="14" s="1"/>
  <c r="AH1703" i="14" s="1"/>
  <c r="AH1704" i="14" s="1"/>
  <c r="AH1705" i="14" s="1"/>
  <c r="AH1706" i="14" s="1"/>
  <c r="AH1707" i="14" s="1"/>
  <c r="AH1708" i="14" s="1"/>
  <c r="AH1709" i="14" s="1"/>
  <c r="AH1710" i="14" s="1"/>
  <c r="AH1711" i="14" s="1"/>
  <c r="AH1712" i="14" s="1"/>
  <c r="AH1713" i="14" s="1"/>
  <c r="AH1714" i="14" s="1"/>
  <c r="AH1715" i="14" s="1"/>
  <c r="AH1716" i="14" s="1"/>
  <c r="AH1717" i="14" s="1"/>
  <c r="AH1718" i="14" s="1"/>
  <c r="AH1719" i="14" s="1"/>
  <c r="AH1720" i="14" s="1"/>
  <c r="AH1721" i="14" s="1"/>
  <c r="AH1722" i="14" s="1"/>
  <c r="AH1723" i="14" s="1"/>
  <c r="AH1724" i="14" s="1"/>
  <c r="AH1725" i="14" s="1"/>
  <c r="AH1726" i="14" s="1"/>
  <c r="AH1727" i="14" s="1"/>
  <c r="AH1728" i="14" s="1"/>
  <c r="AH1729" i="14" s="1"/>
  <c r="AH1730" i="14" s="1"/>
  <c r="AH1731" i="14" s="1"/>
  <c r="AH1732" i="14" s="1"/>
  <c r="AH1733" i="14" s="1"/>
  <c r="AF4" i="14"/>
  <c r="AF5" i="14"/>
  <c r="AF6" i="14" s="1"/>
  <c r="AF7" i="14" s="1"/>
  <c r="AF8" i="14" s="1"/>
  <c r="EA133" i="9"/>
  <c r="F19" i="17"/>
  <c r="E280" i="11"/>
  <c r="C283" i="11"/>
  <c r="C224" i="11"/>
  <c r="E225" i="11" s="1"/>
  <c r="C225" i="11"/>
  <c r="C223" i="11" s="1"/>
  <c r="G225" i="11" s="1"/>
  <c r="G224" i="11" s="1"/>
  <c r="G223" i="11" s="1"/>
  <c r="K216" i="11"/>
  <c r="K215" i="11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AF9" i="14" l="1"/>
  <c r="G31" i="25"/>
  <c r="G33" i="25" s="1"/>
  <c r="E223" i="11"/>
  <c r="E224" i="11"/>
  <c r="H31" i="25"/>
  <c r="BP35" i="24"/>
  <c r="BP48" i="24"/>
  <c r="AF10" i="14" l="1"/>
  <c r="E49" i="3"/>
  <c r="F49" i="3"/>
  <c r="AF11" i="14" l="1"/>
  <c r="H139" i="22"/>
  <c r="AF12" i="14" l="1"/>
  <c r="AS68" i="22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AF13" i="14" l="1"/>
  <c r="CV199" i="1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AF14" i="14" l="1"/>
  <c r="H6" i="25"/>
  <c r="C25" i="25"/>
  <c r="F117" i="11"/>
  <c r="CM281" i="9" s="1"/>
  <c r="F115" i="11"/>
  <c r="CM279" i="9" s="1"/>
  <c r="F116" i="11"/>
  <c r="CM280" i="9" s="1"/>
  <c r="AF15" i="14" l="1"/>
  <c r="F118" i="1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AX44" i="8" s="1"/>
  <c r="E18" i="3"/>
  <c r="CD43" i="8"/>
  <c r="CD42" i="8"/>
  <c r="CC43" i="8"/>
  <c r="CC42" i="8"/>
  <c r="CF43" i="8"/>
  <c r="CE43" i="8"/>
  <c r="CF42" i="8"/>
  <c r="CE42" i="8"/>
  <c r="AF16" i="14" l="1"/>
  <c r="I43" i="25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H37" i="8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N14" i="8"/>
  <c r="AI51" i="9"/>
  <c r="N13" i="8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AF17" i="14" l="1"/>
  <c r="AG218" i="9"/>
  <c r="E33" i="25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M5" i="3"/>
  <c r="AF18" i="14" l="1"/>
  <c r="F18" i="25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AF19" i="14" l="1"/>
  <c r="I32" i="25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X43" i="8"/>
  <c r="AF20" i="14" l="1"/>
  <c r="Y64" i="24"/>
  <c r="Y74" i="24" s="1"/>
  <c r="AZ218" i="9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R13" i="8"/>
  <c r="O13" i="8" s="1"/>
  <c r="M13" i="8" s="1"/>
  <c r="R12" i="8"/>
  <c r="O12" i="8" s="1"/>
  <c r="AF21" i="14" l="1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AF22" i="14" l="1"/>
  <c r="N33" i="8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AF23" i="14" l="1"/>
  <c r="I12" i="1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AF24" i="14" l="1"/>
  <c r="J42" i="1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AF25" i="14" l="1"/>
  <c r="FB130" i="9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26" i="14" l="1"/>
  <c r="AF38" i="8"/>
  <c r="S44" i="8" s="1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F27" i="14" l="1"/>
  <c r="AW46" i="9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F28" i="14" l="1"/>
  <c r="BN116" i="15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F29" i="14" l="1"/>
  <c r="C32" i="25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F30" i="14" l="1"/>
  <c r="Z55" i="9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F31" i="14" l="1"/>
  <c r="N132" i="9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AF32" i="14" l="1"/>
  <c r="I5" i="25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AF33" i="14" l="1"/>
  <c r="G86" i="24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AF34" i="14" l="1"/>
  <c r="H52" i="25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AF35" i="14" l="1"/>
  <c r="G198" i="1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AF36" i="14" l="1"/>
  <c r="I201" i="11"/>
  <c r="F199" i="11"/>
  <c r="F200" i="11" s="1"/>
  <c r="AE133" i="22"/>
  <c r="BM111" i="22"/>
  <c r="Y64" i="9"/>
  <c r="AG69" i="9"/>
  <c r="Z64" i="9" s="1"/>
  <c r="AA63" i="9"/>
  <c r="K77" i="9"/>
  <c r="AF37" i="14" l="1"/>
  <c r="K201" i="1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F38" i="14" l="1"/>
  <c r="AT55" i="24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AF39" i="14" l="1"/>
  <c r="K202" i="1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AF40" i="14" l="1"/>
  <c r="G8" i="17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F41" i="14" l="1"/>
  <c r="AM124" i="15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F42" i="14" l="1"/>
  <c r="AY95" i="20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F43" i="14" l="1"/>
  <c r="BI95" i="20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AF44" i="14" l="1"/>
  <c r="BF46" i="15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AF45" i="14" l="1"/>
  <c r="Z74" i="24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AF46" i="14" l="1"/>
  <c r="Z140" i="15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F47" i="14" l="1"/>
  <c r="AC74" i="24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F48" i="14" l="1"/>
  <c r="AU21" i="24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AF49" i="14" l="1"/>
  <c r="BM95" i="22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AF50" i="14" l="1"/>
  <c r="BN95" i="22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AF51" i="14" l="1"/>
  <c r="O140" i="15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AF52" i="14" l="1"/>
  <c r="R74" i="24"/>
  <c r="AP59" i="24"/>
  <c r="J146" i="24" s="1"/>
  <c r="BN111" i="22"/>
  <c r="R143" i="20"/>
  <c r="BN101" i="15"/>
  <c r="AF53" i="14" l="1"/>
  <c r="AE139" i="22"/>
  <c r="AF54" i="14" l="1"/>
  <c r="AZ100" i="22"/>
  <c r="AZ59" i="22" s="1"/>
  <c r="T128" i="22"/>
  <c r="AM128" i="22" s="1"/>
  <c r="AF55" i="14" l="1"/>
  <c r="AW96" i="22"/>
  <c r="AW55" i="22" s="1"/>
  <c r="P125" i="22"/>
  <c r="AF56" i="14" l="1"/>
  <c r="AZ120" i="22"/>
  <c r="BG100" i="22"/>
  <c r="G187" i="22" s="1"/>
  <c r="T139" i="22"/>
  <c r="G24" i="14"/>
  <c r="G22" i="12"/>
  <c r="AF57" i="14" l="1"/>
  <c r="P139" i="22"/>
  <c r="BG96" i="22"/>
  <c r="G183" i="22" s="1"/>
  <c r="AW120" i="22"/>
  <c r="AF58" i="14" l="1"/>
  <c r="C59" i="11"/>
  <c r="BT156" i="9"/>
  <c r="BR157" i="9"/>
  <c r="CA152" i="9"/>
  <c r="AF59" i="14" l="1"/>
  <c r="G162" i="22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AF60" i="14" l="1"/>
  <c r="BA46" i="15"/>
  <c r="N59" i="11"/>
  <c r="N60" i="11"/>
  <c r="BG87" i="22"/>
  <c r="G174" i="22" s="1"/>
  <c r="BA120" i="22"/>
  <c r="CB156" i="9"/>
  <c r="CB152" i="9" s="1"/>
  <c r="CB157" i="9"/>
  <c r="D51" i="11"/>
  <c r="AF61" i="14" l="1"/>
  <c r="L59" i="11"/>
  <c r="E60" i="11"/>
  <c r="BD91" i="20"/>
  <c r="BD46" i="20" s="1"/>
  <c r="AF62" i="14" l="1"/>
  <c r="CL143" i="9"/>
  <c r="C60" i="11"/>
  <c r="E61" i="11"/>
  <c r="E62" i="11" s="1"/>
  <c r="L60" i="11"/>
  <c r="AF63" i="14" l="1"/>
  <c r="F59" i="11"/>
  <c r="F60" i="11"/>
  <c r="BQ144" i="9"/>
  <c r="C61" i="11"/>
  <c r="N61" i="11"/>
  <c r="F61" i="11"/>
  <c r="CO143" i="9"/>
  <c r="CF140" i="9" s="1"/>
  <c r="CL142" i="9"/>
  <c r="H51" i="11"/>
  <c r="AF64" i="14" l="1"/>
  <c r="CO142" i="9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AF65" i="14" l="1"/>
  <c r="BQ146" i="9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AF66" i="14" l="1"/>
  <c r="O62" i="11"/>
  <c r="BW144" i="9"/>
  <c r="BA45" i="15"/>
  <c r="BA120" i="15"/>
  <c r="CL145" i="9"/>
  <c r="BN105" i="15"/>
  <c r="AF67" i="14" l="1"/>
  <c r="CP145" i="9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F68" i="14" l="1"/>
  <c r="AA132" i="22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F69" i="14" l="1"/>
  <c r="AD74" i="24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AF70" i="14" l="1"/>
  <c r="E60" i="14"/>
  <c r="H18" i="14"/>
  <c r="H16" i="12"/>
  <c r="BD45" i="20"/>
  <c r="BD124" i="20"/>
  <c r="AF71" i="14" l="1"/>
  <c r="BN95" i="15"/>
  <c r="BN102" i="15"/>
  <c r="AF72" i="14" l="1"/>
  <c r="BN108" i="15"/>
  <c r="AF73" i="14" l="1"/>
  <c r="N78" i="9"/>
  <c r="Q76" i="9"/>
  <c r="R76" i="9" s="1"/>
  <c r="S76" i="9" s="1"/>
  <c r="T76" i="9" s="1"/>
  <c r="U76" i="9" s="1"/>
  <c r="BN100" i="15"/>
  <c r="AF74" i="14" l="1"/>
  <c r="V76" i="9"/>
  <c r="Q77" i="9"/>
  <c r="R77" i="9" s="1"/>
  <c r="S77" i="9" s="1"/>
  <c r="T77" i="9" s="1"/>
  <c r="U77" i="9" s="1"/>
  <c r="U78" i="9" s="1"/>
  <c r="AF75" i="14" l="1"/>
  <c r="V77" i="9"/>
  <c r="V78" i="9" s="1"/>
  <c r="V72" i="9" s="1"/>
  <c r="AF76" i="14" l="1"/>
  <c r="AU90" i="20"/>
  <c r="AU45" i="20" s="1"/>
  <c r="AF77" i="14" l="1"/>
  <c r="BN113" i="15"/>
  <c r="BN113" i="22"/>
  <c r="AF78" i="14" l="1"/>
  <c r="BQ117" i="20"/>
  <c r="AF79" i="14" l="1"/>
  <c r="F162" i="22"/>
  <c r="AF80" i="14" l="1"/>
  <c r="BG86" i="22"/>
  <c r="G173" i="22" s="1"/>
  <c r="AF81" i="14" l="1"/>
  <c r="CO145" i="9"/>
  <c r="CG142" i="9"/>
  <c r="AF82" i="14" l="1"/>
  <c r="CR143" i="9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AF83" i="14" l="1"/>
  <c r="CW145" i="9"/>
  <c r="CW138" i="9"/>
  <c r="CR145" i="9"/>
  <c r="CV145" i="9"/>
  <c r="AF84" i="14" l="1"/>
  <c r="CD130" i="9"/>
  <c r="CG131" i="9"/>
  <c r="H15" i="12" s="1"/>
  <c r="AD136" i="20"/>
  <c r="AD143" i="20" s="1"/>
  <c r="CC130" i="9"/>
  <c r="O12" i="13" s="1"/>
  <c r="BP111" i="20"/>
  <c r="BQ111" i="20" s="1"/>
  <c r="AF85" i="14" l="1"/>
  <c r="H17" i="14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AF86" i="14" l="1"/>
  <c r="H92" i="11"/>
  <c r="AB140" i="15"/>
  <c r="BE108" i="15"/>
  <c r="DV131" i="9"/>
  <c r="D34" i="12" s="1"/>
  <c r="M90" i="11"/>
  <c r="N90" i="11" s="1"/>
  <c r="F92" i="11"/>
  <c r="F94" i="11" s="1"/>
  <c r="AF87" i="14" l="1"/>
  <c r="BG108" i="15"/>
  <c r="G196" i="15" s="1"/>
  <c r="BE120" i="15"/>
  <c r="BE67" i="15"/>
  <c r="K92" i="11"/>
  <c r="AF88" i="14" l="1"/>
  <c r="M92" i="11"/>
  <c r="CQ210" i="9" s="1"/>
  <c r="AF89" i="14" l="1"/>
  <c r="I93" i="11"/>
  <c r="K93" i="11"/>
  <c r="H93" i="11"/>
  <c r="L93" i="11"/>
  <c r="J93" i="11"/>
  <c r="CO210" i="9"/>
  <c r="AF90" i="14" l="1"/>
  <c r="EE133" i="9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AF91" i="14" l="1"/>
  <c r="N92" i="1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AF92" i="14" l="1"/>
  <c r="ED133" i="9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AF93" i="14" l="1"/>
  <c r="DX133" i="9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AF94" i="14" l="1"/>
  <c r="BI43" i="24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F95" i="14" l="1"/>
  <c r="AE74" i="24"/>
  <c r="BB73" i="22"/>
  <c r="BB73" i="15"/>
  <c r="AF96" i="14" l="1"/>
  <c r="BE73" i="20"/>
  <c r="AF97" i="14" l="1"/>
  <c r="G74" i="11"/>
  <c r="G73" i="11" s="1"/>
  <c r="AF98" i="14" l="1"/>
  <c r="G77" i="11"/>
  <c r="G78" i="11"/>
  <c r="G76" i="11"/>
  <c r="G75" i="11"/>
  <c r="P112" i="11" s="1"/>
  <c r="AF99" i="14" l="1"/>
  <c r="Z79" i="1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100" i="14" l="1"/>
  <c r="AF78" i="1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F101" i="14" l="1"/>
  <c r="AH79" i="1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AF102" i="14" l="1"/>
  <c r="CM242" i="9"/>
  <c r="CZ247" i="9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F103" i="14" l="1"/>
  <c r="AC133" i="22"/>
  <c r="AF68" i="24" s="1"/>
  <c r="AF74" i="24" s="1"/>
  <c r="BG109" i="15"/>
  <c r="G197" i="15" s="1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AF104" i="14" l="1"/>
  <c r="BN111" i="15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AF105" i="14" l="1"/>
  <c r="CV243" i="9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F106" i="14" l="1"/>
  <c r="AY210" i="9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AF107" i="14" l="1"/>
  <c r="BG104" i="15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AF108" i="14" l="1"/>
  <c r="BD55" i="24"/>
  <c r="BN210" i="9"/>
  <c r="C59" i="14" s="1"/>
  <c r="AU210" i="9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F109" i="14" l="1"/>
  <c r="AK70" i="24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E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AF110" i="14" l="1"/>
  <c r="F26" i="14"/>
  <c r="F24" i="12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AF111" i="14" l="1"/>
  <c r="EQ245" i="9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AF112" i="14" l="1"/>
  <c r="AI68" i="24"/>
  <c r="BN112" i="15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AF113" i="14" l="1"/>
  <c r="FB145" i="9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C38" i="12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AF114" i="14" l="1"/>
  <c r="EB144" i="9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AF115" i="14" l="1"/>
  <c r="H163" i="15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AF116" i="14" l="1"/>
  <c r="K174" i="1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AF117" i="14" l="1"/>
  <c r="U242" i="9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AF118" i="14" l="1"/>
  <c r="N194" i="1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F119" i="14" l="1"/>
  <c r="AV55" i="24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AF120" i="14" l="1"/>
  <c r="EH145" i="9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AF121" i="14" l="1"/>
  <c r="T60" i="24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AF122" i="14" l="1"/>
  <c r="BG86" i="15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AF123" i="14" l="1"/>
  <c r="BN117" i="15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14" i="24"/>
  <c r="BH55" i="24"/>
  <c r="F145" i="24" s="1" a="1"/>
  <c r="BI21" i="24"/>
  <c r="J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AF124" i="14" l="1"/>
  <c r="N121" i="24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04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AF125" i="14" l="1"/>
  <c r="N138" i="24"/>
  <c r="K206" i="22"/>
  <c r="K207" i="15"/>
  <c r="BP121" i="20"/>
  <c r="BQ121" i="20" s="1"/>
  <c r="L174" i="20" s="1" a="1"/>
  <c r="AN141" i="20"/>
  <c r="EO131" i="9"/>
  <c r="M22" i="13" s="1"/>
  <c r="EP131" i="9"/>
  <c r="T5" i="13" s="1"/>
  <c r="AF126" i="14" l="1"/>
  <c r="L174" i="20"/>
  <c r="AN143" i="20"/>
  <c r="H174" i="20" s="1" a="1"/>
  <c r="N205" i="20" s="1"/>
  <c r="AP141" i="20"/>
  <c r="H230" i="20" s="1"/>
  <c r="J230" i="20" s="1"/>
  <c r="E32" i="12"/>
  <c r="D65" i="14"/>
  <c r="E34" i="14"/>
  <c r="AF127" i="14" l="1"/>
  <c r="N209" i="20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  <c r="AF128" i="14" l="1"/>
  <c r="AF129" i="14" l="1"/>
  <c r="AF130" i="14" l="1"/>
  <c r="AF131" i="14" l="1"/>
  <c r="AF132" i="14" l="1"/>
  <c r="AF133" i="14" l="1"/>
  <c r="AF134" i="14" l="1"/>
  <c r="AF135" i="14" l="1"/>
  <c r="AF136" i="14" l="1"/>
  <c r="AF137" i="14" l="1"/>
  <c r="AF138" i="14" l="1"/>
  <c r="AF139" i="14" l="1"/>
  <c r="AF140" i="14" l="1"/>
  <c r="AF141" i="14" l="1"/>
  <c r="AF142" i="14" l="1"/>
  <c r="AF143" i="14" l="1"/>
  <c r="AF144" i="14" l="1"/>
  <c r="AF145" i="14" l="1"/>
  <c r="AF146" i="14" l="1"/>
  <c r="AF147" i="14" l="1"/>
  <c r="AF148" i="14" l="1"/>
  <c r="AF149" i="14" l="1"/>
  <c r="AF150" i="14" l="1"/>
  <c r="AF151" i="14" l="1"/>
  <c r="AF152" i="14" l="1"/>
  <c r="AF153" i="14" l="1"/>
  <c r="AF154" i="14" l="1"/>
  <c r="AF155" i="14" l="1"/>
  <c r="AF156" i="14" l="1"/>
  <c r="AF157" i="14" l="1"/>
  <c r="AF158" i="14" l="1"/>
  <c r="AF159" i="14" l="1"/>
  <c r="AF160" i="14" l="1"/>
  <c r="AF161" i="14" l="1"/>
  <c r="AF162" i="14" l="1"/>
  <c r="AF163" i="14" l="1"/>
  <c r="AF164" i="14" l="1"/>
  <c r="AF165" i="14" l="1"/>
  <c r="AF166" i="14" l="1"/>
  <c r="AF167" i="14" l="1"/>
  <c r="AF168" i="14" l="1"/>
  <c r="AF169" i="14" l="1"/>
  <c r="AF170" i="14" l="1"/>
  <c r="AF171" i="14" l="1"/>
  <c r="AF172" i="14" l="1"/>
  <c r="AF173" i="14" l="1"/>
  <c r="AF174" i="14" l="1"/>
  <c r="AF175" i="14" l="1"/>
  <c r="AF176" i="14" l="1"/>
  <c r="AF177" i="14" l="1"/>
  <c r="AF178" i="14" l="1"/>
  <c r="AF179" i="14" l="1"/>
  <c r="AF180" i="14" l="1"/>
  <c r="AF181" i="14" l="1"/>
  <c r="AF182" i="14" l="1"/>
  <c r="AF183" i="14" l="1"/>
  <c r="AF184" i="14" l="1"/>
  <c r="AF185" i="14" l="1"/>
  <c r="AF186" i="14" l="1"/>
  <c r="AF187" i="14" l="1"/>
  <c r="AF188" i="14" l="1"/>
  <c r="AF189" i="14" l="1"/>
  <c r="AF190" i="14" l="1"/>
  <c r="AF191" i="14" l="1"/>
  <c r="AF192" i="14" l="1"/>
  <c r="AF193" i="14" l="1"/>
  <c r="AF194" i="14" l="1"/>
  <c r="AF195" i="14" l="1"/>
  <c r="AF196" i="14" l="1"/>
  <c r="AF197" i="14" l="1"/>
  <c r="AF198" i="14" l="1"/>
  <c r="AF199" i="14" l="1"/>
  <c r="AF200" i="14" l="1"/>
  <c r="AF201" i="14" l="1"/>
  <c r="AF202" i="14" l="1"/>
  <c r="AF203" i="14" l="1"/>
  <c r="AF204" i="14" l="1"/>
  <c r="AF205" i="14" l="1"/>
  <c r="AF206" i="14" l="1"/>
  <c r="AF207" i="14" l="1"/>
  <c r="AF208" i="14" l="1"/>
  <c r="AF209" i="14" l="1"/>
  <c r="AF210" i="14" l="1"/>
  <c r="AF211" i="14" l="1"/>
  <c r="AF212" i="14" l="1"/>
  <c r="AF213" i="14" l="1"/>
  <c r="AF214" i="14" l="1"/>
  <c r="AF215" i="14" l="1"/>
  <c r="AF216" i="14" l="1"/>
  <c r="AF217" i="14" l="1"/>
  <c r="AF218" i="14" l="1"/>
  <c r="AF219" i="14" l="1"/>
  <c r="AF220" i="14" l="1"/>
  <c r="AF221" i="14" l="1"/>
  <c r="AF222" i="14" l="1"/>
  <c r="AF223" i="14" l="1"/>
  <c r="AF224" i="14" l="1"/>
  <c r="AF225" i="14" l="1"/>
  <c r="AF226" i="14" l="1"/>
  <c r="AF227" i="14" l="1"/>
  <c r="AF228" i="14" l="1"/>
  <c r="AF229" i="14" l="1"/>
  <c r="AF230" i="14" l="1"/>
  <c r="AF231" i="14" l="1"/>
  <c r="AF232" i="14" l="1"/>
  <c r="AF233" i="14" l="1"/>
  <c r="AF234" i="14" l="1"/>
  <c r="AF235" i="14" l="1"/>
  <c r="AF236" i="14" l="1"/>
  <c r="AF237" i="14" l="1"/>
  <c r="AF238" i="14" l="1"/>
  <c r="AF239" i="14" l="1"/>
  <c r="AF240" i="14" l="1"/>
  <c r="AF241" i="14" l="1"/>
  <c r="AF242" i="14" l="1"/>
  <c r="AF243" i="14" l="1"/>
  <c r="AF244" i="14" l="1"/>
  <c r="AF245" i="14" l="1"/>
  <c r="AF246" i="14" l="1"/>
  <c r="AF247" i="14" l="1"/>
  <c r="AF248" i="14" l="1"/>
  <c r="AF249" i="14" l="1"/>
  <c r="AF250" i="14" l="1"/>
  <c r="AF251" i="14" l="1"/>
  <c r="AF252" i="14" l="1"/>
  <c r="AF253" i="14" l="1"/>
  <c r="AF254" i="14" l="1"/>
  <c r="AF255" i="14" l="1"/>
  <c r="AF256" i="14" l="1"/>
  <c r="AF257" i="14" l="1"/>
  <c r="AF258" i="14" l="1"/>
  <c r="AF259" i="14" l="1"/>
  <c r="AF260" i="14" l="1"/>
  <c r="AF261" i="14" l="1"/>
  <c r="AF262" i="14" l="1"/>
  <c r="AF263" i="14" l="1"/>
  <c r="AF264" i="14" l="1"/>
  <c r="AF265" i="14" l="1"/>
  <c r="AF266" i="14" l="1"/>
  <c r="AF267" i="14" l="1"/>
  <c r="AF268" i="14" l="1"/>
  <c r="AF269" i="14" l="1"/>
  <c r="AF270" i="14" l="1"/>
  <c r="AF271" i="14" l="1"/>
  <c r="AF272" i="14" l="1"/>
  <c r="AF273" i="14" l="1"/>
  <c r="AF274" i="14" l="1"/>
  <c r="AF275" i="14" l="1"/>
  <c r="AF276" i="14" l="1"/>
  <c r="AF277" i="14" l="1"/>
  <c r="AF278" i="14" l="1"/>
  <c r="AF279" i="14" l="1"/>
  <c r="AF280" i="14" l="1"/>
  <c r="AF281" i="14" l="1"/>
  <c r="AF282" i="14" l="1"/>
  <c r="AF283" i="14" l="1"/>
  <c r="AF284" i="14" l="1"/>
  <c r="AF285" i="14" l="1"/>
  <c r="AF286" i="14" l="1"/>
  <c r="AF287" i="14" l="1"/>
  <c r="AF288" i="14" l="1"/>
  <c r="AF289" i="14" l="1"/>
  <c r="AF290" i="14" l="1"/>
  <c r="AF291" i="14" l="1"/>
  <c r="AF292" i="14" l="1"/>
  <c r="AF293" i="14" l="1"/>
  <c r="AF294" i="14" l="1"/>
  <c r="AF295" i="14" l="1"/>
  <c r="AF296" i="14" l="1"/>
  <c r="AF297" i="14" l="1"/>
  <c r="AF298" i="14" l="1"/>
  <c r="AF299" i="14" l="1"/>
  <c r="AF300" i="14" l="1"/>
  <c r="AF301" i="14" l="1"/>
  <c r="AF302" i="14" l="1"/>
  <c r="AF303" i="14" l="1"/>
  <c r="AF304" i="14" l="1"/>
  <c r="AF305" i="14" l="1"/>
  <c r="AF306" i="14" l="1"/>
  <c r="AF307" i="14" l="1"/>
  <c r="AF308" i="14" l="1"/>
  <c r="AF309" i="14" l="1"/>
  <c r="AF310" i="14" l="1"/>
  <c r="AF311" i="14" l="1"/>
  <c r="AF312" i="14" l="1"/>
  <c r="AF313" i="14" l="1"/>
  <c r="AF314" i="14" l="1"/>
  <c r="AF315" i="14" l="1"/>
  <c r="AF316" i="14" l="1"/>
  <c r="AF317" i="14" l="1"/>
  <c r="AF318" i="14" l="1"/>
  <c r="AF319" i="14" l="1"/>
  <c r="AF320" i="14" l="1"/>
  <c r="AF321" i="14" l="1"/>
  <c r="AF322" i="14" l="1"/>
  <c r="AF323" i="14" l="1"/>
  <c r="AF324" i="14" l="1"/>
  <c r="AF325" i="14" l="1"/>
  <c r="AF326" i="14" l="1"/>
  <c r="AF327" i="14" l="1"/>
  <c r="AF328" i="14" l="1"/>
  <c r="AF329" i="14" l="1"/>
  <c r="AF330" i="14" l="1"/>
  <c r="AF331" i="14" l="1"/>
  <c r="AF332" i="14" l="1"/>
  <c r="AF333" i="14" l="1"/>
  <c r="AF334" i="14" l="1"/>
  <c r="AF335" i="14" l="1"/>
  <c r="AF336" i="14" l="1"/>
  <c r="AF337" i="14" l="1"/>
  <c r="AF338" i="14" l="1"/>
  <c r="AF339" i="14" l="1"/>
  <c r="AF340" i="14" l="1"/>
  <c r="AF341" i="14" l="1"/>
  <c r="AF342" i="14" l="1"/>
  <c r="AF343" i="14" l="1"/>
  <c r="AF344" i="14" l="1"/>
  <c r="AF345" i="14" l="1"/>
  <c r="AF346" i="14" l="1"/>
  <c r="AF347" i="14" l="1"/>
  <c r="AF348" i="14" l="1"/>
  <c r="AF349" i="14" l="1"/>
  <c r="AF350" i="14" l="1"/>
  <c r="AF351" i="14" l="1"/>
  <c r="AF352" i="14" l="1"/>
  <c r="AF353" i="14" l="1"/>
  <c r="AF354" i="14" l="1"/>
  <c r="AF355" i="14" l="1"/>
  <c r="AF356" i="14" l="1"/>
  <c r="AF357" i="14" l="1"/>
  <c r="AF358" i="14" l="1"/>
  <c r="AF359" i="14" l="1"/>
  <c r="AF360" i="14" l="1"/>
  <c r="AF361" i="14" l="1"/>
  <c r="AF362" i="14" l="1"/>
  <c r="AF363" i="14" l="1"/>
  <c r="AF364" i="14" l="1"/>
  <c r="AF365" i="14" l="1"/>
  <c r="AF366" i="14" l="1"/>
  <c r="AF367" i="14" l="1"/>
  <c r="AF368" i="14" l="1"/>
  <c r="AF369" i="14" l="1"/>
  <c r="AF370" i="14" l="1"/>
  <c r="AF371" i="14" l="1"/>
  <c r="AF372" i="14" l="1"/>
  <c r="AF373" i="14" l="1"/>
  <c r="AF374" i="14" l="1"/>
  <c r="AF375" i="14" l="1"/>
  <c r="AF376" i="14" l="1"/>
  <c r="AF377" i="14" l="1"/>
  <c r="AF378" i="14" l="1"/>
  <c r="AF379" i="14" l="1"/>
  <c r="AF380" i="14" l="1"/>
  <c r="AF381" i="14" l="1"/>
  <c r="AF382" i="14" l="1"/>
  <c r="AF383" i="14" l="1"/>
  <c r="AF384" i="14" l="1"/>
  <c r="AF385" i="14" l="1"/>
  <c r="AF386" i="14" l="1"/>
  <c r="AF387" i="14" l="1"/>
  <c r="AF388" i="14" l="1"/>
  <c r="AF389" i="14" l="1"/>
  <c r="AF390" i="14" l="1"/>
  <c r="AF391" i="14" l="1"/>
  <c r="AF392" i="14" l="1"/>
  <c r="AF393" i="14" l="1"/>
  <c r="AF394" i="14" l="1"/>
  <c r="AF395" i="14" l="1"/>
  <c r="AF396" i="14" l="1"/>
  <c r="AF397" i="14" l="1"/>
  <c r="AF398" i="14" l="1"/>
  <c r="AF399" i="14" l="1"/>
  <c r="AF400" i="14" l="1"/>
  <c r="AF401" i="14" l="1"/>
  <c r="AF402" i="14" l="1"/>
  <c r="AF403" i="14" l="1"/>
  <c r="AF404" i="14" l="1"/>
  <c r="AF405" i="14" l="1"/>
  <c r="AF406" i="14" l="1"/>
  <c r="AF407" i="14" l="1"/>
  <c r="AF408" i="14" l="1"/>
  <c r="AF409" i="14" l="1"/>
  <c r="AF410" i="14" l="1"/>
  <c r="AF411" i="14" l="1"/>
  <c r="AF412" i="14" l="1"/>
  <c r="AF413" i="14" l="1"/>
  <c r="AF414" i="14" l="1"/>
  <c r="AF415" i="14" l="1"/>
  <c r="AF416" i="14" l="1"/>
  <c r="AF417" i="14" l="1"/>
  <c r="AF418" i="14" l="1"/>
  <c r="AF419" i="14" l="1"/>
  <c r="AF420" i="14" l="1"/>
  <c r="AF421" i="14" l="1"/>
  <c r="AF422" i="14" l="1"/>
  <c r="AF423" i="14" l="1"/>
  <c r="AF424" i="14" l="1"/>
  <c r="AF425" i="14" l="1"/>
  <c r="AF426" i="14" l="1"/>
  <c r="AF427" i="14" l="1"/>
  <c r="AF428" i="14" l="1"/>
  <c r="AF429" i="14" l="1"/>
  <c r="AF430" i="14" l="1"/>
  <c r="AF431" i="14" l="1"/>
  <c r="AF432" i="14" l="1"/>
  <c r="AF433" i="14" l="1"/>
  <c r="AF434" i="14" l="1"/>
  <c r="AF435" i="14" l="1"/>
  <c r="AF436" i="14" l="1"/>
  <c r="AF437" i="14" l="1"/>
  <c r="AF438" i="14" l="1"/>
  <c r="AF439" i="14" l="1"/>
  <c r="AF440" i="14" l="1"/>
  <c r="AF441" i="14" l="1"/>
  <c r="AF442" i="14" l="1"/>
  <c r="AF443" i="14" l="1"/>
  <c r="AF444" i="14" l="1"/>
  <c r="AF445" i="14" l="1"/>
  <c r="AF446" i="14" l="1"/>
  <c r="AF447" i="14" l="1"/>
  <c r="AF448" i="14" l="1"/>
  <c r="AF449" i="14" l="1"/>
  <c r="AF450" i="14" l="1"/>
  <c r="AF451" i="14" l="1"/>
  <c r="AF452" i="14" l="1"/>
  <c r="AF453" i="14" l="1"/>
  <c r="AF454" i="14" l="1"/>
  <c r="AF455" i="14" l="1"/>
  <c r="AF456" i="14" l="1"/>
  <c r="AF457" i="14" l="1"/>
  <c r="AF458" i="14" l="1"/>
  <c r="AF459" i="14" l="1"/>
  <c r="AF460" i="14" l="1"/>
  <c r="AF461" i="14" l="1"/>
  <c r="AF462" i="14" l="1"/>
  <c r="AF463" i="14" l="1"/>
  <c r="AF464" i="14" l="1"/>
  <c r="AF465" i="14" l="1"/>
  <c r="AF466" i="14" l="1"/>
  <c r="AF467" i="14" l="1"/>
  <c r="AF468" i="14" l="1"/>
  <c r="AF469" i="14" l="1"/>
  <c r="AF470" i="14" l="1"/>
  <c r="AF471" i="14" l="1"/>
  <c r="AF472" i="14" l="1"/>
  <c r="AF473" i="14" l="1"/>
  <c r="AF474" i="14" l="1"/>
  <c r="AF475" i="14" l="1"/>
  <c r="AF476" i="14" l="1"/>
  <c r="AF477" i="14" l="1"/>
  <c r="AF478" i="14" l="1"/>
  <c r="AF479" i="14" l="1"/>
  <c r="AF480" i="14" l="1"/>
  <c r="AF481" i="14" l="1"/>
  <c r="AF482" i="14" l="1"/>
  <c r="AF483" i="14" l="1"/>
  <c r="AF484" i="14" l="1"/>
  <c r="AF485" i="14" l="1"/>
  <c r="AF486" i="14" l="1"/>
  <c r="AF487" i="14" l="1"/>
  <c r="AF488" i="14" l="1"/>
  <c r="AF489" i="14" l="1"/>
  <c r="AF490" i="14" l="1"/>
  <c r="AF491" i="14" l="1"/>
  <c r="AF492" i="14" l="1"/>
  <c r="AF493" i="14" l="1"/>
  <c r="AF494" i="14" l="1"/>
  <c r="AF495" i="14" l="1"/>
  <c r="AF496" i="14" l="1"/>
  <c r="AF497" i="14" l="1"/>
  <c r="AF498" i="14" l="1"/>
  <c r="AF499" i="14" l="1"/>
  <c r="AF500" i="14" l="1"/>
  <c r="AF501" i="14" l="1"/>
  <c r="AF502" i="14" l="1"/>
  <c r="AF503" i="14" l="1"/>
  <c r="AF504" i="14" l="1"/>
  <c r="AF505" i="14" l="1"/>
  <c r="AF506" i="14" l="1"/>
  <c r="AF507" i="14" l="1"/>
  <c r="AF508" i="14" l="1"/>
  <c r="AF509" i="14" l="1"/>
  <c r="AF510" i="14" l="1"/>
  <c r="AF511" i="14" l="1"/>
  <c r="AF512" i="14" l="1"/>
  <c r="AF513" i="14" l="1"/>
  <c r="AF514" i="14" l="1"/>
  <c r="AF515" i="14" l="1"/>
  <c r="AF516" i="14" l="1"/>
  <c r="AF517" i="14" l="1"/>
  <c r="AF518" i="14" l="1"/>
  <c r="AF519" i="14" l="1"/>
  <c r="AF520" i="14" l="1"/>
  <c r="AF521" i="14" l="1"/>
  <c r="AF522" i="14" l="1"/>
  <c r="AF523" i="14" l="1"/>
  <c r="AF524" i="14" l="1"/>
  <c r="AF525" i="14" l="1"/>
  <c r="AF526" i="14" l="1"/>
  <c r="AF527" i="14" l="1"/>
  <c r="AF528" i="14" l="1"/>
  <c r="AF529" i="14" l="1"/>
  <c r="AF530" i="14" l="1"/>
  <c r="AF531" i="14" l="1"/>
  <c r="AF532" i="14" l="1"/>
  <c r="AF533" i="14" l="1"/>
  <c r="AF534" i="14" l="1"/>
  <c r="AF535" i="14" l="1"/>
  <c r="AF536" i="14" l="1"/>
  <c r="AF537" i="14" l="1"/>
  <c r="AF538" i="14" l="1"/>
  <c r="AF539" i="14" l="1"/>
  <c r="AF540" i="14" l="1"/>
  <c r="AF541" i="14" l="1"/>
  <c r="AF542" i="14" l="1"/>
  <c r="AF543" i="14" l="1"/>
  <c r="AF544" i="14" l="1"/>
  <c r="AF545" i="14" l="1"/>
  <c r="AF546" i="14" l="1"/>
  <c r="AF547" i="14" l="1"/>
  <c r="AF548" i="14" l="1"/>
  <c r="AF549" i="14" l="1"/>
  <c r="AF550" i="14" l="1"/>
  <c r="AF551" i="14" l="1"/>
  <c r="AF552" i="14" l="1"/>
  <c r="AF553" i="14" l="1"/>
  <c r="AF554" i="14" l="1"/>
  <c r="AF555" i="14" l="1"/>
  <c r="AF556" i="14" l="1"/>
  <c r="AF557" i="14" l="1"/>
  <c r="AF558" i="14" l="1"/>
  <c r="AF559" i="14" l="1"/>
  <c r="AF560" i="14" l="1"/>
  <c r="AF561" i="14" l="1"/>
  <c r="AF562" i="14" l="1"/>
  <c r="AF563" i="14" l="1"/>
  <c r="AF564" i="14" l="1"/>
  <c r="AF565" i="14" l="1"/>
  <c r="AF566" i="14" l="1"/>
  <c r="AF567" i="14" l="1"/>
  <c r="AF568" i="14" l="1"/>
  <c r="AF569" i="14" l="1"/>
  <c r="AF570" i="14" l="1"/>
  <c r="AF571" i="14" l="1"/>
  <c r="AF572" i="14" l="1"/>
  <c r="AF573" i="14" l="1"/>
  <c r="AF574" i="14" l="1"/>
  <c r="AF575" i="14" l="1"/>
  <c r="AF576" i="14" l="1"/>
  <c r="AF577" i="14" l="1"/>
  <c r="AF578" i="14" l="1"/>
  <c r="AF579" i="14" l="1"/>
  <c r="AF580" i="14" l="1"/>
  <c r="AF581" i="14" l="1"/>
  <c r="AF582" i="14" l="1"/>
  <c r="AF583" i="14" l="1"/>
  <c r="AF584" i="14" l="1"/>
  <c r="AF585" i="14" l="1"/>
  <c r="AF586" i="14" l="1"/>
  <c r="AF587" i="14" l="1"/>
  <c r="AF588" i="14" l="1"/>
  <c r="AF589" i="14" l="1"/>
  <c r="AF590" i="14" l="1"/>
  <c r="AF591" i="14" l="1"/>
  <c r="AF592" i="14" l="1"/>
  <c r="AF593" i="14" l="1"/>
  <c r="AF594" i="14" l="1"/>
  <c r="AF595" i="14" l="1"/>
  <c r="AF596" i="14" l="1"/>
  <c r="AF597" i="14" l="1"/>
  <c r="AF598" i="14" l="1"/>
  <c r="AF599" i="14" l="1"/>
  <c r="AF600" i="14" l="1"/>
  <c r="AF601" i="14" l="1"/>
  <c r="AF602" i="14" l="1"/>
  <c r="AF603" i="14" l="1"/>
  <c r="AF604" i="14" l="1"/>
  <c r="AF605" i="14" l="1"/>
  <c r="AF606" i="14" l="1"/>
  <c r="AF607" i="14" l="1"/>
  <c r="AF608" i="14" l="1"/>
  <c r="AF609" i="14" l="1"/>
  <c r="AF610" i="14" l="1"/>
  <c r="AF611" i="14" l="1"/>
  <c r="AF612" i="14" l="1"/>
  <c r="AF613" i="14" l="1"/>
  <c r="AF614" i="14" l="1"/>
  <c r="AF615" i="14" l="1"/>
  <c r="AF616" i="14" l="1"/>
  <c r="AF617" i="14" l="1"/>
  <c r="AF618" i="14" l="1"/>
  <c r="AF619" i="14" l="1"/>
  <c r="AF620" i="14" l="1"/>
  <c r="AF621" i="14" l="1"/>
  <c r="AF622" i="14" l="1"/>
  <c r="AF623" i="14" l="1"/>
  <c r="AF624" i="14" l="1"/>
  <c r="AF625" i="14" l="1"/>
  <c r="AF626" i="14" l="1"/>
  <c r="AF627" i="14" l="1"/>
  <c r="AF628" i="14" l="1"/>
  <c r="AF629" i="14" l="1"/>
  <c r="AF630" i="14" l="1"/>
  <c r="AF631" i="14" l="1"/>
  <c r="AF632" i="14" l="1"/>
  <c r="AF633" i="14" l="1"/>
  <c r="AF634" i="14" l="1"/>
  <c r="AF635" i="14" l="1"/>
  <c r="AF636" i="14" l="1"/>
  <c r="AF637" i="14" l="1"/>
  <c r="AF638" i="14" l="1"/>
  <c r="AF639" i="14" l="1"/>
  <c r="AF640" i="14" l="1"/>
  <c r="AF641" i="14" l="1"/>
  <c r="AF642" i="14" l="1"/>
  <c r="AF643" i="14" l="1"/>
  <c r="AF644" i="14" l="1"/>
  <c r="AF645" i="14" l="1"/>
  <c r="AF646" i="14" l="1"/>
  <c r="AF647" i="14" l="1"/>
  <c r="AF648" i="14" l="1"/>
  <c r="AF649" i="14" l="1"/>
  <c r="AF650" i="14" l="1"/>
  <c r="AF651" i="14" l="1"/>
  <c r="AF652" i="14" l="1"/>
  <c r="AF653" i="14" l="1"/>
  <c r="AF654" i="14" l="1"/>
  <c r="AF655" i="14" l="1"/>
  <c r="AF656" i="14" l="1"/>
  <c r="AF657" i="14" l="1"/>
  <c r="AF658" i="14" l="1"/>
  <c r="AF659" i="14" l="1"/>
  <c r="AF660" i="14" l="1"/>
  <c r="AF661" i="14" l="1"/>
  <c r="AF662" i="14" l="1"/>
  <c r="AF663" i="14" l="1"/>
  <c r="AF664" i="14" l="1"/>
  <c r="AF665" i="14" l="1"/>
  <c r="AF666" i="14" l="1"/>
  <c r="AF667" i="14" l="1"/>
  <c r="AF668" i="14" l="1"/>
  <c r="AF669" i="14" l="1"/>
  <c r="AF670" i="14" l="1"/>
  <c r="AF671" i="14" l="1"/>
  <c r="AF672" i="14" l="1"/>
  <c r="AF673" i="14" l="1"/>
  <c r="AF674" i="14" l="1"/>
  <c r="AF675" i="14" l="1"/>
  <c r="AF676" i="14" l="1"/>
  <c r="AF677" i="14" l="1"/>
  <c r="AF678" i="14" l="1"/>
  <c r="AF679" i="14" l="1"/>
  <c r="AF680" i="14" l="1"/>
  <c r="AF681" i="14" l="1"/>
  <c r="AF682" i="14" l="1"/>
  <c r="AF683" i="14" l="1"/>
  <c r="AF684" i="14" l="1"/>
  <c r="AF685" i="14" l="1"/>
  <c r="AF686" i="14" l="1"/>
  <c r="AF687" i="14" l="1"/>
  <c r="AF688" i="14" l="1"/>
  <c r="AF689" i="14" l="1"/>
  <c r="AF690" i="14" l="1"/>
  <c r="AF691" i="14" l="1"/>
  <c r="AF692" i="14" l="1"/>
  <c r="AF693" i="14" l="1"/>
  <c r="AF694" i="14" l="1"/>
  <c r="AF695" i="14" l="1"/>
  <c r="AF696" i="14" l="1"/>
  <c r="AF697" i="14" l="1"/>
  <c r="AF698" i="14" l="1"/>
  <c r="AF699" i="14" l="1"/>
  <c r="AF700" i="14" l="1"/>
  <c r="AF701" i="14" l="1"/>
  <c r="AF702" i="14" l="1"/>
  <c r="AF703" i="14" l="1"/>
  <c r="AF704" i="14" l="1"/>
  <c r="AF705" i="14" l="1"/>
  <c r="AF706" i="14" l="1"/>
  <c r="AF707" i="14" l="1"/>
  <c r="AF708" i="14" l="1"/>
  <c r="AF709" i="14" l="1"/>
  <c r="AF710" i="14" l="1"/>
  <c r="AF711" i="14" l="1"/>
  <c r="AF712" i="14" l="1"/>
  <c r="AF713" i="14" l="1"/>
  <c r="AF714" i="14" l="1"/>
  <c r="AF715" i="14" l="1"/>
  <c r="AF716" i="14" l="1"/>
  <c r="AF717" i="14" l="1"/>
  <c r="AF718" i="14" l="1"/>
  <c r="AF719" i="14" l="1"/>
  <c r="AF720" i="14" l="1"/>
  <c r="AF721" i="14" l="1"/>
  <c r="AF722" i="14" l="1"/>
  <c r="AF723" i="14" l="1"/>
  <c r="AF724" i="14" l="1"/>
  <c r="AF725" i="14" l="1"/>
  <c r="AF726" i="14" l="1"/>
  <c r="AF727" i="14" l="1"/>
  <c r="AF728" i="14" l="1"/>
  <c r="AF729" i="14" l="1"/>
  <c r="AF730" i="14" l="1"/>
  <c r="AF731" i="14" l="1"/>
  <c r="AF732" i="14" l="1"/>
  <c r="AF733" i="14" l="1"/>
  <c r="AF734" i="14" l="1"/>
  <c r="AF735" i="14" l="1"/>
  <c r="AF736" i="14" l="1"/>
  <c r="AF737" i="14" l="1"/>
  <c r="AF738" i="14" l="1"/>
  <c r="AF739" i="14" l="1"/>
  <c r="AF740" i="14" l="1"/>
  <c r="AF741" i="14" l="1"/>
  <c r="AF742" i="14" l="1"/>
  <c r="AF743" i="14" l="1"/>
  <c r="AF744" i="14" l="1"/>
  <c r="AF745" i="14" l="1"/>
  <c r="AF746" i="14" l="1"/>
  <c r="AF747" i="14" l="1"/>
  <c r="AF748" i="14" l="1"/>
  <c r="AF749" i="14" l="1"/>
  <c r="AF750" i="14" l="1"/>
  <c r="AF751" i="14" l="1"/>
  <c r="AF752" i="14" l="1"/>
  <c r="AF753" i="14" l="1"/>
  <c r="AF754" i="14" l="1"/>
  <c r="AF755" i="14" l="1"/>
  <c r="AF756" i="14" l="1"/>
  <c r="AF757" i="14" l="1"/>
  <c r="AF758" i="14" l="1"/>
  <c r="AF759" i="14" l="1"/>
  <c r="AF760" i="14" l="1"/>
  <c r="AF761" i="14" l="1"/>
  <c r="AF762" i="14" l="1"/>
  <c r="AF763" i="14" l="1"/>
  <c r="AF764" i="14" l="1"/>
  <c r="AF765" i="14" l="1"/>
  <c r="AF766" i="14" l="1"/>
  <c r="AF767" i="14" l="1"/>
  <c r="AF768" i="14" l="1"/>
  <c r="AF769" i="14" l="1"/>
  <c r="AF770" i="14" l="1"/>
  <c r="AF771" i="14" l="1"/>
  <c r="AF772" i="14" l="1"/>
  <c r="AF773" i="14" l="1"/>
  <c r="AF774" i="14" l="1"/>
  <c r="AF775" i="14" l="1"/>
  <c r="AF776" i="14" l="1"/>
  <c r="AF777" i="14" l="1"/>
  <c r="AF778" i="14" l="1"/>
  <c r="AF779" i="14" l="1"/>
  <c r="AF780" i="14" l="1"/>
  <c r="AF781" i="14" l="1"/>
  <c r="AF782" i="14" l="1"/>
  <c r="AF783" i="14" l="1"/>
  <c r="AF784" i="14" l="1"/>
  <c r="AF785" i="14" l="1"/>
  <c r="AF786" i="14" l="1"/>
  <c r="AF787" i="14" l="1"/>
  <c r="AF788" i="14" l="1"/>
  <c r="AF789" i="14" l="1"/>
  <c r="AF790" i="14" l="1"/>
  <c r="AF791" i="14" l="1"/>
  <c r="AF792" i="14" l="1"/>
  <c r="AF793" i="14" l="1"/>
  <c r="AF794" i="14" l="1"/>
  <c r="AF795" i="14" l="1"/>
  <c r="AF796" i="14" l="1"/>
  <c r="AF797" i="14" l="1"/>
  <c r="AF798" i="14" l="1"/>
  <c r="AF799" i="14" l="1"/>
  <c r="AF800" i="14" l="1"/>
  <c r="AF801" i="14" l="1"/>
  <c r="AF802" i="14" l="1"/>
  <c r="AF803" i="14" l="1"/>
  <c r="AF804" i="14" l="1"/>
  <c r="AF805" i="14" l="1"/>
  <c r="AF806" i="14" l="1"/>
  <c r="AF807" i="14" l="1"/>
  <c r="AF808" i="14" l="1"/>
  <c r="AF809" i="14" l="1"/>
  <c r="AF810" i="14" l="1"/>
  <c r="AF811" i="14" l="1"/>
  <c r="AF812" i="14" l="1"/>
  <c r="AF813" i="14" l="1"/>
  <c r="AF814" i="14" l="1"/>
  <c r="AF815" i="14" l="1"/>
  <c r="AF816" i="14" l="1"/>
  <c r="AF817" i="14" l="1"/>
  <c r="AF818" i="14" l="1"/>
  <c r="AF819" i="14" l="1"/>
  <c r="AF820" i="14" l="1"/>
  <c r="AF821" i="14" l="1"/>
  <c r="AF822" i="14" l="1"/>
  <c r="AF823" i="14" l="1"/>
  <c r="AF824" i="14" l="1"/>
  <c r="AF825" i="14" l="1"/>
  <c r="AF826" i="14" l="1"/>
  <c r="AF827" i="14" l="1"/>
  <c r="AF828" i="14" l="1"/>
  <c r="AF829" i="14" l="1"/>
  <c r="AF830" i="14" l="1"/>
  <c r="AF831" i="14" l="1"/>
  <c r="AF832" i="14" l="1"/>
  <c r="AF833" i="14" l="1"/>
  <c r="AF834" i="14" l="1"/>
  <c r="AF835" i="14" l="1"/>
  <c r="AF836" i="14" l="1"/>
  <c r="AF837" i="14" l="1"/>
  <c r="AF838" i="14" l="1"/>
  <c r="AF839" i="14" l="1"/>
  <c r="AF840" i="14" l="1"/>
  <c r="AF841" i="14" l="1"/>
  <c r="AF842" i="14" l="1"/>
  <c r="AF843" i="14" l="1"/>
  <c r="AF844" i="14" l="1"/>
  <c r="AF845" i="14" l="1"/>
  <c r="AF846" i="14" l="1"/>
  <c r="AF847" i="14" l="1"/>
  <c r="AF848" i="14" l="1"/>
  <c r="AF849" i="14" l="1"/>
  <c r="AF850" i="14" l="1"/>
  <c r="AF851" i="14" l="1"/>
  <c r="AF852" i="14" l="1"/>
  <c r="AF853" i="14" l="1"/>
  <c r="AF854" i="14" l="1"/>
  <c r="AF855" i="14" l="1"/>
  <c r="AF856" i="14" l="1"/>
  <c r="AF857" i="14" l="1"/>
  <c r="AF858" i="14" l="1"/>
  <c r="AF859" i="14" l="1"/>
  <c r="AF860" i="14" l="1"/>
  <c r="AF861" i="14" l="1"/>
  <c r="AF862" i="14" l="1"/>
  <c r="AF863" i="14" l="1"/>
  <c r="AF864" i="14" l="1"/>
  <c r="AF865" i="14" l="1"/>
  <c r="AF866" i="14" l="1"/>
  <c r="AF867" i="14" l="1"/>
  <c r="AF868" i="14" l="1"/>
  <c r="AF869" i="14" l="1"/>
  <c r="AF870" i="14" l="1"/>
  <c r="AF871" i="14" l="1"/>
  <c r="AF872" i="14" l="1"/>
  <c r="AF873" i="14" l="1"/>
  <c r="AF874" i="14" l="1"/>
  <c r="AF875" i="14" l="1"/>
  <c r="AF876" i="14" l="1"/>
  <c r="AF877" i="14" l="1"/>
  <c r="AF878" i="14" l="1"/>
  <c r="AF879" i="14" l="1"/>
  <c r="AF880" i="14" l="1"/>
  <c r="AF881" i="14" l="1"/>
  <c r="AF882" i="14" l="1"/>
  <c r="AF883" i="14" l="1"/>
  <c r="AF884" i="14" l="1"/>
  <c r="AF885" i="14" l="1"/>
  <c r="AF886" i="14" l="1"/>
  <c r="AF887" i="14" l="1"/>
  <c r="AF888" i="14" l="1"/>
  <c r="AF889" i="14" l="1"/>
  <c r="AF890" i="14" l="1"/>
  <c r="AF891" i="14" l="1"/>
  <c r="AF892" i="14" l="1"/>
  <c r="AF893" i="14" l="1"/>
  <c r="AF894" i="14" l="1"/>
  <c r="AF895" i="14" l="1"/>
  <c r="AF896" i="14" l="1"/>
  <c r="AF897" i="14" l="1"/>
  <c r="AF898" i="14" l="1"/>
  <c r="AF899" i="14" l="1"/>
  <c r="AF900" i="14" l="1"/>
  <c r="AF901" i="14" l="1"/>
  <c r="AF902" i="14" l="1"/>
  <c r="AF903" i="14" l="1"/>
  <c r="AF904" i="14" l="1"/>
  <c r="AF905" i="14" l="1"/>
  <c r="AF906" i="14" l="1"/>
  <c r="AF907" i="14" l="1"/>
  <c r="AF908" i="14" l="1"/>
  <c r="AF909" i="14" l="1"/>
  <c r="AF910" i="14" l="1"/>
  <c r="AF911" i="14" l="1"/>
  <c r="AF912" i="14" l="1"/>
  <c r="AF913" i="14" l="1"/>
  <c r="AF914" i="14" l="1"/>
  <c r="AF915" i="14" l="1"/>
  <c r="AF916" i="14" l="1"/>
  <c r="AF917" i="14" l="1"/>
  <c r="AF918" i="14" l="1"/>
  <c r="AF919" i="14" l="1"/>
  <c r="AF920" i="14" l="1"/>
  <c r="AF921" i="14" l="1"/>
  <c r="AF922" i="14" l="1"/>
  <c r="AF923" i="14" l="1"/>
  <c r="AF924" i="14" l="1"/>
  <c r="AF925" i="14" l="1"/>
  <c r="AF926" i="14" l="1"/>
  <c r="AF927" i="14" l="1"/>
  <c r="AF928" i="14" l="1"/>
  <c r="AF929" i="14" l="1"/>
  <c r="AF930" i="14" l="1"/>
  <c r="AF931" i="14" l="1"/>
  <c r="AF932" i="14" l="1"/>
  <c r="AF933" i="14" l="1"/>
  <c r="AF934" i="14" l="1"/>
  <c r="AF935" i="14" l="1"/>
  <c r="AF936" i="14" l="1"/>
  <c r="AF937" i="14" l="1"/>
  <c r="AF938" i="14" l="1"/>
  <c r="AF939" i="14" l="1"/>
  <c r="AF940" i="14" l="1"/>
  <c r="AF941" i="14" l="1"/>
  <c r="AF942" i="14" l="1"/>
  <c r="AF943" i="14" l="1"/>
  <c r="AF944" i="14" l="1"/>
  <c r="AF945" i="14" l="1"/>
  <c r="AF946" i="14" l="1"/>
  <c r="AF947" i="14" l="1"/>
  <c r="AF948" i="14" l="1"/>
  <c r="AF949" i="14" l="1"/>
  <c r="AF950" i="14" l="1"/>
  <c r="AF951" i="14" l="1"/>
  <c r="AF952" i="14" l="1"/>
  <c r="AF953" i="14" l="1"/>
  <c r="AF954" i="14" l="1"/>
  <c r="AF955" i="14" l="1"/>
  <c r="AF956" i="14" l="1"/>
  <c r="AF957" i="14" l="1"/>
  <c r="AF958" i="14" l="1"/>
  <c r="AF959" i="14" l="1"/>
  <c r="AF960" i="14" l="1"/>
  <c r="AF961" i="14" l="1"/>
  <c r="AF962" i="14" l="1"/>
  <c r="AF963" i="14" l="1"/>
  <c r="AF964" i="14" l="1"/>
  <c r="AF965" i="14" l="1"/>
  <c r="AF966" i="14" l="1"/>
  <c r="AF967" i="14" l="1"/>
  <c r="AF968" i="14" l="1"/>
  <c r="AF969" i="14" l="1"/>
  <c r="AF970" i="14" l="1"/>
  <c r="AF971" i="14" l="1"/>
  <c r="AF972" i="14" l="1"/>
  <c r="AF973" i="14" l="1"/>
  <c r="AF974" i="14" l="1"/>
  <c r="AF975" i="14" l="1"/>
  <c r="AF976" i="14" l="1"/>
  <c r="AF977" i="14" l="1"/>
  <c r="AF978" i="14" l="1"/>
  <c r="AF979" i="14" l="1"/>
  <c r="AF980" i="14" l="1"/>
  <c r="AF981" i="14" l="1"/>
  <c r="AF982" i="14" l="1"/>
  <c r="AF983" i="14" l="1"/>
  <c r="AF984" i="14" l="1"/>
  <c r="AF985" i="14" l="1"/>
  <c r="AF986" i="14" l="1"/>
  <c r="AF987" i="14" l="1"/>
  <c r="AF988" i="14" l="1"/>
  <c r="AF989" i="14" l="1"/>
  <c r="AF990" i="14" l="1"/>
  <c r="AF991" i="14" l="1"/>
  <c r="AF992" i="14" l="1"/>
  <c r="AF993" i="14" l="1"/>
  <c r="AF994" i="14" l="1"/>
  <c r="AF995" i="14" l="1"/>
  <c r="AF996" i="14" l="1"/>
  <c r="AF997" i="14" l="1"/>
  <c r="AF998" i="14" l="1"/>
  <c r="AF999" i="14" l="1"/>
  <c r="AF1000" i="14" l="1"/>
  <c r="AF1001" i="14" l="1"/>
  <c r="AF1002" i="14" l="1"/>
  <c r="AF1003" i="14" l="1"/>
  <c r="AF1004" i="14" l="1"/>
  <c r="AF1005" i="14" l="1"/>
  <c r="AF1006" i="14" l="1"/>
  <c r="AF1007" i="14" l="1"/>
  <c r="AF1008" i="14" l="1"/>
  <c r="AF1009" i="14" l="1"/>
  <c r="AF1010" i="14" l="1"/>
  <c r="AF1011" i="14" l="1"/>
  <c r="AF1012" i="14" l="1"/>
  <c r="AF1013" i="14" l="1"/>
  <c r="AF1014" i="14" l="1"/>
  <c r="AF1015" i="14" l="1"/>
  <c r="AF1016" i="14" l="1"/>
  <c r="AF1017" i="14" l="1"/>
  <c r="AF1018" i="14" l="1"/>
  <c r="AF1019" i="14" l="1"/>
  <c r="AF1020" i="14" l="1"/>
  <c r="AF1021" i="14" l="1"/>
  <c r="AF1022" i="14" l="1"/>
  <c r="AF1023" i="14" l="1"/>
  <c r="AF1024" i="14" l="1"/>
  <c r="AF1025" i="14" l="1"/>
  <c r="AF1026" i="14" l="1"/>
  <c r="AF1027" i="14" l="1"/>
  <c r="AF1028" i="14" l="1"/>
  <c r="AF1029" i="14" l="1"/>
  <c r="AF1030" i="14" l="1"/>
  <c r="AF1031" i="14" l="1"/>
  <c r="AF1032" i="14" l="1"/>
  <c r="AF1033" i="14" l="1"/>
  <c r="AF1034" i="14" l="1"/>
  <c r="AF1035" i="14" l="1"/>
  <c r="AF1036" i="14" l="1"/>
  <c r="AF1037" i="14" l="1"/>
  <c r="AF1038" i="14" l="1"/>
  <c r="AF1039" i="14" l="1"/>
  <c r="AF1040" i="14" l="1"/>
  <c r="AF1041" i="14" l="1"/>
  <c r="AF1042" i="14" l="1"/>
  <c r="AF1043" i="14" l="1"/>
  <c r="AF1044" i="14" l="1"/>
  <c r="AF1045" i="14" l="1"/>
  <c r="AF1046" i="14" l="1"/>
  <c r="AF1047" i="14" l="1"/>
  <c r="AF1048" i="14" l="1"/>
  <c r="AF1049" i="14" l="1"/>
  <c r="AF1050" i="14" l="1"/>
  <c r="AF1051" i="14" l="1"/>
  <c r="AF1052" i="14" l="1"/>
  <c r="AF1053" i="14" l="1"/>
  <c r="AF1054" i="14" l="1"/>
  <c r="AF1055" i="14" l="1"/>
  <c r="AF1056" i="14" l="1"/>
  <c r="AF1057" i="14" l="1"/>
  <c r="AF1058" i="14" l="1"/>
  <c r="AF1059" i="14" l="1"/>
  <c r="AF1060" i="14" l="1"/>
  <c r="AF1061" i="14" l="1"/>
  <c r="AF1062" i="14" l="1"/>
  <c r="AF1063" i="14" l="1"/>
  <c r="AF1064" i="14" l="1"/>
  <c r="AF1065" i="14" l="1"/>
  <c r="AF1066" i="14" l="1"/>
  <c r="AF1067" i="14" l="1"/>
  <c r="AF1068" i="14" l="1"/>
  <c r="AF1069" i="14" l="1"/>
  <c r="AF1070" i="14" l="1"/>
  <c r="AF1071" i="14" l="1"/>
  <c r="AF1072" i="14" l="1"/>
  <c r="AF1073" i="14" l="1"/>
  <c r="AF1074" i="14" l="1"/>
  <c r="AF1075" i="14" l="1"/>
  <c r="AF1076" i="14" l="1"/>
  <c r="AF1077" i="14" l="1"/>
  <c r="AF1078" i="14" l="1"/>
  <c r="AF1079" i="14" l="1"/>
  <c r="AF1080" i="14" l="1"/>
  <c r="AF1081" i="14" l="1"/>
  <c r="AF1082" i="14" l="1"/>
  <c r="AF1083" i="14" l="1"/>
  <c r="AF1084" i="14" l="1"/>
  <c r="AF1085" i="14" l="1"/>
  <c r="AF1086" i="14" l="1"/>
  <c r="AF1087" i="14" l="1"/>
  <c r="AF1088" i="14" l="1"/>
  <c r="AF1089" i="14" l="1"/>
  <c r="AF1090" i="14" l="1"/>
  <c r="AF1091" i="14" l="1"/>
  <c r="AF1092" i="14" l="1"/>
  <c r="AF1093" i="14" l="1"/>
  <c r="AF1094" i="14" l="1"/>
  <c r="AF1095" i="14" l="1"/>
  <c r="AF1096" i="14" l="1"/>
  <c r="AF1097" i="14" l="1"/>
  <c r="AF1098" i="14" l="1"/>
  <c r="AF1099" i="14" l="1"/>
  <c r="AF1100" i="14" l="1"/>
  <c r="AF1101" i="14" l="1"/>
  <c r="AF1102" i="14" l="1"/>
  <c r="AF1103" i="14" l="1"/>
  <c r="AF1104" i="14" l="1"/>
  <c r="AF1105" i="14" l="1"/>
  <c r="AF1106" i="14" l="1"/>
  <c r="AF1107" i="14" l="1"/>
  <c r="AF1108" i="14" l="1"/>
  <c r="AF1109" i="14" l="1"/>
  <c r="AF1110" i="14" l="1"/>
  <c r="AF1111" i="14" l="1"/>
  <c r="AF1112" i="14" l="1"/>
  <c r="AF1113" i="14" l="1"/>
  <c r="AF1114" i="14" l="1"/>
  <c r="AF1115" i="14" l="1"/>
  <c r="AF1116" i="14" l="1"/>
  <c r="AF1117" i="14" l="1"/>
  <c r="AF1118" i="14" l="1"/>
  <c r="AF1119" i="14" l="1"/>
  <c r="AF1120" i="14" l="1"/>
  <c r="AF1121" i="14" l="1"/>
  <c r="AF1122" i="14" l="1"/>
  <c r="AF1123" i="14" l="1"/>
  <c r="AF1124" i="14" l="1"/>
  <c r="AF1125" i="14" l="1"/>
  <c r="AF1126" i="14" l="1"/>
  <c r="AF1127" i="14" l="1"/>
  <c r="AF1128" i="14" l="1"/>
  <c r="AF1129" i="14" l="1"/>
  <c r="AF1130" i="14" l="1"/>
  <c r="AF1131" i="14" l="1"/>
  <c r="AF1132" i="14" l="1"/>
  <c r="AF1133" i="14" l="1"/>
  <c r="AF1134" i="14" l="1"/>
  <c r="AF1135" i="14" l="1"/>
  <c r="AF1136" i="14" l="1"/>
  <c r="AF1137" i="14" l="1"/>
  <c r="AF1138" i="14" l="1"/>
  <c r="AF1139" i="14" l="1"/>
  <c r="AF1140" i="14" l="1"/>
  <c r="AF1141" i="14" l="1"/>
  <c r="AF1142" i="14" l="1"/>
  <c r="AF1143" i="14" l="1"/>
  <c r="AF1144" i="14" l="1"/>
  <c r="AF1145" i="14" l="1"/>
  <c r="AF1146" i="14" l="1"/>
  <c r="AF1147" i="14" l="1"/>
  <c r="AF1148" i="14" l="1"/>
  <c r="AF1149" i="14" l="1"/>
  <c r="AF1150" i="14" l="1"/>
  <c r="AF1151" i="14" l="1"/>
  <c r="AF1152" i="14" l="1"/>
  <c r="AF1153" i="14" l="1"/>
  <c r="AF1154" i="14" l="1"/>
  <c r="AF1155" i="14" l="1"/>
  <c r="AF1156" i="14" l="1"/>
  <c r="AF1157" i="14" l="1"/>
  <c r="AF1158" i="14" l="1"/>
  <c r="AF1159" i="14" l="1"/>
  <c r="AF1160" i="14" l="1"/>
  <c r="AF1161" i="14" l="1"/>
  <c r="AF1162" i="14" l="1"/>
  <c r="AF1163" i="14" l="1"/>
  <c r="AF1164" i="14" l="1"/>
  <c r="AF1165" i="14" l="1"/>
  <c r="AF1166" i="14" l="1"/>
  <c r="AF1167" i="14" l="1"/>
  <c r="AF1168" i="14" l="1"/>
  <c r="AF1169" i="14" l="1"/>
  <c r="AF1170" i="14" l="1"/>
  <c r="AF1171" i="14" l="1"/>
  <c r="AF1172" i="14" l="1"/>
  <c r="AF1173" i="14" l="1"/>
  <c r="AF1174" i="14" l="1"/>
  <c r="AF1175" i="14" l="1"/>
  <c r="AF1176" i="14" l="1"/>
  <c r="AF1177" i="14" l="1"/>
  <c r="AF1178" i="14" l="1"/>
  <c r="AF1179" i="14" l="1"/>
  <c r="AF1180" i="14" l="1"/>
  <c r="AF1181" i="14" l="1"/>
  <c r="AF1182" i="14" l="1"/>
  <c r="AF1183" i="14" l="1"/>
  <c r="AF1184" i="14" l="1"/>
  <c r="AF1185" i="14" l="1"/>
  <c r="AF1186" i="14" l="1"/>
  <c r="AF1187" i="14" l="1"/>
  <c r="AF1188" i="14" l="1"/>
  <c r="AF1189" i="14" l="1"/>
  <c r="AF1190" i="14" l="1"/>
  <c r="AF1191" i="14" l="1"/>
  <c r="AF1192" i="14" l="1"/>
  <c r="AF1193" i="14" l="1"/>
  <c r="AF1194" i="14" l="1"/>
  <c r="AF1195" i="14" l="1"/>
  <c r="AF1196" i="14" l="1"/>
  <c r="AF1197" i="14" l="1"/>
  <c r="AF1198" i="14" l="1"/>
  <c r="AF1199" i="14" l="1"/>
  <c r="AF1200" i="14" l="1"/>
  <c r="AF1201" i="14" l="1"/>
  <c r="AF1202" i="14" l="1"/>
  <c r="AF1203" i="14" l="1"/>
  <c r="AF1204" i="14" l="1"/>
  <c r="AF1205" i="14" l="1"/>
  <c r="AF1206" i="14" l="1"/>
  <c r="AF1207" i="14" l="1"/>
  <c r="AF1208" i="14" l="1"/>
  <c r="AF1209" i="14" l="1"/>
  <c r="AF1210" i="14" l="1"/>
  <c r="AF1211" i="14" l="1"/>
  <c r="AF1212" i="14" l="1"/>
  <c r="AF1213" i="14" l="1"/>
  <c r="AF1214" i="14" l="1"/>
  <c r="AF1215" i="14" l="1"/>
  <c r="AF1216" i="14" l="1"/>
  <c r="AF1217" i="14" l="1"/>
  <c r="AF1218" i="14" l="1"/>
  <c r="AF1219" i="14" l="1"/>
  <c r="AF1220" i="14" l="1"/>
  <c r="AF1221" i="14" l="1"/>
  <c r="AF1222" i="14" l="1"/>
  <c r="AF1223" i="14" l="1"/>
  <c r="AF1224" i="14" l="1"/>
  <c r="AF1225" i="14" l="1"/>
  <c r="AF1226" i="14" l="1"/>
  <c r="AF1227" i="14" l="1"/>
  <c r="AF1228" i="14" l="1"/>
  <c r="AF1229" i="14" l="1"/>
  <c r="AF1230" i="14" l="1"/>
  <c r="AF1231" i="14" l="1"/>
  <c r="AF1232" i="14" l="1"/>
  <c r="AF1233" i="14" l="1"/>
  <c r="AF1234" i="14" l="1"/>
  <c r="AF1235" i="14" l="1"/>
  <c r="AF1236" i="14" l="1"/>
  <c r="AF1237" i="14" l="1"/>
  <c r="AF1238" i="14" l="1"/>
  <c r="AF1239" i="14" l="1"/>
  <c r="AF1240" i="14" l="1"/>
  <c r="AF1241" i="14" l="1"/>
  <c r="AF1242" i="14" l="1"/>
  <c r="AF1243" i="14" l="1"/>
  <c r="AF1244" i="14" l="1"/>
  <c r="AF1245" i="14" l="1"/>
  <c r="AF1246" i="14" l="1"/>
  <c r="AF1247" i="14" l="1"/>
  <c r="AF1248" i="14" l="1"/>
  <c r="AF1249" i="14" l="1"/>
  <c r="AF1250" i="14" l="1"/>
  <c r="AF1251" i="14" l="1"/>
  <c r="AF1252" i="14" l="1"/>
  <c r="AF1253" i="14" l="1"/>
  <c r="AF1254" i="14" l="1"/>
  <c r="AF1255" i="14" l="1"/>
  <c r="AF1256" i="14" l="1"/>
  <c r="AF1257" i="14" l="1"/>
  <c r="AF1258" i="14" l="1"/>
  <c r="AF1259" i="14" l="1"/>
  <c r="AF1260" i="14" l="1"/>
  <c r="AF1261" i="14" l="1"/>
  <c r="AF1262" i="14" l="1"/>
  <c r="AF1263" i="14" l="1"/>
  <c r="AF1264" i="14" l="1"/>
  <c r="AF1265" i="14" l="1"/>
  <c r="AF1266" i="14" l="1"/>
  <c r="AF1267" i="14" l="1"/>
  <c r="AF1268" i="14" l="1"/>
  <c r="AF1269" i="14" l="1"/>
  <c r="AF1270" i="14" l="1"/>
  <c r="AF1271" i="14" l="1"/>
  <c r="AF1272" i="14" l="1"/>
  <c r="AF1273" i="14" l="1"/>
  <c r="AF1274" i="14" l="1"/>
  <c r="AF1275" i="14" l="1"/>
  <c r="AF1276" i="14" l="1"/>
  <c r="AF1277" i="14" l="1"/>
  <c r="AF1278" i="14" l="1"/>
  <c r="AF1279" i="14" l="1"/>
  <c r="AF1280" i="14" l="1"/>
  <c r="AF1281" i="14" l="1"/>
  <c r="AF1282" i="14" l="1"/>
  <c r="AF1283" i="14" l="1"/>
  <c r="AF1284" i="14" l="1"/>
  <c r="AF1285" i="14" l="1"/>
  <c r="AF1286" i="14" l="1"/>
  <c r="AF1287" i="14" l="1"/>
  <c r="AF1288" i="14" l="1"/>
  <c r="AF1289" i="14" l="1"/>
  <c r="AF1290" i="14" l="1"/>
  <c r="AF1291" i="14" l="1"/>
  <c r="AF1292" i="14" l="1"/>
  <c r="AF1293" i="14" l="1"/>
  <c r="AF1294" i="14" l="1"/>
  <c r="AF1295" i="14" l="1"/>
  <c r="AF1296" i="14" l="1"/>
  <c r="AF1297" i="14" l="1"/>
  <c r="AF1298" i="14" l="1"/>
  <c r="AF1299" i="14" l="1"/>
  <c r="AF1300" i="14" l="1"/>
  <c r="AF1301" i="14" l="1"/>
  <c r="AF1302" i="14" l="1"/>
  <c r="AF1303" i="14" l="1"/>
  <c r="AF1304" i="14" l="1"/>
  <c r="AF1305" i="14" l="1"/>
  <c r="AF1306" i="14" l="1"/>
  <c r="AF1307" i="14" l="1"/>
  <c r="AF1308" i="14" l="1"/>
  <c r="AF1309" i="14" l="1"/>
  <c r="AF1310" i="14" l="1"/>
  <c r="AF1311" i="14" l="1"/>
  <c r="AF1312" i="14" l="1"/>
  <c r="AF1313" i="14" l="1"/>
  <c r="AF1314" i="14" l="1"/>
  <c r="AF1315" i="14" l="1"/>
  <c r="AF1316" i="14" l="1"/>
  <c r="AF1317" i="14" l="1"/>
  <c r="AF1318" i="14" l="1"/>
  <c r="AF1319" i="14" l="1"/>
  <c r="AF1320" i="14" l="1"/>
  <c r="AF1321" i="14" l="1"/>
  <c r="AF1322" i="14" l="1"/>
  <c r="AF1323" i="14" l="1"/>
  <c r="AF1324" i="14" l="1"/>
  <c r="AF1325" i="14" l="1"/>
  <c r="AF1326" i="14" l="1"/>
  <c r="AF1327" i="14" l="1"/>
  <c r="AF1328" i="14" l="1"/>
  <c r="AF1329" i="14" l="1"/>
  <c r="AF1330" i="14" l="1"/>
  <c r="AF1331" i="14" l="1"/>
  <c r="AF1332" i="14" l="1"/>
  <c r="AF1333" i="14" l="1"/>
  <c r="AF1334" i="14" l="1"/>
  <c r="AF1335" i="14" l="1"/>
  <c r="AF1336" i="14" l="1"/>
  <c r="AF1337" i="14" l="1"/>
  <c r="AF1338" i="14" l="1"/>
  <c r="AF1339" i="14" l="1"/>
  <c r="AF1340" i="14" l="1"/>
  <c r="AF1341" i="14" l="1"/>
  <c r="AF1342" i="14" l="1"/>
  <c r="AF1343" i="14" l="1"/>
  <c r="AF1344" i="14" l="1"/>
  <c r="AF1345" i="14" l="1"/>
  <c r="AF1346" i="14" l="1"/>
  <c r="AF1347" i="14" l="1"/>
  <c r="AF1348" i="14" l="1"/>
  <c r="AF1349" i="14" l="1"/>
  <c r="AF1350" i="14" l="1"/>
  <c r="AF1351" i="14" l="1"/>
  <c r="AF1352" i="14" l="1"/>
  <c r="AF1353" i="14" l="1"/>
  <c r="AF1354" i="14" l="1"/>
  <c r="AF1355" i="14" l="1"/>
  <c r="AF1356" i="14" l="1"/>
  <c r="AF1357" i="14" l="1"/>
  <c r="AF1358" i="14" l="1"/>
  <c r="AF1359" i="14" l="1"/>
  <c r="AF1360" i="14" l="1"/>
  <c r="AF1361" i="14" l="1"/>
  <c r="AF1362" i="14" l="1"/>
  <c r="AF1363" i="14" l="1"/>
  <c r="AF1364" i="14" l="1"/>
  <c r="AF1365" i="14" l="1"/>
  <c r="AF1366" i="14" l="1"/>
  <c r="AF1367" i="14" l="1"/>
  <c r="AF1368" i="14" l="1"/>
  <c r="AF1369" i="14" l="1"/>
  <c r="AF1370" i="14" l="1"/>
  <c r="AF1371" i="14" l="1"/>
  <c r="AF1372" i="14" l="1"/>
  <c r="AF1373" i="14" l="1"/>
  <c r="AF1374" i="14" l="1"/>
  <c r="AF1375" i="14" l="1"/>
  <c r="AF1376" i="14" l="1"/>
  <c r="AF1377" i="14" l="1"/>
  <c r="AF1378" i="14" l="1"/>
  <c r="AF1379" i="14" l="1"/>
  <c r="AF1380" i="14" l="1"/>
  <c r="AF1381" i="14" l="1"/>
  <c r="AF1382" i="14" l="1"/>
  <c r="AF1383" i="14" l="1"/>
  <c r="AF1384" i="14" l="1"/>
  <c r="AF1385" i="14" l="1"/>
  <c r="AF1386" i="14" l="1"/>
  <c r="AF1387" i="14" l="1"/>
  <c r="AF1388" i="14" l="1"/>
  <c r="AF1389" i="14" l="1"/>
  <c r="AF1390" i="14" l="1"/>
  <c r="AF1391" i="14" l="1"/>
  <c r="AF1392" i="14" l="1"/>
  <c r="AF1393" i="14" l="1"/>
  <c r="AF1394" i="14" l="1"/>
  <c r="AF1395" i="14" l="1"/>
  <c r="AF1396" i="14" l="1"/>
  <c r="AF1397" i="14" l="1"/>
  <c r="AF1398" i="14" l="1"/>
  <c r="AF1399" i="14" l="1"/>
  <c r="AF1400" i="14" l="1"/>
  <c r="AF1401" i="14" l="1"/>
  <c r="AF1402" i="14" l="1"/>
  <c r="AF1403" i="14" l="1"/>
  <c r="AF1404" i="14" l="1"/>
  <c r="AF1405" i="14" l="1"/>
  <c r="AF1406" i="14" l="1"/>
  <c r="AF1407" i="14" l="1"/>
  <c r="AF1408" i="14" l="1"/>
  <c r="AF1409" i="14" l="1"/>
  <c r="AF1410" i="14" l="1"/>
  <c r="AF1411" i="14" l="1"/>
  <c r="AF1412" i="14" l="1"/>
  <c r="AF1413" i="14" l="1"/>
  <c r="AF1414" i="14" l="1"/>
  <c r="AF1415" i="14" l="1"/>
  <c r="AF1416" i="14" l="1"/>
  <c r="AF1417" i="14" l="1"/>
  <c r="AF1418" i="14" l="1"/>
  <c r="AF1419" i="14" l="1"/>
  <c r="AF1420" i="14" l="1"/>
  <c r="AF1421" i="14" l="1"/>
  <c r="AF1422" i="14" l="1"/>
  <c r="AF1423" i="14" l="1"/>
  <c r="AF1424" i="14" l="1"/>
  <c r="AF1425" i="14" l="1"/>
  <c r="AF1426" i="14" l="1"/>
  <c r="AF1427" i="14" l="1"/>
  <c r="AF1428" i="14" l="1"/>
  <c r="AF1429" i="14" l="1"/>
  <c r="AF1430" i="14" l="1"/>
  <c r="AF1431" i="14" l="1"/>
  <c r="AF1432" i="14" l="1"/>
  <c r="AF1433" i="14" l="1"/>
  <c r="AF1434" i="14" l="1"/>
  <c r="AF1435" i="14" l="1"/>
  <c r="AF1436" i="14" l="1"/>
  <c r="AF1437" i="14" l="1"/>
  <c r="AF1438" i="14" l="1"/>
  <c r="AF1439" i="14" l="1"/>
  <c r="AF1440" i="14" l="1"/>
  <c r="AF1441" i="14" l="1"/>
  <c r="AF1442" i="14" l="1"/>
  <c r="AF1443" i="14" l="1"/>
  <c r="AF1444" i="14" l="1"/>
  <c r="AF1445" i="14" l="1"/>
  <c r="AF1446" i="14" l="1"/>
  <c r="AF1447" i="14" l="1"/>
  <c r="AF1448" i="14" l="1"/>
  <c r="AF1449" i="14" l="1"/>
  <c r="AF1450" i="14" l="1"/>
  <c r="AF1451" i="14" l="1"/>
  <c r="AF1452" i="14" l="1"/>
  <c r="AF1453" i="14" l="1"/>
  <c r="AF1454" i="14" l="1"/>
  <c r="AF1455" i="14" l="1"/>
  <c r="AF1456" i="14" l="1"/>
  <c r="AF1457" i="14" l="1"/>
  <c r="AF1458" i="14" l="1"/>
  <c r="AF1459" i="14" l="1"/>
  <c r="AF1460" i="14" l="1"/>
  <c r="AF1461" i="14" l="1"/>
  <c r="AF1462" i="14" l="1"/>
  <c r="AF1463" i="14" l="1"/>
  <c r="AF1464" i="14" l="1"/>
  <c r="AF1465" i="14" l="1"/>
  <c r="AF1466" i="14" l="1"/>
  <c r="AF1467" i="14" l="1"/>
  <c r="AF1468" i="14" l="1"/>
  <c r="AF1469" i="14" l="1"/>
  <c r="AF1470" i="14" l="1"/>
  <c r="AF1471" i="14" l="1"/>
  <c r="AF1472" i="14" l="1"/>
  <c r="AF1473" i="14" l="1"/>
  <c r="AF1474" i="14" l="1"/>
  <c r="AF1475" i="14" l="1"/>
  <c r="AF1476" i="14" l="1"/>
  <c r="AF1477" i="14" l="1"/>
  <c r="AF1478" i="14" l="1"/>
  <c r="AF1479" i="14" l="1"/>
  <c r="AF1480" i="14" l="1"/>
  <c r="AF1481" i="14" l="1"/>
  <c r="AF1482" i="14" l="1"/>
  <c r="AF1483" i="14" l="1"/>
  <c r="AF1484" i="14" l="1"/>
  <c r="AF1485" i="14" l="1"/>
  <c r="AF1486" i="14" l="1"/>
  <c r="AF1487" i="14" l="1"/>
  <c r="AF1488" i="14" l="1"/>
  <c r="AF1489" i="14" l="1"/>
  <c r="AF1490" i="14" l="1"/>
  <c r="AF1491" i="14" l="1"/>
  <c r="AF1492" i="14" l="1"/>
  <c r="AF1493" i="14" l="1"/>
  <c r="AF1494" i="14" l="1"/>
  <c r="AF1495" i="14" l="1"/>
  <c r="AF1496" i="14" l="1"/>
  <c r="AF1497" i="14" l="1"/>
  <c r="AF1498" i="14" l="1"/>
  <c r="AF1499" i="14" l="1"/>
  <c r="AF1500" i="14" l="1"/>
  <c r="AF1501" i="14" l="1"/>
  <c r="AF1502" i="14" l="1"/>
  <c r="AF1503" i="14" l="1"/>
  <c r="AF1504" i="14" l="1"/>
  <c r="AF1505" i="14" l="1"/>
  <c r="AF1506" i="14" l="1"/>
  <c r="AF1507" i="14" l="1"/>
  <c r="AF1508" i="14" l="1"/>
  <c r="AF1509" i="14" l="1"/>
  <c r="AF1510" i="14" l="1"/>
  <c r="AF1511" i="14" l="1"/>
  <c r="AF1512" i="14" l="1"/>
  <c r="AF1513" i="14" l="1"/>
  <c r="AF1514" i="14" l="1"/>
  <c r="AF1515" i="14" l="1"/>
  <c r="AF1516" i="14" l="1"/>
  <c r="AF1517" i="14" l="1"/>
  <c r="AF1518" i="14" l="1"/>
  <c r="AF1519" i="14" l="1"/>
  <c r="AF1520" i="14" l="1"/>
  <c r="AF1521" i="14" l="1"/>
  <c r="AF1522" i="14" l="1"/>
  <c r="AF1523" i="14" l="1"/>
  <c r="AF1524" i="14" l="1"/>
  <c r="AF1525" i="14" l="1"/>
  <c r="AF1526" i="14" l="1"/>
  <c r="AF1527" i="14" l="1"/>
  <c r="AF1528" i="14" l="1"/>
  <c r="AF1529" i="14" l="1"/>
  <c r="AF1530" i="14" l="1"/>
  <c r="AF1531" i="14" l="1"/>
  <c r="AF1532" i="14" l="1"/>
  <c r="AF1533" i="14" l="1"/>
  <c r="AF1534" i="14" l="1"/>
  <c r="AF1535" i="14" l="1"/>
  <c r="AF1536" i="14" l="1"/>
  <c r="AF1537" i="14" l="1"/>
  <c r="AF1538" i="14" l="1"/>
  <c r="AF1539" i="14" l="1"/>
  <c r="AF1540" i="14" l="1"/>
  <c r="AF1541" i="14" l="1"/>
  <c r="AF1542" i="14" l="1"/>
  <c r="AF1543" i="14" l="1"/>
  <c r="AF1544" i="14" l="1"/>
  <c r="AF1545" i="14" l="1"/>
  <c r="AF1546" i="14" l="1"/>
  <c r="AF1547" i="14" l="1"/>
  <c r="AF1548" i="14" l="1"/>
  <c r="AF1549" i="14" l="1"/>
  <c r="AF1550" i="14" l="1"/>
  <c r="AF1551" i="14" l="1"/>
  <c r="AF1552" i="14" l="1"/>
  <c r="AF1553" i="14" l="1"/>
  <c r="AF1554" i="14" l="1"/>
  <c r="AF1555" i="14" l="1"/>
  <c r="AF1556" i="14" l="1"/>
  <c r="AF1557" i="14" l="1"/>
  <c r="AF1558" i="14" l="1"/>
  <c r="AF1559" i="14" l="1"/>
  <c r="AF1560" i="14" l="1"/>
  <c r="AF1561" i="14" l="1"/>
  <c r="AF1562" i="14" l="1"/>
  <c r="AF1563" i="14" l="1"/>
  <c r="AF1564" i="14" l="1"/>
  <c r="AF1565" i="14" l="1"/>
  <c r="AF1566" i="14" l="1"/>
  <c r="AF1567" i="14" l="1"/>
  <c r="AF1568" i="14" l="1"/>
  <c r="AF1569" i="14" l="1"/>
  <c r="AF1570" i="14" l="1"/>
  <c r="AF1571" i="14" l="1"/>
  <c r="AF1572" i="14" l="1"/>
  <c r="AF1573" i="14" l="1"/>
  <c r="AF1574" i="14" l="1"/>
  <c r="AF1575" i="14" l="1"/>
  <c r="AF1576" i="14" l="1"/>
  <c r="AF1577" i="14" l="1"/>
  <c r="AF1578" i="14" l="1"/>
  <c r="AF1579" i="14" l="1"/>
  <c r="AF1580" i="14" l="1"/>
  <c r="AF1581" i="14" l="1"/>
  <c r="AF1582" i="14" l="1"/>
  <c r="AF1583" i="14" l="1"/>
  <c r="AF1584" i="14" l="1"/>
  <c r="AF1585" i="14" l="1"/>
  <c r="AF1586" i="14" l="1"/>
  <c r="AF1587" i="14" l="1"/>
  <c r="AF1588" i="14" l="1"/>
  <c r="AF1589" i="14" l="1"/>
  <c r="AF1590" i="14" l="1"/>
  <c r="AF1591" i="14" l="1"/>
  <c r="AF1592" i="14" l="1"/>
  <c r="AF1593" i="14" l="1"/>
  <c r="AF1594" i="14" l="1"/>
  <c r="AF1595" i="14" l="1"/>
  <c r="AF1596" i="14" l="1"/>
  <c r="AF1597" i="14" l="1"/>
  <c r="AF1598" i="14" l="1"/>
  <c r="AF1599" i="14" l="1"/>
  <c r="AF1600" i="14" l="1"/>
  <c r="AF1601" i="14" l="1"/>
  <c r="AF1602" i="14" l="1"/>
  <c r="AF1603" i="14" l="1"/>
  <c r="AF1604" i="14" l="1"/>
  <c r="AF1605" i="14" l="1"/>
  <c r="AF1606" i="14" l="1"/>
  <c r="AF1607" i="14" l="1"/>
  <c r="AF1608" i="14" l="1"/>
  <c r="AF1609" i="14" l="1"/>
  <c r="AF1610" i="14" l="1"/>
  <c r="AF1611" i="14" l="1"/>
  <c r="AF1612" i="14" l="1"/>
  <c r="AF1613" i="14" l="1"/>
  <c r="AF1614" i="14" l="1"/>
  <c r="AF1615" i="14" l="1"/>
  <c r="AF1616" i="14" l="1"/>
  <c r="AF1617" i="14" l="1"/>
  <c r="AF1618" i="14" l="1"/>
  <c r="AF1619" i="14" l="1"/>
  <c r="AF1620" i="14" l="1"/>
  <c r="AF1621" i="14" l="1"/>
  <c r="AF1622" i="14" l="1"/>
  <c r="AF1623" i="14" l="1"/>
  <c r="AF1624" i="14" l="1"/>
  <c r="AF1625" i="14" l="1"/>
  <c r="AF1626" i="14" l="1"/>
  <c r="AF1627" i="14" l="1"/>
  <c r="AF1628" i="14" l="1"/>
  <c r="AF1629" i="14" l="1"/>
  <c r="AF1630" i="14" l="1"/>
  <c r="AF1631" i="14" l="1"/>
  <c r="AF1632" i="14" l="1"/>
  <c r="AF1633" i="14" l="1"/>
  <c r="AF1634" i="14" l="1"/>
  <c r="AF1635" i="14" l="1"/>
  <c r="AF1636" i="14" l="1"/>
  <c r="AF1637" i="14" l="1"/>
  <c r="AF1638" i="14" l="1"/>
  <c r="AF1639" i="14" l="1"/>
  <c r="AF1640" i="14" l="1"/>
  <c r="AF1641" i="14" l="1"/>
  <c r="AF1642" i="14" l="1"/>
  <c r="AF1643" i="14" l="1"/>
  <c r="AF1644" i="14" l="1"/>
  <c r="AF1645" i="14" l="1"/>
  <c r="AF1646" i="14" l="1"/>
  <c r="AF1647" i="14" l="1"/>
  <c r="AF1648" i="14" l="1"/>
  <c r="AF1649" i="14" l="1"/>
  <c r="AF1650" i="14" l="1"/>
  <c r="AF1651" i="14" l="1"/>
  <c r="AF1652" i="14" l="1"/>
  <c r="AF1653" i="14" l="1"/>
  <c r="AF1654" i="14" l="1"/>
  <c r="AF1655" i="14" l="1"/>
  <c r="AF1656" i="14" l="1"/>
  <c r="AF1657" i="14" l="1"/>
  <c r="AF1658" i="14" l="1"/>
  <c r="AF1659" i="14" l="1"/>
  <c r="AF1660" i="14" l="1"/>
  <c r="AF1661" i="14" l="1"/>
  <c r="AF1662" i="14" l="1"/>
  <c r="AF1663" i="14" l="1"/>
  <c r="AF1664" i="14" l="1"/>
  <c r="AF1665" i="14" l="1"/>
  <c r="AF1666" i="14" l="1"/>
  <c r="AF1667" i="14" l="1"/>
  <c r="AF1668" i="14" l="1"/>
  <c r="AF1669" i="14" l="1"/>
  <c r="AF1670" i="14" l="1"/>
  <c r="AF1671" i="14" l="1"/>
  <c r="AF1672" i="14" l="1"/>
  <c r="AF1673" i="14" l="1"/>
  <c r="AF1674" i="14" l="1"/>
  <c r="AF1675" i="14" l="1"/>
  <c r="AF1676" i="14" l="1"/>
  <c r="AF1677" i="14" l="1"/>
  <c r="AF1678" i="14" l="1"/>
  <c r="AF1679" i="14" l="1"/>
  <c r="AF1680" i="14" l="1"/>
  <c r="AF1681" i="14" l="1"/>
  <c r="AF1682" i="14" l="1"/>
  <c r="AF1683" i="14" l="1"/>
  <c r="AF1684" i="14" l="1"/>
  <c r="AF1685" i="14" l="1"/>
  <c r="AF1686" i="14" l="1"/>
  <c r="AF1687" i="14" l="1"/>
  <c r="AF1688" i="14" l="1"/>
  <c r="AF1689" i="14" l="1"/>
  <c r="AF1690" i="14" l="1"/>
  <c r="AF1691" i="14" l="1"/>
  <c r="AF1692" i="14" l="1"/>
  <c r="AF1693" i="14" l="1"/>
  <c r="AF1694" i="14" l="1"/>
  <c r="AF1695" i="14" l="1"/>
  <c r="AF1696" i="14" l="1"/>
  <c r="AF1697" i="14" l="1"/>
  <c r="AF1698" i="14" l="1"/>
  <c r="AF1699" i="14" l="1"/>
  <c r="AF1700" i="14" l="1"/>
  <c r="AF1701" i="14" l="1"/>
  <c r="AF1702" i="14" l="1"/>
  <c r="AF1703" i="14" l="1"/>
  <c r="AF1704" i="14" l="1"/>
  <c r="AF1705" i="14" l="1"/>
  <c r="AF1706" i="14" l="1"/>
  <c r="AF1707" i="14" l="1"/>
  <c r="AF1708" i="14" l="1"/>
  <c r="AF1709" i="14" l="1"/>
  <c r="AF1710" i="14" l="1"/>
  <c r="AF1711" i="14" l="1"/>
  <c r="AF1712" i="14" l="1"/>
  <c r="AF1713" i="14" l="1"/>
  <c r="AF1714" i="14" l="1"/>
  <c r="AF1715" i="14" l="1"/>
  <c r="AF1716" i="14" l="1"/>
  <c r="AF1717" i="14" l="1"/>
  <c r="AF1718" i="14" l="1"/>
  <c r="AF1719" i="14" l="1"/>
  <c r="AF1720" i="14" l="1"/>
  <c r="AF1721" i="14" l="1"/>
  <c r="AF1722" i="14" l="1"/>
  <c r="AF1723" i="14" l="1"/>
  <c r="AF1724" i="14" l="1"/>
  <c r="AF1725" i="14" l="1"/>
  <c r="AF1726" i="14" l="1"/>
  <c r="AF1727" i="14" l="1"/>
  <c r="AF1728" i="14" l="1"/>
  <c r="AF1729" i="14" l="1"/>
  <c r="AF1730" i="14" l="1"/>
  <c r="AF1731" i="14" l="1"/>
  <c r="AF1732" i="14" l="1"/>
  <c r="AF1733" i="1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<sst xmlns="http://schemas.openxmlformats.org/spreadsheetml/2006/main" count="6155" uniqueCount="693">
  <si>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</si>
  <si>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</si>
  <si>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</si>
  <si>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</si>
  <si>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</si>
  <si>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</si>
  <si>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</si>
  <si>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</si>
  <si>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</si>
  <si>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</si>
  <si>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</si>
  <si>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</si>
  <si>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</si>
  <si>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</si>
  <si>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</si>
  <si>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</si>
  <si>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</si>
  <si>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</si>
  <si>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</si>
  <si>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</si>
  <si>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</si>
  <si>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</si>
  <si>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</si>
  <si>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</si>
  <si>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</si>
  <si>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</si>
  <si>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</si>
  <si>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</si>
  <si>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</si>
  <si>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</si>
  <si>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</si>
  <si>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</si>
  <si>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</si>
  <si>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</si>
  <si>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</si>
  <si>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</si>
  <si>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</si>
  <si>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</si>
  <si>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</si>
  <si>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</si>
  <si>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</si>
  <si>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</si>
  <si>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</si>
  <si>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</si>
  <si>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</si>
  <si>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</si>
  <si>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</si>
  <si>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</si>
  <si>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</si>
  <si>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</si>
  <si>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</si>
  <si>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</si>
  <si>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</si>
  <si>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</si>
  <si>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</si>
  <si>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</si>
  <si>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</si>
  <si>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</si>
  <si>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</si>
  <si>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</si>
  <si>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</si>
  <si>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</si>
  <si>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</si>
  <si>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</si>
  <si>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</si>
  <si>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</si>
  <si>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</si>
  <si>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</si>
  <si>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</si>
  <si>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</si>
  <si>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</si>
  <si>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</si>
  <si>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</si>
  <si>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</si>
  <si>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</si>
  <si>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</si>
  <si>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</si>
  <si>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</si>
  <si>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</si>
  <si>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</si>
  <si>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</si>
  <si>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</si>
  <si>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</si>
  <si>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</si>
  <si>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</si>
  <si>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</si>
  <si>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</si>
  <si>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</si>
  <si>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</si>
  <si>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</si>
  <si>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</si>
  <si>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</si>
  <si>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</si>
  <si>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</si>
  <si>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</si>
  <si>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</si>
  <si>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</si>
  <si>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</si>
  <si>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</si>
  <si>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</si>
  <si>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</si>
  <si>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</si>
  <si>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</si>
  <si>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</si>
  <si>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</si>
  <si>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</si>
  <si>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</si>
  <si>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</si>
  <si>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</si>
  <si>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</si>
  <si>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</si>
  <si>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</si>
  <si>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</si>
  <si>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</si>
  <si>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</si>
  <si>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</si>
  <si>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</si>
  <si>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</si>
  <si>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</si>
  <si>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</si>
  <si>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</si>
  <si>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</si>
  <si>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</si>
  <si>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</si>
  <si>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</si>
  <si>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</si>
  <si>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</si>
  <si>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</si>
  <si>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</si>
  <si>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</si>
  <si>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</si>
  <si>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</si>
  <si>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</si>
  <si>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</si>
  <si>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</si>
  <si>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</si>
  <si>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</si>
  <si>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</si>
  <si>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</si>
  <si>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</si>
  <si>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</si>
  <si>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</si>
  <si>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</si>
  <si>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</si>
  <si>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</si>
  <si>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</si>
  <si>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</si>
  <si>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</si>
  <si>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</si>
  <si>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</si>
  <si>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</si>
  <si>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</si>
  <si>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</si>
  <si>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</si>
  <si>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</si>
  <si>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</si>
  <si>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</si>
  <si>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</si>
  <si>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</si>
  <si>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</si>
  <si>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</si>
  <si>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</si>
  <si>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</si>
  <si>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</si>
  <si>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</si>
  <si>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</si>
  <si>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</si>
  <si>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</si>
  <si>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</si>
  <si>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</si>
  <si>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</si>
  <si>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</si>
  <si>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</si>
  <si>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</si>
  <si>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</si>
  <si>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</si>
  <si>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</si>
  <si>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</si>
  <si>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</si>
  <si>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</si>
  <si>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</si>
  <si>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</si>
  <si>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</si>
  <si>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</si>
  <si>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</si>
  <si>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</si>
  <si>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</si>
  <si>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</si>
  <si>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</si>
  <si>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</si>
  <si>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</si>
  <si>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</si>
  <si>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</si>
  <si>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</si>
  <si>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</si>
  <si>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</si>
  <si>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</si>
  <si>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</si>
  <si>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</si>
  <si>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</si>
  <si>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</si>
  <si>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</si>
  <si>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</si>
  <si>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</si>
  <si>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</si>
  <si>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</si>
  <si>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</si>
  <si>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</si>
  <si>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</si>
  <si>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</si>
  <si>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</si>
  <si>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</si>
  <si>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</si>
  <si>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</si>
  <si>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</si>
  <si>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</si>
  <si>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</si>
  <si>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</si>
  <si>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</si>
  <si>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</si>
  <si>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</si>
  <si>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</si>
  <si>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</si>
  <si>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</si>
  <si>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</si>
  <si>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</si>
  <si>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</si>
  <si>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</si>
  <si>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</si>
  <si>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</si>
  <si>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</si>
  <si>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</si>
  <si>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</si>
  <si>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</si>
  <si>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</si>
  <si>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</si>
  <si>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</si>
  <si>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</si>
  <si>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</si>
  <si>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</si>
  <si>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</si>
  <si>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</si>
  <si>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</si>
  <si>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</si>
  <si>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</si>
  <si>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</si>
  <si>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</si>
  <si>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</si>
  <si>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</si>
  <si>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</si>
  <si>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</si>
  <si>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</si>
  <si>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</si>
  <si>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</si>
  <si>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</si>
  <si>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</si>
  <si>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</si>
  <si>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</si>
  <si>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</si>
  <si>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</si>
  <si>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</si>
  <si>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</si>
  <si>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</si>
  <si>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</si>
  <si>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</si>
  <si>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</si>
  <si>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</si>
  <si>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</si>
  <si>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</si>
  <si>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</si>
  <si>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</si>
  <si>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</si>
  <si>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</si>
  <si>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</si>
  <si>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</si>
  <si>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</si>
  <si>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</si>
  <si>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</si>
  <si>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</si>
  <si>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</si>
  <si>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</si>
  <si>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</si>
  <si>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</si>
  <si>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</si>
  <si>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</si>
  <si>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</si>
  <si>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</si>
  <si>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</si>
  <si>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</si>
  <si>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</si>
  <si>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</si>
  <si>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</si>
  <si>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</si>
  <si>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</si>
  <si>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</si>
  <si>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</si>
  <si>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</si>
  <si>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</si>
  <si>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</si>
  <si>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</si>
  <si>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</si>
  <si>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</si>
  <si>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</si>
  <si>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</si>
  <si>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</si>
  <si>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</si>
  <si>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</si>
  <si>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</si>
  <si>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</si>
  <si>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</si>
  <si>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</si>
  <si>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</si>
  <si>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</si>
  <si>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</si>
  <si>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</si>
  <si>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</si>
  <si>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</si>
  <si>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</si>
  <si>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</si>
  <si>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</si>
  <si>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</si>
  <si>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</si>
  <si>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</si>
  <si>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</si>
  <si>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</si>
  <si>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</si>
  <si>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</si>
  <si>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</si>
  <si>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</si>
  <si>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</si>
  <si>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</si>
  <si>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</si>
  <si>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</si>
  <si>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</si>
  <si>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</si>
  <si>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</si>
  <si>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</si>
  <si>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</si>
  <si>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</si>
  <si>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</si>
  <si>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</si>
  <si>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</si>
  <si>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</si>
  <si>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</si>
  <si>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</si>
  <si>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</si>
  <si>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</si>
  <si>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</si>
  <si>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</si>
  <si>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</si>
  <si>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</si>
  <si>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</si>
  <si>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</si>
  <si>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</si>
  <si>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</si>
  <si>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</si>
  <si>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</si>
  <si>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</si>
  <si>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</si>
  <si>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</si>
  <si>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</si>
  <si>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</si>
  <si>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</si>
  <si>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</si>
  <si>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</si>
  <si>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</si>
  <si>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</si>
  <si>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</si>
  <si>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</si>
  <si>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</si>
  <si>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</si>
  <si>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</si>
  <si>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</si>
  <si>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</si>
  <si>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</si>
  <si>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</si>
  <si>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</si>
  <si>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</si>
  <si>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</si>
  <si>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</si>
  <si>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</si>
  <si>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</si>
  <si>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</si>
  <si>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</si>
  <si>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</si>
  <si>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</si>
  <si>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</si>
  <si>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</si>
  <si>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</si>
  <si>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</si>
  <si>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</si>
  <si>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</si>
  <si>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</si>
  <si>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</si>
  <si>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</si>
  <si>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</si>
  <si>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</si>
  <si>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</si>
  <si>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</si>
  <si>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</si>
  <si>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</si>
  <si>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</si>
  <si>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</si>
  <si>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</si>
  <si>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</si>
  <si>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</si>
  <si>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</si>
  <si>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</si>
  <si>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</si>
  <si>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</si>
  <si>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</si>
  <si>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</si>
  <si>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</si>
  <si>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</si>
  <si>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</si>
  <si>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</si>
  <si>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</si>
  <si>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</si>
  <si>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</si>
  <si>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</si>
  <si>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</si>
  <si>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</si>
  <si>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</si>
  <si>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</si>
  <si>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</si>
  <si>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</si>
  <si>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</si>
  <si>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</si>
  <si>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</si>
  <si>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</si>
  <si>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</si>
  <si>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</si>
  <si>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</si>
  <si>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</si>
  <si>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</si>
  <si>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</si>
  <si>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</si>
  <si>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</si>
  <si>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</si>
  <si>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</si>
  <si>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</si>
  <si>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</si>
  <si>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</si>
  <si>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</si>
  <si>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</si>
  <si>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</si>
  <si>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</si>
  <si>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</si>
  <si>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</si>
  <si>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</si>
  <si>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</si>
  <si>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</si>
  <si>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</si>
  <si>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</si>
  <si>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</si>
  <si>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</si>
  <si>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</si>
  <si>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</si>
  <si>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</si>
  <si>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</si>
  <si>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</si>
  <si>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</si>
  <si>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</si>
  <si>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</si>
  <si>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</si>
  <si>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</si>
  <si>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</si>
  <si>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</si>
  <si>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</si>
  <si>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</si>
  <si>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</si>
  <si>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</si>
  <si>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</si>
  <si>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</si>
  <si>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</si>
  <si>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</si>
  <si>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</si>
  <si>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</si>
  <si>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</si>
  <si>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</si>
  <si>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</si>
  <si>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</si>
  <si>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</si>
  <si>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</si>
  <si>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</si>
  <si>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</si>
  <si>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</si>
  <si>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</si>
  <si>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</si>
  <si>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</si>
  <si>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</si>
  <si>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</si>
  <si>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</si>
  <si>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</si>
  <si>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</si>
  <si>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</si>
  <si>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</si>
  <si>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</si>
  <si>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</si>
  <si>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</si>
  <si>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</si>
  <si>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</si>
  <si>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</si>
  <si>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</si>
  <si>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</si>
  <si>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</si>
  <si>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</si>
  <si>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</si>
  <si>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</si>
  <si>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</si>
  <si>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</si>
  <si>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</si>
  <si>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</si>
  <si>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</si>
  <si>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</si>
  <si>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</si>
  <si>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</si>
  <si>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</si>
  <si>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</si>
  <si>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</si>
  <si>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</si>
  <si>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</si>
  <si>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</si>
  <si>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</si>
  <si>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</si>
  <si>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</si>
  <si>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</si>
  <si>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</si>
  <si>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</si>
  <si>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</si>
  <si>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</si>
  <si>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</si>
  <si>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</si>
  <si>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</si>
  <si>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</si>
  <si>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</si>
  <si>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</si>
  <si>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</si>
  <si>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</si>
  <si>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</si>
  <si>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</si>
  <si>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</si>
  <si>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</si>
  <si>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</si>
  <si>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</si>
  <si>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</si>
  <si>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</si>
  <si>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</si>
  <si>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</si>
  <si>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</si>
  <si>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</si>
  <si>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</si>
  <si>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</si>
  <si>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</si>
  <si>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</si>
  <si>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</si>
  <si>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</si>
  <si>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</si>
  <si>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</si>
  <si>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</si>
  <si>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</si>
  <si>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</si>
  <si>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</si>
  <si>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</si>
  <si>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</si>
  <si>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</si>
  <si>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</si>
  <si>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</si>
  <si>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</si>
  <si>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</si>
  <si>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</si>
  <si>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</si>
  <si>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</si>
  <si>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</si>
  <si>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</si>
  <si>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</si>
  <si>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</si>
  <si>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</si>
  <si>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</si>
  <si>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</si>
  <si>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</si>
  <si>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</si>
  <si>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</si>
  <si>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</si>
  <si>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</si>
  <si>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</si>
  <si>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</si>
  <si>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</si>
  <si>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</si>
  <si>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</si>
  <si>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</si>
  <si>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</si>
  <si>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</si>
  <si>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</si>
  <si>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</si>
  <si>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</si>
  <si>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</si>
  <si>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</si>
  <si>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</si>
  <si>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</si>
  <si>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</si>
  <si>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</si>
  <si>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</si>
  <si>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</si>
  <si>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</si>
  <si>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</si>
  <si>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</si>
  <si>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</si>
  <si>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</si>
  <si>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</si>
  <si>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</si>
  <si>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</si>
  <si>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</si>
  <si>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</si>
  <si>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</si>
  <si>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</si>
  <si>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</si>
  <si>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</si>
  <si>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</si>
  <si>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</si>
  <si>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</si>
  <si>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</si>
  <si>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</si>
  <si>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</si>
  <si>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</si>
  <si>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</si>
  <si>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</si>
  <si>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</si>
  <si>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</si>
  <si>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</si>
  <si>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</si>
  <si>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</si>
  <si>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</si>
  <si>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</si>
  <si>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</si>
  <si>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</si>
  <si>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</si>
  <si>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</si>
  <si>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</si>
  <si>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</si>
  <si>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</si>
  <si>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</si>
  <si>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</si>
  <si>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</si>
  <si>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</si>
  <si>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</si>
  <si>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</si>
  <si>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</si>
  <si>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</si>
  <si>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</si>
  <si>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</si>
  <si>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</si>
  <si>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</si>
  <si>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</si>
  <si>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</si>
  <si>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</si>
  <si>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</si>
  <si>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</si>
  <si>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</si>
  <si>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</si>
  <si>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</si>
  <si>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</si>
  <si>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</si>
  <si>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</si>
  <si>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</si>
  <si>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</si>
  <si>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</si>
  <si>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</si>
  <si>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</si>
  <si>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</si>
  <si>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</si>
  <si>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</si>
  <si>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</si>
  <si>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</si>
  <si>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</si>
  <si>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</si>
  <si>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</si>
  <si>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</si>
  <si>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</si>
  <si>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</si>
  <si>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</si>
  <si>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</si>
  <si>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</si>
  <si>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</si>
  <si>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</si>
  <si>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vertAlign val="subscript"/>
        <sz val="11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</si>
  <si>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</si>
  <si>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</si>
  <si>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</si>
  <si>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</si>
  <si>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</si>
  <si>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</si>
  <si>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Q_{loss}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</si>
</sst>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9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74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13" fillId="0" borderId="40" xfId="0" applyFont="1" applyBorder="1" applyAlignment="1">
      <alignment horizontal="center"/>
    </xf>
    <xf numFmtId="0" fontId="36" fillId="0" borderId="41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5" xfId="0" applyFont="1" applyFill="1" applyBorder="1" applyAlignment="1">
      <alignment horizontal="center"/>
    </xf>
    <xf numFmtId="0" fontId="58" fillId="23" borderId="3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36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24" borderId="0" xfId="0" applyFill="1" applyAlignment="1">
      <alignment horizontal="center"/>
    </xf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6" fillId="0" borderId="40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2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4" xfId="0" applyFont="1" applyFill="1" applyBorder="1" applyAlignment="1">
      <alignment horizontal="center"/>
    </xf>
    <xf numFmtId="0" fontId="58" fillId="18" borderId="36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1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1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4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9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2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1" fillId="0" borderId="2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50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68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3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2" fillId="0" borderId="6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2" fontId="13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4" fillId="0" borderId="0" xfId="0" applyFont="1"/>
    <xf numFmtId="0" fontId="75" fillId="0" borderId="0" xfId="0" applyFont="1"/>
    <xf numFmtId="0" fontId="76" fillId="0" borderId="0" xfId="0" applyFont="1"/>
    <xf numFmtId="0" fontId="36" fillId="29" borderId="0" xfId="0" applyFont="1" applyFill="1" applyAlignment="1">
      <alignment horizontal="center"/>
    </xf>
    <xf numFmtId="0" fontId="36" fillId="30" borderId="0" xfId="0" applyFont="1" applyFill="1" applyAlignment="1">
      <alignment horizontal="center"/>
    </xf>
    <xf numFmtId="0" fontId="36" fillId="28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0" fontId="78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79" fillId="31" borderId="0" xfId="0" applyFont="1" applyFill="1" applyAlignment="1">
      <alignment horizontal="center"/>
    </xf>
    <xf numFmtId="2" fontId="36" fillId="29" borderId="0" xfId="0" applyNumberFormat="1" applyFont="1" applyFill="1" applyAlignment="1">
      <alignment horizontal="center"/>
    </xf>
    <xf numFmtId="2" fontId="36" fillId="3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/>
    </xf>
    <xf numFmtId="0" fontId="80" fillId="32" borderId="0" xfId="0" applyFont="1" applyFill="1"/>
    <xf numFmtId="0" fontId="80" fillId="32" borderId="0" xfId="0" applyFont="1" applyFill="1" applyAlignment="1">
      <alignment horizontal="center"/>
    </xf>
    <xf numFmtId="0" fontId="79" fillId="0" borderId="0" xfId="0" applyFont="1" applyAlignment="1">
      <alignment horizontal="right"/>
    </xf>
    <xf numFmtId="0" fontId="79" fillId="17" borderId="0" xfId="0" applyFont="1" applyFill="1"/>
    <xf numFmtId="0" fontId="0" fillId="32" borderId="0" xfId="0" applyFill="1"/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9" fillId="28" borderId="0" xfId="0" applyFont="1" applyFill="1" applyAlignment="1">
      <alignment horizontal="center"/>
    </xf>
    <xf numFmtId="0" fontId="20" fillId="0" borderId="0" xfId="0" applyFont="1" applyAlignment="1">
      <alignment horizontal="center" textRotation="90"/>
    </xf>
    <xf numFmtId="0" fontId="36" fillId="0" borderId="0" xfId="0" applyFont="1" applyAlignment="1">
      <alignment horizontal="center" textRotation="90"/>
    </xf>
    <xf numFmtId="0" fontId="80" fillId="29" borderId="0" xfId="0" applyFont="1" applyFill="1" applyAlignment="1">
      <alignment horizontal="center"/>
    </xf>
    <xf numFmtId="0" fontId="36" fillId="26" borderId="0" xfId="0" applyFont="1" applyFill="1" applyAlignment="1">
      <alignment horizontal="center"/>
    </xf>
    <xf numFmtId="2" fontId="36" fillId="26" borderId="0" xfId="0" applyNumberFormat="1" applyFont="1" applyFill="1" applyAlignment="1">
      <alignment horizontal="center"/>
    </xf>
    <xf numFmtId="0" fontId="16" fillId="17" borderId="0" xfId="0" applyFont="1" applyFill="1" applyAlignment="1">
      <alignment horizontal="center"/>
    </xf>
    <xf numFmtId="0" fontId="36" fillId="33" borderId="0" xfId="0" applyFont="1" applyFill="1" applyAlignment="1">
      <alignment horizontal="center"/>
    </xf>
    <xf numFmtId="0" fontId="84" fillId="0" borderId="0" xfId="0" applyFont="1" applyAlignment="1">
      <alignment horizontal="center"/>
    </xf>
    <xf numFmtId="0" fontId="36" fillId="0" borderId="0" xfId="0" quotePrefix="1" applyFont="1" applyAlignment="1">
      <alignment horizontal="center"/>
    </xf>
    <xf numFmtId="0" fontId="0" fillId="0" borderId="2" xfId="0" applyBorder="1"/>
    <xf numFmtId="0" fontId="0" fillId="0" borderId="13" xfId="0" applyBorder="1"/>
    <xf numFmtId="0" fontId="56" fillId="0" borderId="6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36" fillId="0" borderId="49" xfId="0" applyFont="1" applyBorder="1" applyAlignment="1">
      <alignment horizontal="center"/>
    </xf>
    <xf numFmtId="0" fontId="0" fillId="0" borderId="50" xfId="0" applyBorder="1" applyAlignment="1">
      <alignment horizontal="center"/>
    </xf>
    <xf numFmtId="0" fontId="13" fillId="0" borderId="50" xfId="0" applyFont="1" applyBorder="1" applyAlignment="1">
      <alignment horizontal="center"/>
    </xf>
    <xf numFmtId="0" fontId="36" fillId="0" borderId="50" xfId="0" applyFont="1" applyBorder="1" applyAlignment="1">
      <alignment horizontal="center"/>
    </xf>
    <xf numFmtId="0" fontId="36" fillId="0" borderId="51" xfId="0" applyFont="1" applyBorder="1" applyAlignment="1">
      <alignment horizontal="center"/>
    </xf>
    <xf numFmtId="0" fontId="9" fillId="0" borderId="48" xfId="0" applyFont="1" applyBorder="1" applyAlignment="1">
      <alignment horizontal="center"/>
    </xf>
    <xf numFmtId="0" fontId="0" fillId="0" borderId="0" xfId="0" applyAlignment="1">
      <alignment wrapText="1"/>
    </xf>
    <xf numFmtId="0" fontId="49" fillId="0" borderId="19" xfId="0" applyFont="1" applyBorder="1" applyAlignment="1">
      <alignment horizontal="center"/>
    </xf>
    <xf numFmtId="0" fontId="87" fillId="0" borderId="0" xfId="0" applyFont="1"/>
    <xf numFmtId="0" fontId="88" fillId="0" borderId="0" xfId="0" applyFont="1" applyAlignment="1">
      <alignment wrapText="1"/>
    </xf>
    <xf numFmtId="0" fontId="13" fillId="0" borderId="36" xfId="0" applyFont="1" applyBorder="1" applyAlignment="1">
      <alignment horizontal="center"/>
    </xf>
    <xf numFmtId="0" fontId="88" fillId="0" borderId="0" xfId="0" applyFont="1"/>
    <xf numFmtId="0" fontId="0" fillId="0" borderId="0" xfId="0" applyAlignment="1">
      <alignment vertical="center" wrapText="1"/>
    </xf>
    <xf numFmtId="0" fontId="89" fillId="0" borderId="0" xfId="0" applyFont="1" applyAlignment="1">
      <alignment horizontal="center"/>
    </xf>
    <xf numFmtId="0" fontId="91" fillId="0" borderId="0" xfId="0" applyFont="1"/>
    <xf numFmtId="0" fontId="86" fillId="5" borderId="0" xfId="0" applyFont="1" applyFill="1" applyAlignment="1">
      <alignment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6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54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0" fontId="54" fillId="0" borderId="13" xfId="0" applyFont="1" applyBorder="1" applyAlignment="1">
      <alignment horizontal="center" vertical="center"/>
    </xf>
    <xf numFmtId="0" fontId="62" fillId="0" borderId="39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0" fillId="0" borderId="12" xfId="0" applyBorder="1" applyAlignment="1">
      <alignment horizontal="center" wrapText="1"/>
    </xf>
    <xf numFmtId="0" fontId="54" fillId="0" borderId="39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50" fillId="0" borderId="0" xfId="0" applyFont="1" applyAlignment="1">
      <alignment horizontal="center" vertical="center" textRotation="90" wrapText="1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0" fillId="17" borderId="0" xfId="0" applyFont="1" applyFill="1" applyAlignment="1">
      <alignment horizontal="center" vertical="center"/>
    </xf>
    <xf numFmtId="0" fontId="68" fillId="26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wrapText="1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37" fillId="15" borderId="30" xfId="0" applyFont="1" applyFill="1" applyBorder="1" applyAlignment="1">
      <alignment horizontal="center" vertical="center"/>
    </xf>
    <xf numFmtId="0" fontId="68" fillId="26" borderId="1" xfId="0" applyFont="1" applyFill="1" applyBorder="1" applyAlignment="1">
      <alignment horizontal="center" vertical="center"/>
    </xf>
    <xf numFmtId="0" fontId="49" fillId="17" borderId="0" xfId="0" applyFont="1" applyFill="1" applyAlignment="1">
      <alignment horizontal="center" vertical="center"/>
    </xf>
    <xf numFmtId="0" fontId="54" fillId="19" borderId="0" xfId="0" applyFont="1" applyFill="1" applyAlignment="1">
      <alignment horizontal="center" vertical="center"/>
    </xf>
    <xf numFmtId="0" fontId="54" fillId="19" borderId="30" xfId="0" applyFont="1" applyFill="1" applyBorder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16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textRotation="90"/>
    </xf>
    <xf numFmtId="0" fontId="37" fillId="13" borderId="30" xfId="0" applyFont="1" applyFill="1" applyBorder="1" applyAlignment="1">
      <alignment horizontal="center" vertical="center"/>
    </xf>
    <xf numFmtId="0" fontId="9" fillId="0" borderId="43" xfId="0" applyFont="1" applyBorder="1" applyAlignment="1">
      <alignment horizontal="center" vertical="center" wrapText="1"/>
    </xf>
    <xf numFmtId="0" fontId="91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7" fillId="0" borderId="0" xfId="0" applyFont="1" applyAlignment="1">
      <alignment horizontal="center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86" fillId="5" borderId="0" xfId="0" applyFont="1" applyFill="1" applyAlignment="1">
      <alignment horizontal="center"/>
    </xf>
    <xf numFmtId="0" fontId="85" fillId="28" borderId="0" xfId="0" applyFont="1" applyFill="1" applyAlignment="1">
      <alignment horizontal="center" vertical="center"/>
    </xf>
    <xf numFmtId="0" fontId="0" fillId="0" borderId="19" xfId="0" applyBorder="1"/>
    <xf numFmtId="0" fontId="0" fillId="0" borderId="1" xfId="0" applyBorder="1"/>
    <xf numFmtId="0" fontId="0" fillId="0" borderId="11" xfId="0" applyBorder="1"/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b_c vs</a:t>
            </a:r>
            <a:r>
              <a:rPr lang="en-US" baseline="0"/>
              <a:t> </a:t>
            </a:r>
            <a:r>
              <a:rPr lang="en-US"/>
              <a:t>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'Tables for Paper'!$AH$1:$AH$2</c:f>
              <c:strCache>
                <c:ptCount val="2"/>
                <c:pt idx="0">
                  <c:v>N</c:v>
                </c:pt>
                <c:pt idx="1">
                  <c:v>[mol]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'Tables for Paper'!$AG$3:$AG$1739</c:f>
              <c:numCache>
                <c:formatCode>General</c:formatCode>
                <c:ptCount val="1737"/>
                <c:pt idx="0">
                  <c:v>-0.11409640708038887</c:v>
                </c:pt>
                <c:pt idx="1">
                  <c:v>-0.12290853162764798</c:v>
                </c:pt>
                <c:pt idx="2">
                  <c:v>-0.12377700194328688</c:v>
                </c:pt>
                <c:pt idx="3">
                  <c:v>-0.12464324018188498</c:v>
                </c:pt>
                <c:pt idx="4">
                  <c:v>-0.12550726627323353</c:v>
                </c:pt>
                <c:pt idx="5">
                  <c:v>-0.12636909979437022</c:v>
                </c:pt>
                <c:pt idx="6">
                  <c:v>-0.12722875997886265</c:v>
                </c:pt>
                <c:pt idx="7">
                  <c:v>-0.1280862657257687</c:v>
                </c:pt>
                <c:pt idx="8">
                  <c:v>-0.12894163560828839</c:v>
                </c:pt>
                <c:pt idx="9">
                  <c:v>-0.12979488788211926</c:v>
                </c:pt>
                <c:pt idx="10">
                  <c:v>-0.13064604049352918</c:v>
                </c:pt>
                <c:pt idx="11">
                  <c:v>-0.13149511108715722</c:v>
                </c:pt>
                <c:pt idx="12">
                  <c:v>-0.13234211701355497</c:v>
                </c:pt>
                <c:pt idx="13">
                  <c:v>-0.13318707533647806</c:v>
                </c:pt>
                <c:pt idx="14">
                  <c:v>-0.13403000283993891</c:v>
                </c:pt>
                <c:pt idx="15">
                  <c:v>-0.13487091603503021</c:v>
                </c:pt>
                <c:pt idx="16">
                  <c:v>-0.13570983116652788</c:v>
                </c:pt>
                <c:pt idx="17">
                  <c:v>-0.13654676421928308</c:v>
                </c:pt>
                <c:pt idx="18">
                  <c:v>-0.13738173092441108</c:v>
                </c:pt>
                <c:pt idx="19">
                  <c:v>-0.13821474676528531</c:v>
                </c:pt>
                <c:pt idx="20">
                  <c:v>-0.13904582698334408</c:v>
                </c:pt>
                <c:pt idx="21">
                  <c:v>-0.13987498658371716</c:v>
                </c:pt>
                <c:pt idx="22">
                  <c:v>-0.14070224034067932</c:v>
                </c:pt>
                <c:pt idx="23">
                  <c:v>-0.14152760280293722</c:v>
                </c:pt>
                <c:pt idx="24">
                  <c:v>-0.14235108829875615</c:v>
                </c:pt>
                <c:pt idx="25">
                  <c:v>-0.14317271094093273</c:v>
                </c:pt>
                <c:pt idx="26">
                  <c:v>-0.14399248463161887</c:v>
                </c:pt>
                <c:pt idx="27">
                  <c:v>-0.14481042306700298</c:v>
                </c:pt>
                <c:pt idx="28">
                  <c:v>-0.14562653974185338</c:v>
                </c:pt>
                <c:pt idx="29">
                  <c:v>-0.14644084795392934</c:v>
                </c:pt>
                <c:pt idx="30">
                  <c:v>-0.14725336080826371</c:v>
                </c:pt>
                <c:pt idx="31">
                  <c:v>-0.14806409122132297</c:v>
                </c:pt>
                <c:pt idx="32">
                  <c:v>-0.14887305192504782</c:v>
                </c:pt>
                <c:pt idx="33">
                  <c:v>-0.1496802554707794</c:v>
                </c:pt>
                <c:pt idx="34">
                  <c:v>-0.15048571423307514</c:v>
                </c:pt>
                <c:pt idx="35">
                  <c:v>-0.15128944041341738</c:v>
                </c:pt>
                <c:pt idx="36">
                  <c:v>-0.15209144604381936</c:v>
                </c:pt>
                <c:pt idx="37">
                  <c:v>-0.15289174299033151</c:v>
                </c:pt>
                <c:pt idx="38">
                  <c:v>-0.15369034295645176</c:v>
                </c:pt>
                <c:pt idx="39">
                  <c:v>-0.15448725748644312</c:v>
                </c:pt>
                <c:pt idx="40">
                  <c:v>-0.15528249796856147</c:v>
                </c:pt>
                <c:pt idx="41">
                  <c:v>-0.15607607563819673</c:v>
                </c:pt>
                <c:pt idx="42">
                  <c:v>-0.15686800158093009</c:v>
                </c:pt>
                <c:pt idx="43">
                  <c:v>-0.15765828673551088</c:v>
                </c:pt>
                <c:pt idx="44">
                  <c:v>-0.15844694189675423</c:v>
                </c:pt>
                <c:pt idx="45">
                  <c:v>-0.15923397771836356</c:v>
                </c:pt>
                <c:pt idx="46">
                  <c:v>-0.16001940471567958</c:v>
                </c:pt>
                <c:pt idx="47">
                  <c:v>-0.16080323326835835</c:v>
                </c:pt>
                <c:pt idx="48">
                  <c:v>-0.16158547362298067</c:v>
                </c:pt>
                <c:pt idx="49">
                  <c:v>-0.1623661358955949</c:v>
                </c:pt>
                <c:pt idx="50">
                  <c:v>-0.16314523007419576</c:v>
                </c:pt>
                <c:pt idx="51">
                  <c:v>-0.16392276602114011</c:v>
                </c:pt>
                <c:pt idx="52">
                  <c:v>-0.164698753475503</c:v>
                </c:pt>
                <c:pt idx="53">
                  <c:v>-0.16547320205537494</c:v>
                </c:pt>
                <c:pt idx="54">
                  <c:v>-0.16624612126010213</c:v>
                </c:pt>
                <c:pt idx="55">
                  <c:v>-0.16701752047247229</c:v>
                </c:pt>
                <c:pt idx="56">
                  <c:v>-0.16778740896084668</c:v>
                </c:pt>
                <c:pt idx="57">
                  <c:v>-0.16855579588124078</c:v>
                </c:pt>
                <c:pt idx="58">
                  <c:v>-0.16932269027935459</c:v>
                </c:pt>
                <c:pt idx="59">
                  <c:v>-0.1700881010925544</c:v>
                </c:pt>
                <c:pt idx="60">
                  <c:v>-0.17085203715180744</c:v>
                </c:pt>
                <c:pt idx="61">
                  <c:v>-0.17161450718357055</c:v>
                </c:pt>
                <c:pt idx="62">
                  <c:v>-0.17237551981163457</c:v>
                </c:pt>
                <c:pt idx="63">
                  <c:v>-0.17313508355892568</c:v>
                </c:pt>
                <c:pt idx="64">
                  <c:v>-0.17389320684926443</c:v>
                </c:pt>
                <c:pt idx="65">
                  <c:v>-0.17464989800908462</c:v>
                </c:pt>
                <c:pt idx="66">
                  <c:v>-0.17540516526911223</c:v>
                </c:pt>
                <c:pt idx="67">
                  <c:v>-0.17615901676600643</c:v>
                </c:pt>
                <c:pt idx="68">
                  <c:v>-0.1769114605439627</c:v>
                </c:pt>
                <c:pt idx="69">
                  <c:v>-0.17766250455628024</c:v>
                </c:pt>
                <c:pt idx="70">
                  <c:v>-0.17841215666689386</c:v>
                </c:pt>
                <c:pt idx="71">
                  <c:v>-0.17916042465187193</c:v>
                </c:pt>
                <c:pt idx="72">
                  <c:v>-0.17990731620088063</c:v>
                </c:pt>
                <c:pt idx="73">
                  <c:v>-0.18065283891861622</c:v>
                </c:pt>
                <c:pt idx="74">
                  <c:v>-0.1813970003262054</c:v>
                </c:pt>
                <c:pt idx="75">
                  <c:v>-0.1821398078625758</c:v>
                </c:pt>
                <c:pt idx="76">
                  <c:v>-0.18288126888579581</c:v>
                </c:pt>
                <c:pt idx="77">
                  <c:v>-0.18362139067438596</c:v>
                </c:pt>
                <c:pt idx="78">
                  <c:v>-0.18436018042860194</c:v>
                </c:pt>
                <c:pt idx="79">
                  <c:v>-0.18509764527169037</c:v>
                </c:pt>
                <c:pt idx="80">
                  <c:v>-0.18583379225111749</c:v>
                </c:pt>
                <c:pt idx="81">
                  <c:v>-0.18656862833977214</c:v>
                </c:pt>
                <c:pt idx="82">
                  <c:v>-0.18730216043714334</c:v>
                </c:pt>
                <c:pt idx="83">
                  <c:v>-0.18803439537047312</c:v>
                </c:pt>
                <c:pt idx="84">
                  <c:v>-0.1887653398958854</c:v>
                </c:pt>
                <c:pt idx="85">
                  <c:v>-0.18949500069949157</c:v>
                </c:pt>
                <c:pt idx="86">
                  <c:v>-0.19022338439847319</c:v>
                </c:pt>
                <c:pt idx="87">
                  <c:v>-0.19095049754214222</c:v>
                </c:pt>
                <c:pt idx="88">
                  <c:v>-0.19167634661298011</c:v>
                </c:pt>
                <c:pt idx="89">
                  <c:v>-0.19240093802765551</c:v>
                </c:pt>
                <c:pt idx="90">
                  <c:v>-0.19312427813802133</c:v>
                </c:pt>
                <c:pt idx="91">
                  <c:v>-0.19384637323209206</c:v>
                </c:pt>
                <c:pt idx="92">
                  <c:v>-0.19456722953500108</c:v>
                </c:pt>
                <c:pt idx="93">
                  <c:v>-0.19528685320993955</c:v>
                </c:pt>
                <c:pt idx="94">
                  <c:v>-0.19600525035907607</c:v>
                </c:pt>
                <c:pt idx="95">
                  <c:v>-0.19672242702445872</c:v>
                </c:pt>
                <c:pt idx="96">
                  <c:v>-0.19743838918889894</c:v>
                </c:pt>
                <c:pt idx="97">
                  <c:v>-0.19815314277683874</c:v>
                </c:pt>
                <c:pt idx="98">
                  <c:v>-0.19886669365520052</c:v>
                </c:pt>
                <c:pt idx="99">
                  <c:v>-0.1995790476342208</c:v>
                </c:pt>
                <c:pt idx="100">
                  <c:v>-0.20029021046826778</c:v>
                </c:pt>
                <c:pt idx="101">
                  <c:v>-0.20100018785664328</c:v>
                </c:pt>
                <c:pt idx="102">
                  <c:v>-0.20170898544436949</c:v>
                </c:pt>
                <c:pt idx="103">
                  <c:v>-0.20241660882296059</c:v>
                </c:pt>
                <c:pt idx="104">
                  <c:v>-0.20312306353118018</c:v>
                </c:pt>
                <c:pt idx="105">
                  <c:v>-0.20382835505578395</c:v>
                </c:pt>
                <c:pt idx="106">
                  <c:v>-0.20453248883224903</c:v>
                </c:pt>
                <c:pt idx="107">
                  <c:v>-0.20523547024548944</c:v>
                </c:pt>
                <c:pt idx="108">
                  <c:v>-0.20593730463055826</c:v>
                </c:pt>
                <c:pt idx="109">
                  <c:v>-0.20663799727333718</c:v>
                </c:pt>
                <c:pt idx="110">
                  <c:v>-0.20733755341121288</c:v>
                </c:pt>
                <c:pt idx="111">
                  <c:v>-0.20803597823374168</c:v>
                </c:pt>
                <c:pt idx="112">
                  <c:v>-0.20873327688330154</c:v>
                </c:pt>
                <c:pt idx="113">
                  <c:v>-0.20942945445573266</c:v>
                </c:pt>
                <c:pt idx="114">
                  <c:v>-0.21012451600096613</c:v>
                </c:pt>
                <c:pt idx="115">
                  <c:v>-0.21081846652364195</c:v>
                </c:pt>
                <c:pt idx="116">
                  <c:v>-0.21151131098371523</c:v>
                </c:pt>
                <c:pt idx="117">
                  <c:v>-0.21220305429705219</c:v>
                </c:pt>
                <c:pt idx="118">
                  <c:v>-0.21289370133601546</c:v>
                </c:pt>
                <c:pt idx="119">
                  <c:v>-0.2135832569300388</c:v>
                </c:pt>
                <c:pt idx="120">
                  <c:v>-0.21427172586619217</c:v>
                </c:pt>
                <c:pt idx="121">
                  <c:v>-0.21495911288973676</c:v>
                </c:pt>
                <c:pt idx="122">
                  <c:v>-0.2156454227046701</c:v>
                </c:pt>
                <c:pt idx="123">
                  <c:v>-0.21633065997426207</c:v>
                </c:pt>
                <c:pt idx="124">
                  <c:v>-0.21701482932158167</c:v>
                </c:pt>
                <c:pt idx="125">
                  <c:v>-0.21769793533001455</c:v>
                </c:pt>
                <c:pt idx="126">
                  <c:v>-0.21837998254377161</c:v>
                </c:pt>
                <c:pt idx="127">
                  <c:v>-0.21906097546838946</c:v>
                </c:pt>
                <c:pt idx="128">
                  <c:v>-0.21974091857122169</c:v>
                </c:pt>
                <c:pt idx="129">
                  <c:v>-0.22041981628192242</c:v>
                </c:pt>
                <c:pt idx="130">
                  <c:v>-0.22109767299292152</c:v>
                </c:pt>
                <c:pt idx="131">
                  <c:v>-0.22177449305989172</c:v>
                </c:pt>
                <c:pt idx="132">
                  <c:v>-0.22245028080220819</c:v>
                </c:pt>
                <c:pt idx="133">
                  <c:v>-0.22312504050340032</c:v>
                </c:pt>
                <c:pt idx="134">
                  <c:v>-0.22379877641159623</c:v>
                </c:pt>
                <c:pt idx="135">
                  <c:v>-0.22447149273995959</c:v>
                </c:pt>
                <c:pt idx="136">
                  <c:v>-0.2251431936671198</c:v>
                </c:pt>
                <c:pt idx="137">
                  <c:v>-0.2258138833375945</c:v>
                </c:pt>
                <c:pt idx="138">
                  <c:v>-0.22648356586220603</c:v>
                </c:pt>
                <c:pt idx="139">
                  <c:v>-0.22715224531849024</c:v>
                </c:pt>
                <c:pt idx="140">
                  <c:v>-0.22781992575109955</c:v>
                </c:pt>
                <c:pt idx="141">
                  <c:v>-0.22848661117219876</c:v>
                </c:pt>
                <c:pt idx="142">
                  <c:v>-0.2291523055618552</c:v>
                </c:pt>
                <c:pt idx="143">
                  <c:v>-0.22981701286842227</c:v>
                </c:pt>
                <c:pt idx="144">
                  <c:v>-0.23048073700891694</c:v>
                </c:pt>
                <c:pt idx="145">
                  <c:v>-0.2311434818693914</c:v>
                </c:pt>
                <c:pt idx="146">
                  <c:v>-0.23180525130529872</c:v>
                </c:pt>
                <c:pt idx="147">
                  <c:v>-0.23246604914185298</c:v>
                </c:pt>
                <c:pt idx="148">
                  <c:v>-0.23312587917438354</c:v>
                </c:pt>
                <c:pt idx="149">
                  <c:v>-0.23378474516868372</c:v>
                </c:pt>
                <c:pt idx="150">
                  <c:v>-0.23444265086135466</c:v>
                </c:pt>
                <c:pt idx="151">
                  <c:v>-0.23509959996014304</c:v>
                </c:pt>
                <c:pt idx="152">
                  <c:v>-0.23575559614427438</c:v>
                </c:pt>
                <c:pt idx="153">
                  <c:v>-0.23641064306478052</c:v>
                </c:pt>
                <c:pt idx="154">
                  <c:v>-0.23706474434482266</c:v>
                </c:pt>
                <c:pt idx="155">
                  <c:v>-0.23771790358000944</c:v>
                </c:pt>
                <c:pt idx="156">
                  <c:v>-0.23837012433870952</c:v>
                </c:pt>
                <c:pt idx="157">
                  <c:v>-0.23902141016236045</c:v>
                </c:pt>
                <c:pt idx="158">
                  <c:v>-0.23967176456577235</c:v>
                </c:pt>
                <c:pt idx="159">
                  <c:v>-0.24032119103742677</c:v>
                </c:pt>
                <c:pt idx="160">
                  <c:v>-0.24096969303977184</c:v>
                </c:pt>
                <c:pt idx="161">
                  <c:v>-0.24161727400951225</c:v>
                </c:pt>
                <c:pt idx="162">
                  <c:v>-0.24226393735789539</c:v>
                </c:pt>
                <c:pt idx="163">
                  <c:v>-0.24290968647099354</c:v>
                </c:pt>
                <c:pt idx="164">
                  <c:v>-0.24355452470998082</c:v>
                </c:pt>
                <c:pt idx="165">
                  <c:v>-0.24419845541140753</c:v>
                </c:pt>
                <c:pt idx="166">
                  <c:v>-0.24484148188746921</c:v>
                </c:pt>
                <c:pt idx="167">
                  <c:v>-0.24548360742627257</c:v>
                </c:pt>
                <c:pt idx="168">
                  <c:v>-0.24612483529209742</c:v>
                </c:pt>
                <c:pt idx="169">
                  <c:v>-0.24676516872565452</c:v>
                </c:pt>
                <c:pt idx="170">
                  <c:v>-0.24740461094434005</c:v>
                </c:pt>
                <c:pt idx="171">
                  <c:v>-0.24804316514248623</c:v>
                </c:pt>
                <c:pt idx="172">
                  <c:v>-0.24868083449160844</c:v>
                </c:pt>
                <c:pt idx="173">
                  <c:v>-0.24931762214064898</c:v>
                </c:pt>
                <c:pt idx="174">
                  <c:v>-0.24995353121621702</c:v>
                </c:pt>
                <c:pt idx="175">
                  <c:v>-0.25058856482282532</c:v>
                </c:pt>
                <c:pt idx="176">
                  <c:v>-0.2512227260431239</c:v>
                </c:pt>
                <c:pt idx="177">
                  <c:v>-0.25185601793812995</c:v>
                </c:pt>
                <c:pt idx="178">
                  <c:v>-0.25248844354745476</c:v>
                </c:pt>
                <c:pt idx="179">
                  <c:v>-0.2531200058895276</c:v>
                </c:pt>
                <c:pt idx="180">
                  <c:v>-0.25375070796181626</c:v>
                </c:pt>
                <c:pt idx="181">
                  <c:v>-0.25438055274104471</c:v>
                </c:pt>
                <c:pt idx="182">
                  <c:v>-0.25500954318340757</c:v>
                </c:pt>
                <c:pt idx="183">
                  <c:v>-0.25563768222478211</c:v>
                </c:pt>
                <c:pt idx="184">
                  <c:v>-0.25626497278093646</c:v>
                </c:pt>
                <c:pt idx="185">
                  <c:v>-0.25689141774773577</c:v>
                </c:pt>
                <c:pt idx="186">
                  <c:v>-0.25751702000134563</c:v>
                </c:pt>
                <c:pt idx="187">
                  <c:v>-0.25814178239843172</c:v>
                </c:pt>
                <c:pt idx="188">
                  <c:v>-0.25876570777635804</c:v>
                </c:pt>
                <c:pt idx="189">
                  <c:v>-0.25938879895338157</c:v>
                </c:pt>
                <c:pt idx="190">
                  <c:v>-0.26001105872884472</c:v>
                </c:pt>
                <c:pt idx="191">
                  <c:v>-0.26063248988336513</c:v>
                </c:pt>
                <c:pt idx="192">
                  <c:v>-0.26125309517902279</c:v>
                </c:pt>
                <c:pt idx="193">
                  <c:v>-0.26187287735954506</c:v>
                </c:pt>
                <c:pt idx="194">
                  <c:v>-0.26249183915048868</c:v>
                </c:pt>
                <c:pt idx="195">
                  <c:v>-0.26310998325941976</c:v>
                </c:pt>
                <c:pt idx="196">
                  <c:v>-0.26372731237609165</c:v>
                </c:pt>
                <c:pt idx="197">
                  <c:v>-0.26434382917261967</c:v>
                </c:pt>
                <c:pt idx="198">
                  <c:v>-0.26495953630365415</c:v>
                </c:pt>
                <c:pt idx="199">
                  <c:v>-0.26557443640655148</c:v>
                </c:pt>
                <c:pt idx="200">
                  <c:v>-0.26618853210154197</c:v>
                </c:pt>
                <c:pt idx="201">
                  <c:v>-0.26680182599189667</c:v>
                </c:pt>
                <c:pt idx="202">
                  <c:v>-0.26741432066409104</c:v>
                </c:pt>
                <c:pt idx="203">
                  <c:v>-0.26802601868796733</c:v>
                </c:pt>
                <c:pt idx="204">
                  <c:v>-0.26863692261689431</c:v>
                </c:pt>
                <c:pt idx="205">
                  <c:v>-0.26924703498792513</c:v>
                </c:pt>
                <c:pt idx="206">
                  <c:v>-0.26985635832195337</c:v>
                </c:pt>
                <c:pt idx="207">
                  <c:v>-0.2704648951238669</c:v>
                </c:pt>
                <c:pt idx="208">
                  <c:v>-0.27107264788269958</c:v>
                </c:pt>
                <c:pt idx="209">
                  <c:v>-0.27167961907178173</c:v>
                </c:pt>
                <c:pt idx="210">
                  <c:v>-0.27228581114888795</c:v>
                </c:pt>
                <c:pt idx="211">
                  <c:v>-0.27289122655638359</c:v>
                </c:pt>
                <c:pt idx="212">
                  <c:v>-0.27349586772136908</c:v>
                </c:pt>
                <c:pt idx="213">
                  <c:v>-0.27409973705582263</c:v>
                </c:pt>
                <c:pt idx="214">
                  <c:v>-0.27470283695674119</c:v>
                </c:pt>
                <c:pt idx="215">
                  <c:v>-0.27530516980627961</c:v>
                </c:pt>
                <c:pt idx="216">
                  <c:v>-0.27590673797188797</c:v>
                </c:pt>
                <c:pt idx="217">
                  <c:v>-0.27650754380644721</c:v>
                </c:pt>
                <c:pt idx="218">
                  <c:v>-0.27710758964840354</c:v>
                </c:pt>
                <c:pt idx="219">
                  <c:v>-0.27770687782190062</c:v>
                </c:pt>
                <c:pt idx="220">
                  <c:v>-0.2783054106369105</c:v>
                </c:pt>
                <c:pt idx="221">
                  <c:v>-0.27890319038936268</c:v>
                </c:pt>
                <c:pt idx="222">
                  <c:v>-0.27950021936127184</c:v>
                </c:pt>
                <c:pt idx="223">
                  <c:v>-0.2800964998208641</c:v>
                </c:pt>
                <c:pt idx="224">
                  <c:v>-0.28069203402270143</c:v>
                </c:pt>
                <c:pt idx="225">
                  <c:v>-0.28128682420780488</c:v>
                </c:pt>
                <c:pt idx="226">
                  <c:v>-0.2818808726037762</c:v>
                </c:pt>
                <c:pt idx="227">
                  <c:v>-0.28247418142491776</c:v>
                </c:pt>
                <c:pt idx="228">
                  <c:v>-0.28306675287235167</c:v>
                </c:pt>
                <c:pt idx="229">
                  <c:v>-0.283658589134137</c:v>
                </c:pt>
                <c:pt idx="230">
                  <c:v>-0.2842496923853855</c:v>
                </c:pt>
                <c:pt idx="231">
                  <c:v>-0.28484006478837637</c:v>
                </c:pt>
                <c:pt idx="232">
                  <c:v>-0.28542970849266958</c:v>
                </c:pt>
                <c:pt idx="233">
                  <c:v>-0.28601862563521763</c:v>
                </c:pt>
                <c:pt idx="234">
                  <c:v>-0.28660681834047613</c:v>
                </c:pt>
                <c:pt idx="235">
                  <c:v>-0.287194288720513</c:v>
                </c:pt>
                <c:pt idx="236">
                  <c:v>-0.28778103887511691</c:v>
                </c:pt>
                <c:pt idx="237">
                  <c:v>-0.28836707089190367</c:v>
                </c:pt>
                <c:pt idx="238">
                  <c:v>-0.28895238684642188</c:v>
                </c:pt>
                <c:pt idx="239">
                  <c:v>-0.28953698880225726</c:v>
                </c:pt>
                <c:pt idx="240">
                  <c:v>-0.2901208788111358</c:v>
                </c:pt>
                <c:pt idx="241">
                  <c:v>-0.2907040589130257</c:v>
                </c:pt>
                <c:pt idx="242">
                  <c:v>-0.29128653113623831</c:v>
                </c:pt>
                <c:pt idx="243">
                  <c:v>-0.2918682974975273</c:v>
                </c:pt>
                <c:pt idx="244">
                  <c:v>-0.29244936000218774</c:v>
                </c:pt>
                <c:pt idx="245">
                  <c:v>-0.293029720644153</c:v>
                </c:pt>
                <c:pt idx="246">
                  <c:v>-0.29360938140609139</c:v>
                </c:pt>
                <c:pt idx="247">
                  <c:v>-0.29418834425950124</c:v>
                </c:pt>
                <c:pt idx="248">
                  <c:v>-0.29476661116480479</c:v>
                </c:pt>
                <c:pt idx="249">
                  <c:v>-0.2953441840714417</c:v>
                </c:pt>
                <c:pt idx="250">
                  <c:v>-0.29592106491796077</c:v>
                </c:pt>
                <c:pt idx="251">
                  <c:v>-0.2964972556321111</c:v>
                </c:pt>
                <c:pt idx="252">
                  <c:v>-0.29707275813093181</c:v>
                </c:pt>
                <c:pt idx="253">
                  <c:v>-0.29764757432084166</c:v>
                </c:pt>
                <c:pt idx="254">
                  <c:v>-0.2982217060977263</c:v>
                </c:pt>
                <c:pt idx="255">
                  <c:v>-0.29879515534702594</c:v>
                </c:pt>
                <c:pt idx="256">
                  <c:v>-0.29936792394382095</c:v>
                </c:pt>
                <c:pt idx="257">
                  <c:v>-0.29994001375291751</c:v>
                </c:pt>
                <c:pt idx="258">
                  <c:v>-0.30051142662893143</c:v>
                </c:pt>
                <c:pt idx="259">
                  <c:v>-0.30108216441637153</c:v>
                </c:pt>
                <c:pt idx="260">
                  <c:v>-0.30165222894972227</c:v>
                </c:pt>
                <c:pt idx="261">
                  <c:v>-0.30222162205352476</c:v>
                </c:pt>
                <c:pt idx="262">
                  <c:v>-0.30279034554245798</c:v>
                </c:pt>
                <c:pt idx="263">
                  <c:v>-0.30335840122141816</c:v>
                </c:pt>
                <c:pt idx="264">
                  <c:v>-0.30392579088559779</c:v>
                </c:pt>
                <c:pt idx="265">
                  <c:v>-0.3044925163205634</c:v>
                </c:pt>
                <c:pt idx="266">
                  <c:v>-0.30505857930233321</c:v>
                </c:pt>
                <c:pt idx="267">
                  <c:v>-0.30562398159745341</c:v>
                </c:pt>
                <c:pt idx="268">
                  <c:v>-0.30618872496307342</c:v>
                </c:pt>
                <c:pt idx="269">
                  <c:v>-0.30675281114702085</c:v>
                </c:pt>
                <c:pt idx="270">
                  <c:v>-0.30731624188787576</c:v>
                </c:pt>
                <c:pt idx="271">
                  <c:v>-0.30787901891504332</c:v>
                </c:pt>
                <c:pt idx="272">
                  <c:v>-0.30844114394882682</c:v>
                </c:pt>
                <c:pt idx="273">
                  <c:v>-0.30900261870049894</c:v>
                </c:pt>
                <c:pt idx="274">
                  <c:v>-0.30956344487237264</c:v>
                </c:pt>
                <c:pt idx="275">
                  <c:v>-0.31012362415787159</c:v>
                </c:pt>
                <c:pt idx="276">
                  <c:v>-0.3106831582415997</c:v>
                </c:pt>
                <c:pt idx="277">
                  <c:v>-0.31124204879940942</c:v>
                </c:pt>
                <c:pt idx="278">
                  <c:v>-0.31180029749846999</c:v>
                </c:pt>
                <c:pt idx="279">
                  <c:v>-0.31235790599733498</c:v>
                </c:pt>
                <c:pt idx="280">
                  <c:v>-0.31291487594600847</c:v>
                </c:pt>
                <c:pt idx="281">
                  <c:v>-0.31347120898601138</c:v>
                </c:pt>
                <c:pt idx="282">
                  <c:v>-0.31402690675044631</c:v>
                </c:pt>
                <c:pt idx="283">
                  <c:v>-0.31458197086406253</c:v>
                </c:pt>
                <c:pt idx="284">
                  <c:v>-0.31513640294331985</c:v>
                </c:pt>
                <c:pt idx="285">
                  <c:v>-0.31569020459645153</c:v>
                </c:pt>
                <c:pt idx="286">
                  <c:v>-0.31624337742352743</c:v>
                </c:pt>
                <c:pt idx="287">
                  <c:v>-0.31679592301651555</c:v>
                </c:pt>
                <c:pt idx="288">
                  <c:v>-0.31734784295934376</c:v>
                </c:pt>
                <c:pt idx="289">
                  <c:v>-0.31789913882796039</c:v>
                </c:pt>
                <c:pt idx="290">
                  <c:v>-0.31844981219039448</c:v>
                </c:pt>
                <c:pt idx="291">
                  <c:v>-0.31899986460681501</c:v>
                </c:pt>
                <c:pt idx="292">
                  <c:v>-0.31954929762959033</c:v>
                </c:pt>
                <c:pt idx="293">
                  <c:v>-0.32009811280334627</c:v>
                </c:pt>
                <c:pt idx="294">
                  <c:v>-0.32064631166502378</c:v>
                </c:pt>
                <c:pt idx="295">
                  <c:v>-0.32119389574393636</c:v>
                </c:pt>
                <c:pt idx="296">
                  <c:v>-0.32174086656182671</c:v>
                </c:pt>
                <c:pt idx="297">
                  <c:v>-0.32228722563292261</c:v>
                </c:pt>
                <c:pt idx="298">
                  <c:v>-0.32283297446399262</c:v>
                </c:pt>
                <c:pt idx="299">
                  <c:v>-0.32337811455440102</c:v>
                </c:pt>
                <c:pt idx="300">
                  <c:v>-0.32392264739616222</c:v>
                </c:pt>
                <c:pt idx="301">
                  <c:v>-0.32446657447399463</c:v>
                </c:pt>
                <c:pt idx="302">
                  <c:v>-0.32500989726537433</c:v>
                </c:pt>
                <c:pt idx="303">
                  <c:v>-0.32555261724058748</c:v>
                </c:pt>
                <c:pt idx="304">
                  <c:v>-0.32609473586278298</c:v>
                </c:pt>
                <c:pt idx="305">
                  <c:v>-0.32663625458802426</c:v>
                </c:pt>
                <c:pt idx="306">
                  <c:v>-0.32717717486534059</c:v>
                </c:pt>
                <c:pt idx="307">
                  <c:v>-0.32771749813677797</c:v>
                </c:pt>
                <c:pt idx="308">
                  <c:v>-0.32825722583744954</c:v>
                </c:pt>
                <c:pt idx="309">
                  <c:v>-0.32879635939558516</c:v>
                </c:pt>
                <c:pt idx="310">
                  <c:v>-0.32933490023258116</c:v>
                </c:pt>
                <c:pt idx="311">
                  <c:v>-0.32987284976304931</c:v>
                </c:pt>
                <c:pt idx="312">
                  <c:v>-0.33041020939486482</c:v>
                </c:pt>
                <c:pt idx="313">
                  <c:v>-0.3309469805292149</c:v>
                </c:pt>
                <c:pt idx="314">
                  <c:v>-0.3314831645606458</c:v>
                </c:pt>
                <c:pt idx="315">
                  <c:v>-0.3320187628771103</c:v>
                </c:pt>
                <c:pt idx="316">
                  <c:v>-0.33255377686001425</c:v>
                </c:pt>
                <c:pt idx="317">
                  <c:v>-0.33308820788426263</c:v>
                </c:pt>
                <c:pt idx="318">
                  <c:v>-0.33362205731830552</c:v>
                </c:pt>
                <c:pt idx="319">
                  <c:v>-0.33415532652418334</c:v>
                </c:pt>
                <c:pt idx="320">
                  <c:v>-0.33468801685757188</c:v>
                </c:pt>
                <c:pt idx="321">
                  <c:v>-0.33522012966782672</c:v>
                </c:pt>
                <c:pt idx="322">
                  <c:v>-0.33575166629802733</c:v>
                </c:pt>
                <c:pt idx="323">
                  <c:v>-0.33628262808502074</c:v>
                </c:pt>
                <c:pt idx="324">
                  <c:v>-0.33681301635946487</c:v>
                </c:pt>
                <c:pt idx="325">
                  <c:v>-0.3373428324458716</c:v>
                </c:pt>
                <c:pt idx="326">
                  <c:v>-0.33787207766264871</c:v>
                </c:pt>
                <c:pt idx="327">
                  <c:v>-0.33840075332214253</c:v>
                </c:pt>
                <c:pt idx="328">
                  <c:v>-0.33892886073067946</c:v>
                </c:pt>
                <c:pt idx="329">
                  <c:v>-0.33945640118860715</c:v>
                </c:pt>
                <c:pt idx="330">
                  <c:v>-0.33998337599033568</c:v>
                </c:pt>
                <c:pt idx="331">
                  <c:v>-0.3405097864243779</c:v>
                </c:pt>
                <c:pt idx="332">
                  <c:v>-0.34103563377338997</c:v>
                </c:pt>
                <c:pt idx="333">
                  <c:v>-0.34156091931421084</c:v>
                </c:pt>
                <c:pt idx="334">
                  <c:v>-0.34208564431790189</c:v>
                </c:pt>
                <c:pt idx="335">
                  <c:v>-0.34260981004978619</c:v>
                </c:pt>
                <c:pt idx="336">
                  <c:v>-0.34313341776948697</c:v>
                </c:pt>
                <c:pt idx="337">
                  <c:v>-0.34365646873096634</c:v>
                </c:pt>
                <c:pt idx="338">
                  <c:v>-0.34417896418256327</c:v>
                </c:pt>
                <c:pt idx="339">
                  <c:v>-0.34470090536703119</c:v>
                </c:pt>
                <c:pt idx="340">
                  <c:v>-0.34522229352157552</c:v>
                </c:pt>
                <c:pt idx="341">
                  <c:v>-0.34574312987789091</c:v>
                </c:pt>
                <c:pt idx="342">
                  <c:v>-0.34626341566219759</c:v>
                </c:pt>
                <c:pt idx="343">
                  <c:v>-0.34678315209527805</c:v>
                </c:pt>
                <c:pt idx="344">
                  <c:v>-0.34730234039251312</c:v>
                </c:pt>
                <c:pt idx="345">
                  <c:v>-0.34782098176391768</c:v>
                </c:pt>
                <c:pt idx="346">
                  <c:v>-0.34833907741417613</c:v>
                </c:pt>
                <c:pt idx="347">
                  <c:v>-0.34885662854267757</c:v>
                </c:pt>
                <c:pt idx="348">
                  <c:v>-0.34937363634355051</c:v>
                </c:pt>
                <c:pt idx="349">
                  <c:v>-0.34989010200569753</c:v>
                </c:pt>
                <c:pt idx="350">
                  <c:v>-0.35040602671282961</c:v>
                </c:pt>
                <c:pt idx="351">
                  <c:v>-0.35092141164349988</c:v>
                </c:pt>
                <c:pt idx="352">
                  <c:v>-0.3514362579711372</c:v>
                </c:pt>
                <c:pt idx="353">
                  <c:v>-0.35195056686407972</c:v>
                </c:pt>
                <c:pt idx="354">
                  <c:v>-0.35246433948560774</c:v>
                </c:pt>
                <c:pt idx="355">
                  <c:v>-0.35297757699397686</c:v>
                </c:pt>
                <c:pt idx="356">
                  <c:v>-0.35349028054244985</c:v>
                </c:pt>
                <c:pt idx="357">
                  <c:v>-0.35400245127932928</c:v>
                </c:pt>
                <c:pt idx="358">
                  <c:v>-0.35451409034798953</c:v>
                </c:pt>
                <c:pt idx="359">
                  <c:v>-0.35502519888690814</c:v>
                </c:pt>
                <c:pt idx="360">
                  <c:v>-0.35553577802969749</c:v>
                </c:pt>
                <c:pt idx="361">
                  <c:v>-0.35604582890513559</c:v>
                </c:pt>
                <c:pt idx="362">
                  <c:v>-0.35655535263719712</c:v>
                </c:pt>
                <c:pt idx="363">
                  <c:v>-0.35706435034508432</c:v>
                </c:pt>
                <c:pt idx="364">
                  <c:v>-0.35757282314325689</c:v>
                </c:pt>
                <c:pt idx="365">
                  <c:v>-0.358080772141462</c:v>
                </c:pt>
                <c:pt idx="366">
                  <c:v>-0.35858819844476458</c:v>
                </c:pt>
                <c:pt idx="367">
                  <c:v>-0.35909510315357668</c:v>
                </c:pt>
                <c:pt idx="368">
                  <c:v>-0.35960148736368647</c:v>
                </c:pt>
                <c:pt idx="369">
                  <c:v>-0.36010735216628803</c:v>
                </c:pt>
                <c:pt idx="370">
                  <c:v>-0.36061269864800938</c:v>
                </c:pt>
                <c:pt idx="371">
                  <c:v>-0.36111752789094154</c:v>
                </c:pt>
                <c:pt idx="372">
                  <c:v>-0.36162184097266709</c:v>
                </c:pt>
                <c:pt idx="373">
                  <c:v>-0.36212563896628769</c:v>
                </c:pt>
                <c:pt idx="374">
                  <c:v>-0.3626289229404524</c:v>
                </c:pt>
                <c:pt idx="375">
                  <c:v>-0.36313169395938516</c:v>
                </c:pt>
                <c:pt idx="376">
                  <c:v>-0.36363395308291246</c:v>
                </c:pt>
                <c:pt idx="377">
                  <c:v>-0.36413570136649021</c:v>
                </c:pt>
                <c:pt idx="378">
                  <c:v>-0.36463693986123075</c:v>
                </c:pt>
                <c:pt idx="379">
                  <c:v>-0.36513766961393007</c:v>
                </c:pt>
                <c:pt idx="380">
                  <c:v>-0.36563789166709376</c:v>
                </c:pt>
                <c:pt idx="381">
                  <c:v>-0.36613760705896359</c:v>
                </c:pt>
                <c:pt idx="382">
                  <c:v>-0.36663681682354371</c:v>
                </c:pt>
                <c:pt idx="383">
                  <c:v>-0.36713552199062627</c:v>
                </c:pt>
                <c:pt idx="384">
                  <c:v>-0.36763372358581736</c:v>
                </c:pt>
                <c:pt idx="385">
                  <c:v>-0.36813142263056242</c:v>
                </c:pt>
                <c:pt idx="386">
                  <c:v>-0.36862862014217151</c:v>
                </c:pt>
                <c:pt idx="387">
                  <c:v>-0.36912531713384411</c:v>
                </c:pt>
                <c:pt idx="388">
                  <c:v>-0.36962151461469445</c:v>
                </c:pt>
                <c:pt idx="389">
                  <c:v>-0.37011721358977584</c:v>
                </c:pt>
                <c:pt idx="390">
                  <c:v>-0.37061241506010528</c:v>
                </c:pt>
                <c:pt idx="391">
                  <c:v>-0.37110712002268748</c:v>
                </c:pt>
                <c:pt idx="392">
                  <c:v>-0.37160132947053931</c:v>
                </c:pt>
                <c:pt idx="393">
                  <c:v>-0.37209504439271357</c:v>
                </c:pt>
                <c:pt idx="394">
                  <c:v>-0.37258826577432225</c:v>
                </c:pt>
                <c:pt idx="395">
                  <c:v>-0.3730809945965608</c:v>
                </c:pt>
                <c:pt idx="396">
                  <c:v>-0.37357323183673086</c:v>
                </c:pt>
                <c:pt idx="397">
                  <c:v>-0.37406497846826331</c:v>
                </c:pt>
                <c:pt idx="398">
                  <c:v>-0.37455623546074196</c:v>
                </c:pt>
                <c:pt idx="399">
                  <c:v>-0.37504700377992539</c:v>
                </c:pt>
                <c:pt idx="400">
                  <c:v>-0.37553728438777023</c:v>
                </c:pt>
                <c:pt idx="401">
                  <c:v>-0.37602707824245335</c:v>
                </c:pt>
                <c:pt idx="402">
                  <c:v>-0.37651638629839362</c:v>
                </c:pt>
                <c:pt idx="403">
                  <c:v>-0.37700520950627503</c:v>
                </c:pt>
                <c:pt idx="404">
                  <c:v>-0.37749354881306751</c:v>
                </c:pt>
                <c:pt idx="405">
                  <c:v>-0.3779814051620492</c:v>
                </c:pt>
                <c:pt idx="406">
                  <c:v>-0.37846877949282803</c:v>
                </c:pt>
                <c:pt idx="407">
                  <c:v>-0.37895567274136277</c:v>
                </c:pt>
                <c:pt idx="408">
                  <c:v>-0.37944208583998457</c:v>
                </c:pt>
                <c:pt idx="409">
                  <c:v>-0.3799280197174178</c:v>
                </c:pt>
                <c:pt idx="410">
                  <c:v>-0.3804134752988011</c:v>
                </c:pt>
                <c:pt idx="411">
                  <c:v>-0.38089845350570789</c:v>
                </c:pt>
                <c:pt idx="412">
                  <c:v>-0.38138295525616711</c:v>
                </c:pt>
                <c:pt idx="413">
                  <c:v>-0.38186698146468362</c:v>
                </c:pt>
                <c:pt idx="414">
                  <c:v>-0.38235053304225858</c:v>
                </c:pt>
                <c:pt idx="415">
                  <c:v>-0.3828336108964091</c:v>
                </c:pt>
                <c:pt idx="416">
                  <c:v>-0.38331621593118864</c:v>
                </c:pt>
                <c:pt idx="417">
                  <c:v>-0.38379834904720661</c:v>
                </c:pt>
                <c:pt idx="418">
                  <c:v>-0.38428001114164806</c:v>
                </c:pt>
                <c:pt idx="419">
                  <c:v>-0.38476120310829331</c:v>
                </c:pt>
                <c:pt idx="420">
                  <c:v>-0.38524192583753669</c:v>
                </c:pt>
                <c:pt idx="421">
                  <c:v>-0.38572218021640658</c:v>
                </c:pt>
                <c:pt idx="422">
                  <c:v>-0.38620196712858407</c:v>
                </c:pt>
                <c:pt idx="423">
                  <c:v>-0.38668128745442171</c:v>
                </c:pt>
                <c:pt idx="424">
                  <c:v>-0.38716014207096255</c:v>
                </c:pt>
                <c:pt idx="425">
                  <c:v>-0.38763853185195862</c:v>
                </c:pt>
                <c:pt idx="426">
                  <c:v>-0.38811645766788949</c:v>
                </c:pt>
                <c:pt idx="427">
                  <c:v>-0.38859392038598073</c:v>
                </c:pt>
                <c:pt idx="428">
                  <c:v>-0.38907092087022166</c:v>
                </c:pt>
                <c:pt idx="429">
                  <c:v>-0.38954745998138396</c:v>
                </c:pt>
                <c:pt idx="430">
                  <c:v>-0.39002353857703947</c:v>
                </c:pt>
                <c:pt idx="431">
                  <c:v>-0.39049915751157788</c:v>
                </c:pt>
                <c:pt idx="432">
                  <c:v>-0.39097431763622442</c:v>
                </c:pt>
                <c:pt idx="433">
                  <c:v>-0.39144901979905744</c:v>
                </c:pt>
                <c:pt idx="434">
                  <c:v>-0.39192326484502599</c:v>
                </c:pt>
                <c:pt idx="435">
                  <c:v>-0.39239705361596683</c:v>
                </c:pt>
                <c:pt idx="436">
                  <c:v>-0.39287038695062182</c:v>
                </c:pt>
                <c:pt idx="437">
                  <c:v>-0.39334326568465472</c:v>
                </c:pt>
                <c:pt idx="438">
                  <c:v>-0.39381569065066829</c:v>
                </c:pt>
                <c:pt idx="439">
                  <c:v>-0.39428766267822124</c:v>
                </c:pt>
                <c:pt idx="440">
                  <c:v>-0.3947591825938444</c:v>
                </c:pt>
                <c:pt idx="441">
                  <c:v>-0.3952302512210577</c:v>
                </c:pt>
                <c:pt idx="442">
                  <c:v>-0.39570086938038646</c:v>
                </c:pt>
                <c:pt idx="443">
                  <c:v>-0.39617103788937763</c:v>
                </c:pt>
                <c:pt idx="444">
                  <c:v>-0.39664075756261602</c:v>
                </c:pt>
                <c:pt idx="445">
                  <c:v>-0.3971100292117406</c:v>
                </c:pt>
                <c:pt idx="446">
                  <c:v>-0.39757885364545975</c:v>
                </c:pt>
                <c:pt idx="447">
                  <c:v>-0.39804723166956796</c:v>
                </c:pt>
                <c:pt idx="448">
                  <c:v>-0.39851516408696108</c:v>
                </c:pt>
                <c:pt idx="449">
                  <c:v>-0.39898265169765212</c:v>
                </c:pt>
                <c:pt idx="450">
                  <c:v>-0.39944969529878649</c:v>
                </c:pt>
                <c:pt idx="451">
                  <c:v>-0.39991629568465759</c:v>
                </c:pt>
                <c:pt idx="452">
                  <c:v>-0.40038245364672215</c:v>
                </c:pt>
                <c:pt idx="453">
                  <c:v>-0.40084816997361528</c:v>
                </c:pt>
                <c:pt idx="454">
                  <c:v>-0.40131344545116543</c:v>
                </c:pt>
                <c:pt idx="455">
                  <c:v>-0.40177828086240952</c:v>
                </c:pt>
                <c:pt idx="456">
                  <c:v>-0.40224267698760791</c:v>
                </c:pt>
                <c:pt idx="457">
                  <c:v>-0.40270663460425876</c:v>
                </c:pt>
                <c:pt idx="458">
                  <c:v>-0.40317015448711291</c:v>
                </c:pt>
                <c:pt idx="459">
                  <c:v>-0.40363323740818857</c:v>
                </c:pt>
                <c:pt idx="460">
                  <c:v>-0.40409588413678532</c:v>
                </c:pt>
                <c:pt idx="461">
                  <c:v>-0.40455809543949889</c:v>
                </c:pt>
                <c:pt idx="462">
                  <c:v>-0.40501987208023515</c:v>
                </c:pt>
                <c:pt idx="463">
                  <c:v>-0.40548121482022415</c:v>
                </c:pt>
                <c:pt idx="464">
                  <c:v>-0.40594212441803451</c:v>
                </c:pt>
                <c:pt idx="465">
                  <c:v>-0.40640260162958697</c:v>
                </c:pt>
                <c:pt idx="466">
                  <c:v>-0.40686264720816845</c:v>
                </c:pt>
                <c:pt idx="467">
                  <c:v>-0.40732226190444581</c:v>
                </c:pt>
                <c:pt idx="468">
                  <c:v>-0.40778144646647929</c:v>
                </c:pt>
                <c:pt idx="469">
                  <c:v>-0.40824020163973629</c:v>
                </c:pt>
                <c:pt idx="470">
                  <c:v>-0.40869852816710467</c:v>
                </c:pt>
                <c:pt idx="471">
                  <c:v>-0.4091564267889064</c:v>
                </c:pt>
                <c:pt idx="472">
                  <c:v>-0.40961389824291017</c:v>
                </c:pt>
                <c:pt idx="473">
                  <c:v>-0.4100709432643454</c:v>
                </c:pt>
                <c:pt idx="474">
                  <c:v>-0.41052756258591483</c:v>
                </c:pt>
                <c:pt idx="475">
                  <c:v>-0.41098375693780753</c:v>
                </c:pt>
                <c:pt idx="476">
                  <c:v>-0.41143952704771219</c:v>
                </c:pt>
                <c:pt idx="477">
                  <c:v>-0.41189487364082933</c:v>
                </c:pt>
                <c:pt idx="478">
                  <c:v>-0.41234979743988459</c:v>
                </c:pt>
                <c:pt idx="479">
                  <c:v>-0.41280429916514128</c:v>
                </c:pt>
                <c:pt idx="480">
                  <c:v>-0.41325837953441247</c:v>
                </c:pt>
                <c:pt idx="481">
                  <c:v>-0.41371203926307415</c:v>
                </c:pt>
                <c:pt idx="482">
                  <c:v>-0.41416527906407702</c:v>
                </c:pt>
                <c:pt idx="483">
                  <c:v>-0.41461809964795943</c:v>
                </c:pt>
                <c:pt idx="484">
                  <c:v>-0.41507050172285903</c:v>
                </c:pt>
                <c:pt idx="485">
                  <c:v>-0.41552248599452524</c:v>
                </c:pt>
                <c:pt idx="486">
                  <c:v>-0.41597405316633107</c:v>
                </c:pt>
                <c:pt idx="487">
                  <c:v>-0.41642520393928545</c:v>
                </c:pt>
                <c:pt idx="488">
                  <c:v>-0.41687593901204484</c:v>
                </c:pt>
                <c:pt idx="489">
                  <c:v>-0.41732625908092497</c:v>
                </c:pt>
                <c:pt idx="490">
                  <c:v>-0.41777616483991309</c:v>
                </c:pt>
                <c:pt idx="491">
                  <c:v>-0.41822565698067898</c:v>
                </c:pt>
                <c:pt idx="492">
                  <c:v>-0.41867473619258699</c:v>
                </c:pt>
                <c:pt idx="493">
                  <c:v>-0.41912340316270746</c:v>
                </c:pt>
                <c:pt idx="494">
                  <c:v>-0.41957165857582807</c:v>
                </c:pt>
                <c:pt idx="495">
                  <c:v>-0.42001950311446512</c:v>
                </c:pt>
                <c:pt idx="496">
                  <c:v>-0.42046693745887503</c:v>
                </c:pt>
                <c:pt idx="497">
                  <c:v>-0.42091396228706551</c:v>
                </c:pt>
                <c:pt idx="498">
                  <c:v>-0.42136057827480639</c:v>
                </c:pt>
                <c:pt idx="499">
                  <c:v>-0.42180678609564098</c:v>
                </c:pt>
                <c:pt idx="500">
                  <c:v>-0.42225258642089714</c:v>
                </c:pt>
                <c:pt idx="501">
                  <c:v>-0.42269797991969787</c:v>
                </c:pt>
                <c:pt idx="502">
                  <c:v>-0.42314296725897244</c:v>
                </c:pt>
                <c:pt idx="503">
                  <c:v>-0.42358754910346696</c:v>
                </c:pt>
                <c:pt idx="504">
                  <c:v>-0.42403172611575518</c:v>
                </c:pt>
                <c:pt idx="505">
                  <c:v>-0.42447549895624914</c:v>
                </c:pt>
                <c:pt idx="506">
                  <c:v>-0.42491886828320974</c:v>
                </c:pt>
                <c:pt idx="507">
                  <c:v>-0.42536183475275696</c:v>
                </c:pt>
                <c:pt idx="508">
                  <c:v>-0.42580439901888079</c:v>
                </c:pt>
                <c:pt idx="509">
                  <c:v>-0.42624656173345121</c:v>
                </c:pt>
                <c:pt idx="510">
                  <c:v>-0.42668832354622849</c:v>
                </c:pt>
                <c:pt idx="511">
                  <c:v>-0.4271296851048737</c:v>
                </c:pt>
                <c:pt idx="512">
                  <c:v>-0.42757064705495856</c:v>
                </c:pt>
                <c:pt idx="513">
                  <c:v>-0.42801121003997566</c:v>
                </c:pt>
                <c:pt idx="514">
                  <c:v>-0.42845137470134853</c:v>
                </c:pt>
                <c:pt idx="515">
                  <c:v>-0.4288911416784415</c:v>
                </c:pt>
                <c:pt idx="516">
                  <c:v>-0.42933051160856955</c:v>
                </c:pt>
                <c:pt idx="517">
                  <c:v>-0.42976948512700847</c:v>
                </c:pt>
                <c:pt idx="518">
                  <c:v>-0.43020806286700436</c:v>
                </c:pt>
                <c:pt idx="519">
                  <c:v>-0.43064624545978325</c:v>
                </c:pt>
                <c:pt idx="520">
                  <c:v>-0.4310840335345611</c:v>
                </c:pt>
                <c:pt idx="521">
                  <c:v>-0.43152142771855295</c:v>
                </c:pt>
                <c:pt idx="522">
                  <c:v>-0.43195842863698281</c:v>
                </c:pt>
                <c:pt idx="523">
                  <c:v>-0.43239503691309306</c:v>
                </c:pt>
                <c:pt idx="524">
                  <c:v>-0.43283125316815357</c:v>
                </c:pt>
                <c:pt idx="525">
                  <c:v>-0.43326707802147157</c:v>
                </c:pt>
                <c:pt idx="526">
                  <c:v>-0.43370251209040028</c:v>
                </c:pt>
                <c:pt idx="527">
                  <c:v>-0.43413755599034892</c:v>
                </c:pt>
                <c:pt idx="528">
                  <c:v>-0.43457221033479126</c:v>
                </c:pt>
                <c:pt idx="529">
                  <c:v>-0.43500647573527462</c:v>
                </c:pt>
                <c:pt idx="530">
                  <c:v>-0.43544035280142973</c:v>
                </c:pt>
                <c:pt idx="531">
                  <c:v>-0.43587384214097896</c:v>
                </c:pt>
                <c:pt idx="532">
                  <c:v>-0.43630694435974571</c:v>
                </c:pt>
                <c:pt idx="533">
                  <c:v>-0.43673966006166309</c:v>
                </c:pt>
                <c:pt idx="534">
                  <c:v>-0.43717198984878258</c:v>
                </c:pt>
                <c:pt idx="535">
                  <c:v>-0.43760393432128325</c:v>
                </c:pt>
                <c:pt idx="536">
                  <c:v>-0.43803549407748033</c:v>
                </c:pt>
                <c:pt idx="537">
                  <c:v>-0.43846666971383363</c:v>
                </c:pt>
                <c:pt idx="538">
                  <c:v>-0.43889746182495631</c:v>
                </c:pt>
                <c:pt idx="539">
                  <c:v>-0.43932787100362364</c:v>
                </c:pt>
                <c:pt idx="540">
                  <c:v>-0.43975789784078106</c:v>
                </c:pt>
                <c:pt idx="541">
                  <c:v>-0.44018754292555334</c:v>
                </c:pt>
                <c:pt idx="542">
                  <c:v>-0.44061680684525212</c:v>
                </c:pt>
                <c:pt idx="543">
                  <c:v>-0.44104569018538492</c:v>
                </c:pt>
                <c:pt idx="544">
                  <c:v>-0.44147419352966333</c:v>
                </c:pt>
                <c:pt idx="545">
                  <c:v>-0.4419023174600108</c:v>
                </c:pt>
                <c:pt idx="546">
                  <c:v>-0.44233006255657159</c:v>
                </c:pt>
                <c:pt idx="547">
                  <c:v>-0.44275742939771823</c:v>
                </c:pt>
                <c:pt idx="548">
                  <c:v>-0.44318441856006002</c:v>
                </c:pt>
                <c:pt idx="549">
                  <c:v>-0.44361103061845103</c:v>
                </c:pt>
                <c:pt idx="550">
                  <c:v>-0.44403726614599809</c:v>
                </c:pt>
                <c:pt idx="551">
                  <c:v>-0.44446312571406843</c:v>
                </c:pt>
                <c:pt idx="552">
                  <c:v>-0.44488860989229823</c:v>
                </c:pt>
                <c:pt idx="553">
                  <c:v>-0.44531371924859986</c:v>
                </c:pt>
                <c:pt idx="554">
                  <c:v>-0.44573845434916998</c:v>
                </c:pt>
                <c:pt idx="555">
                  <c:v>-0.44616281575849753</c:v>
                </c:pt>
                <c:pt idx="556">
                  <c:v>-0.44658680403937062</c:v>
                </c:pt>
                <c:pt idx="557">
                  <c:v>-0.44701041975288536</c:v>
                </c:pt>
                <c:pt idx="558">
                  <c:v>-0.44743366345845237</c:v>
                </c:pt>
                <c:pt idx="559">
                  <c:v>-0.44785653571380535</c:v>
                </c:pt>
                <c:pt idx="560">
                  <c:v>-0.44827903707500782</c:v>
                </c:pt>
                <c:pt idx="561">
                  <c:v>-0.44870116809646104</c:v>
                </c:pt>
                <c:pt idx="562">
                  <c:v>-0.4491229293309113</c:v>
                </c:pt>
                <c:pt idx="563">
                  <c:v>-0.44954432132945737</c:v>
                </c:pt>
                <c:pt idx="564">
                  <c:v>-0.4499653446415578</c:v>
                </c:pt>
                <c:pt idx="565">
                  <c:v>-0.45038599981503841</c:v>
                </c:pt>
                <c:pt idx="566">
                  <c:v>-0.45080628739609918</c:v>
                </c:pt>
                <c:pt idx="567">
                  <c:v>-0.45122620792932205</c:v>
                </c:pt>
                <c:pt idx="568">
                  <c:v>-0.45164576195767758</c:v>
                </c:pt>
                <c:pt idx="569">
                  <c:v>-0.45206495002253216</c:v>
                </c:pt>
                <c:pt idx="570">
                  <c:v>-0.45248377266365547</c:v>
                </c:pt>
                <c:pt idx="571">
                  <c:v>-0.45290223041922711</c:v>
                </c:pt>
                <c:pt idx="572">
                  <c:v>-0.45332032382584397</c:v>
                </c:pt>
                <c:pt idx="573">
                  <c:v>-0.45373805341852674</c:v>
                </c:pt>
                <c:pt idx="574">
                  <c:v>-0.45415541973072754</c:v>
                </c:pt>
                <c:pt idx="575">
                  <c:v>-0.45457242329433595</c:v>
                </c:pt>
                <c:pt idx="576">
                  <c:v>-0.45498906463968675</c:v>
                </c:pt>
                <c:pt idx="577">
                  <c:v>-0.45540534429556595</c:v>
                </c:pt>
                <c:pt idx="578">
                  <c:v>-0.4558212627892182</c:v>
                </c:pt>
                <c:pt idx="579">
                  <c:v>-0.4562368206463529</c:v>
                </c:pt>
                <c:pt idx="580">
                  <c:v>-0.45665201839115155</c:v>
                </c:pt>
                <c:pt idx="581">
                  <c:v>-0.45706685654627394</c:v>
                </c:pt>
                <c:pt idx="582">
                  <c:v>-0.45748133563286481</c:v>
                </c:pt>
                <c:pt idx="583">
                  <c:v>-0.4578954561705606</c:v>
                </c:pt>
                <c:pt idx="584">
                  <c:v>-0.45830921867749591</c:v>
                </c:pt>
                <c:pt idx="585">
                  <c:v>-0.45872262367031003</c:v>
                </c:pt>
                <c:pt idx="586">
                  <c:v>-0.45913567166415348</c:v>
                </c:pt>
                <c:pt idx="587">
                  <c:v>-0.45954836317269387</c:v>
                </c:pt>
                <c:pt idx="588">
                  <c:v>-0.45996069870812339</c:v>
                </c:pt>
                <c:pt idx="589">
                  <c:v>-0.46037267878116422</c:v>
                </c:pt>
                <c:pt idx="590">
                  <c:v>-0.46078430390107483</c:v>
                </c:pt>
                <c:pt idx="591">
                  <c:v>-0.46119557457565719</c:v>
                </c:pt>
                <c:pt idx="592">
                  <c:v>-0.46160649131126202</c:v>
                </c:pt>
                <c:pt idx="593">
                  <c:v>-0.46201705461279546</c:v>
                </c:pt>
                <c:pt idx="594">
                  <c:v>-0.46242726498372522</c:v>
                </c:pt>
                <c:pt idx="595">
                  <c:v>-0.46283712292608659</c:v>
                </c:pt>
                <c:pt idx="596">
                  <c:v>-0.46324662894048868</c:v>
                </c:pt>
                <c:pt idx="597">
                  <c:v>-0.46365578352612052</c:v>
                </c:pt>
                <c:pt idx="598">
                  <c:v>-0.46406458718075683</c:v>
                </c:pt>
                <c:pt idx="599">
                  <c:v>-0.46447304040076426</c:v>
                </c:pt>
                <c:pt idx="600">
                  <c:v>-0.46488114368110728</c:v>
                </c:pt>
                <c:pt idx="601">
                  <c:v>-0.46528889751535424</c:v>
                </c:pt>
                <c:pt idx="602">
                  <c:v>-0.46569630239568288</c:v>
                </c:pt>
                <c:pt idx="603">
                  <c:v>-0.46610335881288689</c:v>
                </c:pt>
                <c:pt idx="604">
                  <c:v>-0.466510067256381</c:v>
                </c:pt>
                <c:pt idx="605">
                  <c:v>-0.46691642821420715</c:v>
                </c:pt>
                <c:pt idx="606">
                  <c:v>-0.46732244217304031</c:v>
                </c:pt>
                <c:pt idx="607">
                  <c:v>-0.46772810961819417</c:v>
                </c:pt>
                <c:pt idx="608">
                  <c:v>-0.46813343103362648</c:v>
                </c:pt>
                <c:pt idx="609">
                  <c:v>-0.46853840690194537</c:v>
                </c:pt>
                <c:pt idx="610">
                  <c:v>-0.46894303770441459</c:v>
                </c:pt>
                <c:pt idx="611">
                  <c:v>-0.46934732392095907</c:v>
                </c:pt>
                <c:pt idx="612">
                  <c:v>-0.4697512660301707</c:v>
                </c:pt>
                <c:pt idx="613">
                  <c:v>-0.47015486450931376</c:v>
                </c:pt>
                <c:pt idx="614">
                  <c:v>-0.47055811983433049</c:v>
                </c:pt>
                <c:pt idx="615">
                  <c:v>-0.47096103247984661</c:v>
                </c:pt>
                <c:pt idx="616">
                  <c:v>-0.47136360291917645</c:v>
                </c:pt>
                <c:pt idx="617">
                  <c:v>-0.471765831624329</c:v>
                </c:pt>
                <c:pt idx="618">
                  <c:v>-0.47216771906601279</c:v>
                </c:pt>
                <c:pt idx="619">
                  <c:v>-0.47256926571364133</c:v>
                </c:pt>
                <c:pt idx="620">
                  <c:v>-0.47297047203533865</c:v>
                </c:pt>
                <c:pt idx="621">
                  <c:v>-0.47337133849794455</c:v>
                </c:pt>
                <c:pt idx="622">
                  <c:v>-0.47377186556701961</c:v>
                </c:pt>
                <c:pt idx="623">
                  <c:v>-0.47417205370685078</c:v>
                </c:pt>
                <c:pt idx="624">
                  <c:v>-0.47457190338045663</c:v>
                </c:pt>
                <c:pt idx="625">
                  <c:v>-0.47497141504959184</c:v>
                </c:pt>
                <c:pt idx="626">
                  <c:v>-0.47537058917475344</c:v>
                </c:pt>
                <c:pt idx="627">
                  <c:v>-0.47576942621518514</c:v>
                </c:pt>
                <c:pt idx="628">
                  <c:v>-0.47616792662888285</c:v>
                </c:pt>
                <c:pt idx="629">
                  <c:v>-0.4765660908725996</c:v>
                </c:pt>
                <c:pt idx="630">
                  <c:v>-0.4769639194018504</c:v>
                </c:pt>
                <c:pt idx="631">
                  <c:v>-0.47736141267091775</c:v>
                </c:pt>
                <c:pt idx="632">
                  <c:v>-0.47775857113285614</c:v>
                </c:pt>
                <c:pt idx="633">
                  <c:v>-0.47815539523949746</c:v>
                </c:pt>
                <c:pt idx="634">
                  <c:v>-0.47855188544145538</c:v>
                </c:pt>
                <c:pt idx="635">
                  <c:v>-0.47894804218813092</c:v>
                </c:pt>
                <c:pt idx="636">
                  <c:v>-0.47934386592771699</c:v>
                </c:pt>
                <c:pt idx="637">
                  <c:v>-0.47973935710720322</c:v>
                </c:pt>
                <c:pt idx="638">
                  <c:v>-0.48013451617238079</c:v>
                </c:pt>
                <c:pt idx="639">
                  <c:v>-0.48052934356784754</c:v>
                </c:pt>
                <c:pt idx="640">
                  <c:v>-0.48092383973701247</c:v>
                </c:pt>
                <c:pt idx="641">
                  <c:v>-0.48131800512210043</c:v>
                </c:pt>
                <c:pt idx="642">
                  <c:v>-0.4817118401641573</c:v>
                </c:pt>
                <c:pt idx="643">
                  <c:v>-0.48210534530305399</c:v>
                </c:pt>
                <c:pt idx="644">
                  <c:v>-0.48249852097749185</c:v>
                </c:pt>
                <c:pt idx="645">
                  <c:v>-0.48289136762500701</c:v>
                </c:pt>
                <c:pt idx="646">
                  <c:v>-0.48328388568197483</c:v>
                </c:pt>
                <c:pt idx="647">
                  <c:v>-0.48367607558361503</c:v>
                </c:pt>
                <c:pt idx="648">
                  <c:v>-0.48406793776399559</c:v>
                </c:pt>
                <c:pt idx="649">
                  <c:v>-0.48445947265603789</c:v>
                </c:pt>
                <c:pt idx="650">
                  <c:v>-0.4848506806915211</c:v>
                </c:pt>
                <c:pt idx="651">
                  <c:v>-0.48524156230108634</c:v>
                </c:pt>
                <c:pt idx="652">
                  <c:v>-0.48563211791424166</c:v>
                </c:pt>
                <c:pt idx="653">
                  <c:v>-0.4860223479593665</c:v>
                </c:pt>
                <c:pt idx="654">
                  <c:v>-0.48641225286371553</c:v>
                </c:pt>
                <c:pt idx="655">
                  <c:v>-0.48680183305342367</c:v>
                </c:pt>
                <c:pt idx="656">
                  <c:v>-0.48719108895351054</c:v>
                </c:pt>
                <c:pt idx="657">
                  <c:v>-0.48758002098788417</c:v>
                </c:pt>
                <c:pt idx="658">
                  <c:v>-0.48796862957934611</c:v>
                </c:pt>
                <c:pt idx="659">
                  <c:v>-0.48835691514959539</c:v>
                </c:pt>
                <c:pt idx="660">
                  <c:v>-0.48874487811923262</c:v>
                </c:pt>
                <c:pt idx="661">
                  <c:v>-0.48913251890776471</c:v>
                </c:pt>
                <c:pt idx="662">
                  <c:v>-0.48951983793360893</c:v>
                </c:pt>
                <c:pt idx="663">
                  <c:v>-0.48990683561409715</c:v>
                </c:pt>
                <c:pt idx="664">
                  <c:v>-0.49029351236548008</c:v>
                </c:pt>
                <c:pt idx="665">
                  <c:v>-0.4906798686029315</c:v>
                </c:pt>
                <c:pt idx="666">
                  <c:v>-0.49106590474055223</c:v>
                </c:pt>
                <c:pt idx="667">
                  <c:v>-0.49145162119137459</c:v>
                </c:pt>
                <c:pt idx="668">
                  <c:v>-0.49183701836736637</c:v>
                </c:pt>
                <c:pt idx="669">
                  <c:v>-0.49222209667943484</c:v>
                </c:pt>
                <c:pt idx="670">
                  <c:v>-0.49260685653743091</c:v>
                </c:pt>
                <c:pt idx="671">
                  <c:v>-0.49299129835015365</c:v>
                </c:pt>
                <c:pt idx="672">
                  <c:v>-0.49337542252535344</c:v>
                </c:pt>
                <c:pt idx="673">
                  <c:v>-0.49375922946973655</c:v>
                </c:pt>
                <c:pt idx="674">
                  <c:v>-0.49414271958896955</c:v>
                </c:pt>
                <c:pt idx="675">
                  <c:v>-0.49452589328768232</c:v>
                </c:pt>
                <c:pt idx="676">
                  <c:v>-0.49490875096947262</c:v>
                </c:pt>
                <c:pt idx="677">
                  <c:v>-0.49529129303691005</c:v>
                </c:pt>
                <c:pt idx="678">
                  <c:v>-0.49567351989153979</c:v>
                </c:pt>
                <c:pt idx="679">
                  <c:v>-0.49605543193388657</c:v>
                </c:pt>
                <c:pt idx="680">
                  <c:v>-0.49643702956345864</c:v>
                </c:pt>
                <c:pt idx="681">
                  <c:v>-0.49681831317875136</c:v>
                </c:pt>
                <c:pt idx="682">
                  <c:v>-0.49719928317725159</c:v>
                </c:pt>
                <c:pt idx="683">
                  <c:v>-0.49757993995544075</c:v>
                </c:pt>
                <c:pt idx="684">
                  <c:v>-0.49796028390879937</c:v>
                </c:pt>
                <c:pt idx="685">
                  <c:v>-0.4983403154318104</c:v>
                </c:pt>
                <c:pt idx="686">
                  <c:v>-0.49872003491796307</c:v>
                </c:pt>
                <c:pt idx="687">
                  <c:v>-0.49909944275975682</c:v>
                </c:pt>
                <c:pt idx="688">
                  <c:v>-0.49947853934870484</c:v>
                </c:pt>
                <c:pt idx="689">
                  <c:v>-0.49985732507533792</c:v>
                </c:pt>
                <c:pt idx="690">
                  <c:v>-0.50023580032920811</c:v>
                </c:pt>
                <c:pt idx="691">
                  <c:v>-0.50061396549889214</c:v>
                </c:pt>
                <c:pt idx="692">
                  <c:v>-0.50099182097199557</c:v>
                </c:pt>
                <c:pt idx="693">
                  <c:v>-0.50136936713515601</c:v>
                </c:pt>
                <c:pt idx="694">
                  <c:v>-0.50174660437404683</c:v>
                </c:pt>
                <c:pt idx="695">
                  <c:v>-0.50212353307338098</c:v>
                </c:pt>
                <c:pt idx="696">
                  <c:v>-0.50250015361691425</c:v>
                </c:pt>
                <c:pt idx="697">
                  <c:v>-0.50287646638744909</c:v>
                </c:pt>
                <c:pt idx="698">
                  <c:v>-0.50325247176683818</c:v>
                </c:pt>
                <c:pt idx="699">
                  <c:v>-0.50362817013598749</c:v>
                </c:pt>
                <c:pt idx="700">
                  <c:v>-0.50400356187486051</c:v>
                </c:pt>
                <c:pt idx="701">
                  <c:v>-0.50437864736248117</c:v>
                </c:pt>
                <c:pt idx="702">
                  <c:v>-0.50475342697693804</c:v>
                </c:pt>
                <c:pt idx="703">
                  <c:v>-0.50512790109538619</c:v>
                </c:pt>
                <c:pt idx="704">
                  <c:v>-0.5055020700940529</c:v>
                </c:pt>
                <c:pt idx="705">
                  <c:v>-0.50587593434823941</c:v>
                </c:pt>
                <c:pt idx="706">
                  <c:v>-0.50624949423232468</c:v>
                </c:pt>
                <c:pt idx="707">
                  <c:v>-0.50662275011976932</c:v>
                </c:pt>
                <c:pt idx="708">
                  <c:v>-0.50699570238311831</c:v>
                </c:pt>
                <c:pt idx="709">
                  <c:v>-0.50736835139400482</c:v>
                </c:pt>
                <c:pt idx="710">
                  <c:v>-0.50774069752315332</c:v>
                </c:pt>
                <c:pt idx="711">
                  <c:v>-0.50811274114038296</c:v>
                </c:pt>
                <c:pt idx="712">
                  <c:v>-0.50848448261461077</c:v>
                </c:pt>
                <c:pt idx="713">
                  <c:v>-0.50885592231385535</c:v>
                </c:pt>
                <c:pt idx="714">
                  <c:v>-0.50922706060523981</c:v>
                </c:pt>
                <c:pt idx="715">
                  <c:v>-0.50959789785499465</c:v>
                </c:pt>
                <c:pt idx="716">
                  <c:v>-0.50996843442846229</c:v>
                </c:pt>
                <c:pt idx="717">
                  <c:v>-0.51033867069009886</c:v>
                </c:pt>
                <c:pt idx="718">
                  <c:v>-0.51070860700347798</c:v>
                </c:pt>
                <c:pt idx="719">
                  <c:v>-0.51107824373129451</c:v>
                </c:pt>
                <c:pt idx="720">
                  <c:v>-0.51144758123536682</c:v>
                </c:pt>
                <c:pt idx="721">
                  <c:v>-0.5118166198766404</c:v>
                </c:pt>
                <c:pt idx="722">
                  <c:v>-0.5121853600151911</c:v>
                </c:pt>
                <c:pt idx="723">
                  <c:v>-0.51255380201022827</c:v>
                </c:pt>
                <c:pt idx="724">
                  <c:v>-0.51292194622009757</c:v>
                </c:pt>
                <c:pt idx="725">
                  <c:v>-0.5132897930022845</c:v>
                </c:pt>
                <c:pt idx="726">
                  <c:v>-0.51365734271341679</c:v>
                </c:pt>
                <c:pt idx="727">
                  <c:v>-0.51402459570926873</c:v>
                </c:pt>
                <c:pt idx="728">
                  <c:v>-0.51439155234476286</c:v>
                </c:pt>
                <c:pt idx="729">
                  <c:v>-0.51475821297397417</c:v>
                </c:pt>
                <c:pt idx="730">
                  <c:v>-0.51512457795013167</c:v>
                </c:pt>
                <c:pt idx="731">
                  <c:v>-0.51549064762562347</c:v>
                </c:pt>
                <c:pt idx="732">
                  <c:v>-0.51585642235199791</c:v>
                </c:pt>
                <c:pt idx="733">
                  <c:v>-0.51622190247996769</c:v>
                </c:pt>
                <c:pt idx="734">
                  <c:v>-0.51658708835941214</c:v>
                </c:pt>
                <c:pt idx="735">
                  <c:v>-0.51695198033938083</c:v>
                </c:pt>
                <c:pt idx="736">
                  <c:v>-0.517316578768096</c:v>
                </c:pt>
                <c:pt idx="737">
                  <c:v>-0.51768088399295586</c:v>
                </c:pt>
                <c:pt idx="738">
                  <c:v>-0.51804489636053708</c:v>
                </c:pt>
                <c:pt idx="739">
                  <c:v>-0.51840861621659806</c:v>
                </c:pt>
                <c:pt idx="740">
                  <c:v>-0.51877204390608189</c:v>
                </c:pt>
                <c:pt idx="741">
                  <c:v>-0.51913517977311907</c:v>
                </c:pt>
                <c:pt idx="742">
                  <c:v>-0.51949802416102997</c:v>
                </c:pt>
                <c:pt idx="743">
                  <c:v>-0.51986057741232894</c:v>
                </c:pt>
                <c:pt idx="744">
                  <c:v>-0.5202228398687252</c:v>
                </c:pt>
                <c:pt idx="745">
                  <c:v>-0.52058481187112771</c:v>
                </c:pt>
                <c:pt idx="746">
                  <c:v>-0.52094649375964674</c:v>
                </c:pt>
                <c:pt idx="747">
                  <c:v>-0.52130788587359667</c:v>
                </c:pt>
                <c:pt idx="748">
                  <c:v>-0.52166898855149935</c:v>
                </c:pt>
                <c:pt idx="749">
                  <c:v>-0.52202980213108685</c:v>
                </c:pt>
                <c:pt idx="750">
                  <c:v>-0.52239032694930354</c:v>
                </c:pt>
                <c:pt idx="751">
                  <c:v>-0.52275056334230963</c:v>
                </c:pt>
                <c:pt idx="752">
                  <c:v>-0.52311051164548328</c:v>
                </c:pt>
                <c:pt idx="753">
                  <c:v>-0.52347017219342384</c:v>
                </c:pt>
                <c:pt idx="754">
                  <c:v>-0.52382954531995429</c:v>
                </c:pt>
                <c:pt idx="755">
                  <c:v>-0.52418863135812377</c:v>
                </c:pt>
                <c:pt idx="756">
                  <c:v>-0.52454743064021081</c:v>
                </c:pt>
                <c:pt idx="757">
                  <c:v>-0.52490594349772535</c:v>
                </c:pt>
                <c:pt idx="758">
                  <c:v>-0.52526417026141181</c:v>
                </c:pt>
                <c:pt idx="759">
                  <c:v>-0.5256221112612518</c:v>
                </c:pt>
                <c:pt idx="760">
                  <c:v>-0.52597976682646641</c:v>
                </c:pt>
                <c:pt idx="761">
                  <c:v>-0.52633713728551923</c:v>
                </c:pt>
                <c:pt idx="762">
                  <c:v>-0.52669422296611834</c:v>
                </c:pt>
                <c:pt idx="763">
                  <c:v>-0.52705102419521999</c:v>
                </c:pt>
                <c:pt idx="764">
                  <c:v>-0.52740754129902989</c:v>
                </c:pt>
                <c:pt idx="765">
                  <c:v>-0.52776377460300705</c:v>
                </c:pt>
                <c:pt idx="766">
                  <c:v>-0.52811972443186483</c:v>
                </c:pt>
                <c:pt idx="767">
                  <c:v>-0.52847539110957553</c:v>
                </c:pt>
                <c:pt idx="768">
                  <c:v>-0.52883077495937081</c:v>
                </c:pt>
                <c:pt idx="769">
                  <c:v>-0.52918587630374558</c:v>
                </c:pt>
                <c:pt idx="770">
                  <c:v>-0.52954069546446036</c:v>
                </c:pt>
                <c:pt idx="771">
                  <c:v>-0.52989523276254324</c:v>
                </c:pt>
                <c:pt idx="772">
                  <c:v>-0.5302494885182929</c:v>
                </c:pt>
                <c:pt idx="773">
                  <c:v>-0.53060346305128059</c:v>
                </c:pt>
                <c:pt idx="774">
                  <c:v>-0.53095715668035326</c:v>
                </c:pt>
                <c:pt idx="775">
                  <c:v>-0.53131056972363533</c:v>
                </c:pt>
                <c:pt idx="776">
                  <c:v>-0.53166370249853201</c:v>
                </c:pt>
                <c:pt idx="777">
                  <c:v>-0.53201655532173064</c:v>
                </c:pt>
                <c:pt idx="778">
                  <c:v>-0.53236912850920404</c:v>
                </c:pt>
                <c:pt idx="779">
                  <c:v>-0.53272142237621234</c:v>
                </c:pt>
                <c:pt idx="780">
                  <c:v>-0.53307343723730582</c:v>
                </c:pt>
                <c:pt idx="781">
                  <c:v>-0.53342517340632711</c:v>
                </c:pt>
                <c:pt idx="782">
                  <c:v>-0.53377663119641339</c:v>
                </c:pt>
                <c:pt idx="783">
                  <c:v>-0.53412781091999895</c:v>
                </c:pt>
                <c:pt idx="784">
                  <c:v>-0.53447871288881799</c:v>
                </c:pt>
                <c:pt idx="785">
                  <c:v>-0.53482933741390581</c:v>
                </c:pt>
                <c:pt idx="786">
                  <c:v>-0.53517968480560274</c:v>
                </c:pt>
                <c:pt idx="787">
                  <c:v>-0.53552975537355485</c:v>
                </c:pt>
                <c:pt idx="788">
                  <c:v>-0.53587954942671734</c:v>
                </c:pt>
                <c:pt idx="789">
                  <c:v>-0.53622906727335673</c:v>
                </c:pt>
                <c:pt idx="790">
                  <c:v>-0.53657830922105265</c:v>
                </c:pt>
                <c:pt idx="791">
                  <c:v>-0.53692727557670061</c:v>
                </c:pt>
                <c:pt idx="792">
                  <c:v>-0.53727596664651422</c:v>
                </c:pt>
                <c:pt idx="793">
                  <c:v>-0.53762438273602708</c:v>
                </c:pt>
                <c:pt idx="794">
                  <c:v>-0.53797252415009567</c:v>
                </c:pt>
                <c:pt idx="795">
                  <c:v>-0.53832039119290109</c:v>
                </c:pt>
                <c:pt idx="796">
                  <c:v>-0.53866798416795159</c:v>
                </c:pt>
                <c:pt idx="797">
                  <c:v>-0.53901530337808445</c:v>
                </c:pt>
                <c:pt idx="798">
                  <c:v>-0.53936234912546865</c:v>
                </c:pt>
                <c:pt idx="799">
                  <c:v>-0.53970912171160679</c:v>
                </c:pt>
                <c:pt idx="800">
                  <c:v>-0.54005562143733721</c:v>
                </c:pt>
                <c:pt idx="801">
                  <c:v>-0.5404018486028368</c:v>
                </c:pt>
                <c:pt idx="802">
                  <c:v>-0.54074780350762219</c:v>
                </c:pt>
                <c:pt idx="803">
                  <c:v>-0.54109348645055266</c:v>
                </c:pt>
                <c:pt idx="804">
                  <c:v>-0.54143889772983234</c:v>
                </c:pt>
                <c:pt idx="805">
                  <c:v>-0.54178403764301164</c:v>
                </c:pt>
                <c:pt idx="806">
                  <c:v>-0.5421289064869903</c:v>
                </c:pt>
                <c:pt idx="807">
                  <c:v>-0.54247350455801902</c:v>
                </c:pt>
                <c:pt idx="808">
                  <c:v>-0.54281783215170121</c:v>
                </c:pt>
                <c:pt idx="809">
                  <c:v>-0.54316188956299627</c:v>
                </c:pt>
                <c:pt idx="810">
                  <c:v>-0.54350567708622044</c:v>
                </c:pt>
                <c:pt idx="811">
                  <c:v>-0.54384919501504991</c:v>
                </c:pt>
                <c:pt idx="812">
                  <c:v>-0.54419244364252184</c:v>
                </c:pt>
                <c:pt idx="813">
                  <c:v>-0.54453542326103754</c:v>
                </c:pt>
                <c:pt idx="814">
                  <c:v>-0.54487813416236397</c:v>
                </c:pt>
                <c:pt idx="815">
                  <c:v>-0.54522057663763568</c:v>
                </c:pt>
                <c:pt idx="816">
                  <c:v>-0.54556275097735729</c:v>
                </c:pt>
                <c:pt idx="817">
                  <c:v>-0.54590465747140504</c:v>
                </c:pt>
                <c:pt idx="818">
                  <c:v>-0.54624629640902933</c:v>
                </c:pt>
                <c:pt idx="819">
                  <c:v>-0.54658766807885639</c:v>
                </c:pt>
                <c:pt idx="820">
                  <c:v>-0.54692877276889029</c:v>
                </c:pt>
                <c:pt idx="821">
                  <c:v>-0.54726961076651537</c:v>
                </c:pt>
                <c:pt idx="822">
                  <c:v>-0.54761018235849779</c:v>
                </c:pt>
                <c:pt idx="823">
                  <c:v>-0.54795048783098743</c:v>
                </c:pt>
                <c:pt idx="824">
                  <c:v>-0.54829052746952067</c:v>
                </c:pt>
                <c:pt idx="825">
                  <c:v>-0.54863030155902115</c:v>
                </c:pt>
                <c:pt idx="826">
                  <c:v>-0.54896981038380288</c:v>
                </c:pt>
                <c:pt idx="827">
                  <c:v>-0.54930905422757148</c:v>
                </c:pt>
                <c:pt idx="828">
                  <c:v>-0.5496480333734266</c:v>
                </c:pt>
                <c:pt idx="829">
                  <c:v>-0.54998674810386328</c:v>
                </c:pt>
                <c:pt idx="830">
                  <c:v>-0.55032519870077434</c:v>
                </c:pt>
                <c:pt idx="831">
                  <c:v>-0.55066338544545246</c:v>
                </c:pt>
                <c:pt idx="832">
                  <c:v>-0.55100130861859142</c:v>
                </c:pt>
                <c:pt idx="833">
                  <c:v>-0.55133896850028885</c:v>
                </c:pt>
                <c:pt idx="834">
                  <c:v>-0.55167636537004716</c:v>
                </c:pt>
                <c:pt idx="835">
                  <c:v>-0.55201349950677636</c:v>
                </c:pt>
                <c:pt idx="836">
                  <c:v>-0.5523503711887956</c:v>
                </c:pt>
                <c:pt idx="837">
                  <c:v>-0.55268698069383448</c:v>
                </c:pt>
                <c:pt idx="838">
                  <c:v>-0.55302332829903622</c:v>
                </c:pt>
                <c:pt idx="839">
                  <c:v>-0.55335941428095792</c:v>
                </c:pt>
                <c:pt idx="840">
                  <c:v>-0.55369523891557382</c:v>
                </c:pt>
                <c:pt idx="841">
                  <c:v>-0.55403080247827619</c:v>
                </c:pt>
                <c:pt idx="842">
                  <c:v>-0.55436610524387797</c:v>
                </c:pt>
                <c:pt idx="843">
                  <c:v>-0.55470114748661359</c:v>
                </c:pt>
                <c:pt idx="844">
                  <c:v>-0.55503592948014158</c:v>
                </c:pt>
                <c:pt idx="845">
                  <c:v>-0.55537045149754638</c:v>
                </c:pt>
                <c:pt idx="846">
                  <c:v>-0.55570471381133968</c:v>
                </c:pt>
                <c:pt idx="847">
                  <c:v>-0.5560387166934625</c:v>
                </c:pt>
                <c:pt idx="848">
                  <c:v>-0.5563724604152871</c:v>
                </c:pt>
                <c:pt idx="849">
                  <c:v>-0.55670594524761829</c:v>
                </c:pt>
                <c:pt idx="850">
                  <c:v>-0.55703917146069593</c:v>
                </c:pt>
                <c:pt idx="851">
                  <c:v>-0.55737213932419594</c:v>
                </c:pt>
                <c:pt idx="852">
                  <c:v>-0.55770484910723261</c:v>
                </c:pt>
                <c:pt idx="853">
                  <c:v>-0.55803730107836014</c:v>
                </c:pt>
                <c:pt idx="854">
                  <c:v>-0.55836949550557424</c:v>
                </c:pt>
                <c:pt idx="855">
                  <c:v>-0.55870143265631433</c:v>
                </c:pt>
                <c:pt idx="856">
                  <c:v>-0.55903311279746482</c:v>
                </c:pt>
                <c:pt idx="857">
                  <c:v>-0.55936453619535687</c:v>
                </c:pt>
                <c:pt idx="858">
                  <c:v>-0.55969570311577044</c:v>
                </c:pt>
                <c:pt idx="859">
                  <c:v>-0.5600266138239357</c:v>
                </c:pt>
                <c:pt idx="860">
                  <c:v>-0.56035726858453472</c:v>
                </c:pt>
                <c:pt idx="861">
                  <c:v>-0.5606876676617033</c:v>
                </c:pt>
                <c:pt idx="862">
                  <c:v>-0.56101781131903294</c:v>
                </c:pt>
                <c:pt idx="863">
                  <c:v>-0.56134769981957178</c:v>
                </c:pt>
                <c:pt idx="864">
                  <c:v>-0.56167733342582704</c:v>
                </c:pt>
                <c:pt idx="865">
                  <c:v>-0.56200671239976618</c:v>
                </c:pt>
                <c:pt idx="866">
                  <c:v>-0.56233583700281875</c:v>
                </c:pt>
                <c:pt idx="867">
                  <c:v>-0.56266470749587794</c:v>
                </c:pt>
                <c:pt idx="868">
                  <c:v>-0.5629933241393027</c:v>
                </c:pt>
                <c:pt idx="869">
                  <c:v>-0.56332168719291842</c:v>
                </c:pt>
                <c:pt idx="870">
                  <c:v>-0.5636497969160198</c:v>
                </c:pt>
                <c:pt idx="871">
                  <c:v>-0.56397765356737117</c:v>
                </c:pt>
                <c:pt idx="872">
                  <c:v>-0.56430525740520954</c:v>
                </c:pt>
                <c:pt idx="873">
                  <c:v>-0.56463260868724452</c:v>
                </c:pt>
                <c:pt idx="874">
                  <c:v>-0.56495970767066173</c:v>
                </c:pt>
                <c:pt idx="875">
                  <c:v>-0.56528655461212285</c:v>
                </c:pt>
                <c:pt idx="876">
                  <c:v>-0.56561314976776822</c:v>
                </c:pt>
                <c:pt idx="877">
                  <c:v>-0.56593949339321825</c:v>
                </c:pt>
                <c:pt idx="878">
                  <c:v>-0.56626558574357433</c:v>
                </c:pt>
                <c:pt idx="879">
                  <c:v>-0.56659142707342147</c:v>
                </c:pt>
                <c:pt idx="880">
                  <c:v>-0.56691701763682911</c:v>
                </c:pt>
                <c:pt idx="881">
                  <c:v>-0.56724235768735265</c:v>
                </c:pt>
                <c:pt idx="882">
                  <c:v>-0.56756744747803578</c:v>
                </c:pt>
                <c:pt idx="883">
                  <c:v>-0.56789228726141106</c:v>
                </c:pt>
                <c:pt idx="884">
                  <c:v>-0.56821687728950199</c:v>
                </c:pt>
                <c:pt idx="885">
                  <c:v>-0.56854121781382483</c:v>
                </c:pt>
                <c:pt idx="886">
                  <c:v>-0.56886530908538935</c:v>
                </c:pt>
                <c:pt idx="887">
                  <c:v>-0.56918915135470083</c:v>
                </c:pt>
                <c:pt idx="888">
                  <c:v>-0.56951274487176173</c:v>
                </c:pt>
                <c:pt idx="889">
                  <c:v>-0.56983608988607271</c:v>
                </c:pt>
                <c:pt idx="890">
                  <c:v>-0.5701591866466349</c:v>
                </c:pt>
                <c:pt idx="891">
                  <c:v>-0.5704820354019503</c:v>
                </c:pt>
                <c:pt idx="892">
                  <c:v>-0.57080463640002443</c:v>
                </c:pt>
                <c:pt idx="893">
                  <c:v>-0.57112698988836708</c:v>
                </c:pt>
                <c:pt idx="894">
                  <c:v>-0.57144909611399419</c:v>
                </c:pt>
                <c:pt idx="895">
                  <c:v>-0.5717709553234287</c:v>
                </c:pt>
                <c:pt idx="896">
                  <c:v>-0.57209256776270301</c:v>
                </c:pt>
                <c:pt idx="897">
                  <c:v>-0.57241393367735938</c:v>
                </c:pt>
                <c:pt idx="898">
                  <c:v>-0.57273505331245234</c:v>
                </c:pt>
                <c:pt idx="899">
                  <c:v>-0.57305592691254958</c:v>
                </c:pt>
                <c:pt idx="900">
                  <c:v>-0.57337655472173343</c:v>
                </c:pt>
                <c:pt idx="901">
                  <c:v>-0.57369693698360258</c:v>
                </c:pt>
                <c:pt idx="902">
                  <c:v>-0.57401707394127344</c:v>
                </c:pt>
                <c:pt idx="903">
                  <c:v>-0.57433696583738081</c:v>
                </c:pt>
                <c:pt idx="904">
                  <c:v>-0.57465661291408099</c:v>
                </c:pt>
                <c:pt idx="905">
                  <c:v>-0.5749760154130511</c:v>
                </c:pt>
                <c:pt idx="906">
                  <c:v>-0.57529517357549276</c:v>
                </c:pt>
                <c:pt idx="907">
                  <c:v>-0.5756140876421314</c:v>
                </c:pt>
                <c:pt idx="908">
                  <c:v>-0.57593275785321862</c:v>
                </c:pt>
                <c:pt idx="909">
                  <c:v>-0.57625118444853418</c:v>
                </c:pt>
                <c:pt idx="910">
                  <c:v>-0.5765693676673862</c:v>
                </c:pt>
                <c:pt idx="911">
                  <c:v>-0.57688730774861341</c:v>
                </c:pt>
                <c:pt idx="912">
                  <c:v>-0.5772050049305858</c:v>
                </c:pt>
                <c:pt idx="913">
                  <c:v>-0.57752245945120706</c:v>
                </c:pt>
                <c:pt idx="914">
                  <c:v>-0.57783967154791493</c:v>
                </c:pt>
                <c:pt idx="915">
                  <c:v>-0.57815664145768297</c:v>
                </c:pt>
                <c:pt idx="916">
                  <c:v>-0.57847336941702199</c:v>
                </c:pt>
                <c:pt idx="917">
                  <c:v>-0.57878985566198105</c:v>
                </c:pt>
                <c:pt idx="918">
                  <c:v>-0.57910610042814958</c:v>
                </c:pt>
                <c:pt idx="919">
                  <c:v>-0.57942210395065763</c:v>
                </c:pt>
                <c:pt idx="920">
                  <c:v>-0.57973786646417846</c:v>
                </c:pt>
                <c:pt idx="921">
                  <c:v>-0.5800533882029284</c:v>
                </c:pt>
                <c:pt idx="922">
                  <c:v>-0.58036866940066989</c:v>
                </c:pt>
                <c:pt idx="923">
                  <c:v>-0.58068371029071097</c:v>
                </c:pt>
                <c:pt idx="924">
                  <c:v>-0.5809985111059085</c:v>
                </c:pt>
                <c:pt idx="925">
                  <c:v>-0.58131307207866789</c:v>
                </c:pt>
                <c:pt idx="926">
                  <c:v>-0.58162739344094483</c:v>
                </c:pt>
                <c:pt idx="927">
                  <c:v>-0.58194147542424735</c:v>
                </c:pt>
                <c:pt idx="928">
                  <c:v>-0.58225531825963639</c:v>
                </c:pt>
                <c:pt idx="929">
                  <c:v>-0.58256892217772716</c:v>
                </c:pt>
                <c:pt idx="930">
                  <c:v>-0.58288228740869019</c:v>
                </c:pt>
                <c:pt idx="931">
                  <c:v>-0.58319541418225374</c:v>
                </c:pt>
                <c:pt idx="932">
                  <c:v>-0.58350830272770349</c:v>
                </c:pt>
                <c:pt idx="933">
                  <c:v>-0.58382095327388528</c:v>
                </c:pt>
                <c:pt idx="934">
                  <c:v>-0.58413336604920518</c:v>
                </c:pt>
                <c:pt idx="935">
                  <c:v>-0.58444554128163162</c:v>
                </c:pt>
                <c:pt idx="936">
                  <c:v>-0.58475747919869603</c:v>
                </c:pt>
                <c:pt idx="937">
                  <c:v>-0.58506918002749464</c:v>
                </c:pt>
                <c:pt idx="938">
                  <c:v>-0.58538064399468925</c:v>
                </c:pt>
                <c:pt idx="939">
                  <c:v>-0.58569187132650868</c:v>
                </c:pt>
                <c:pt idx="940">
                  <c:v>-0.58600286224875042</c:v>
                </c:pt>
                <c:pt idx="941">
                  <c:v>-0.58631361698678086</c:v>
                </c:pt>
                <c:pt idx="942">
                  <c:v>-0.58662413576553774</c:v>
                </c:pt>
                <c:pt idx="943">
                  <c:v>-0.58693441880953012</c:v>
                </c:pt>
                <c:pt idx="944">
                  <c:v>-0.58724446634284055</c:v>
                </c:pt>
                <c:pt idx="945">
                  <c:v>-0.58755427858912623</c:v>
                </c:pt>
                <c:pt idx="946">
                  <c:v>-0.58786385577161937</c:v>
                </c:pt>
                <c:pt idx="947">
                  <c:v>-0.58817319811312962</c:v>
                </c:pt>
                <c:pt idx="948">
                  <c:v>-0.58848230583604411</c:v>
                </c:pt>
                <c:pt idx="949">
                  <c:v>-0.58879117916232959</c:v>
                </c:pt>
                <c:pt idx="950">
                  <c:v>-0.58909981831353275</c:v>
                </c:pt>
                <c:pt idx="951">
                  <c:v>-0.58940822351078248</c:v>
                </c:pt>
                <c:pt idx="952">
                  <c:v>-0.58971639497479011</c:v>
                </c:pt>
                <c:pt idx="953">
                  <c:v>-0.59002433292585055</c:v>
                </c:pt>
                <c:pt idx="954">
                  <c:v>-0.59033203758384467</c:v>
                </c:pt>
                <c:pt idx="955">
                  <c:v>-0.59063950916823904</c:v>
                </c:pt>
                <c:pt idx="956">
                  <c:v>-0.59094674789808777</c:v>
                </c:pt>
                <c:pt idx="957">
                  <c:v>-0.59125375399203384</c:v>
                </c:pt>
                <c:pt idx="958">
                  <c:v>-0.59156052766830969</c:v>
                </c:pt>
                <c:pt idx="959">
                  <c:v>-0.59186706914473919</c:v>
                </c:pt>
                <c:pt idx="960">
                  <c:v>-0.59217337863873765</c:v>
                </c:pt>
                <c:pt idx="961">
                  <c:v>-0.59247945636731414</c:v>
                </c:pt>
                <c:pt idx="962">
                  <c:v>-0.59278530254707174</c:v>
                </c:pt>
                <c:pt idx="963">
                  <c:v>-0.5930909173942096</c:v>
                </c:pt>
                <c:pt idx="964">
                  <c:v>-0.59339630112452268</c:v>
                </c:pt>
                <c:pt idx="965">
                  <c:v>-0.59370145395340457</c:v>
                </c:pt>
                <c:pt idx="966">
                  <c:v>-0.59400637609584706</c:v>
                </c:pt>
                <c:pt idx="967">
                  <c:v>-0.59431106776644227</c:v>
                </c:pt>
                <c:pt idx="968">
                  <c:v>-0.59461552917938376</c:v>
                </c:pt>
                <c:pt idx="969">
                  <c:v>-0.59491976054846651</c:v>
                </c:pt>
                <c:pt idx="970">
                  <c:v>-0.59522376208708971</c:v>
                </c:pt>
                <c:pt idx="971">
                  <c:v>-0.59552753400825642</c:v>
                </c:pt>
                <c:pt idx="972">
                  <c:v>-0.59583107652457568</c:v>
                </c:pt>
                <c:pt idx="973">
                  <c:v>-0.59613438984826261</c:v>
                </c:pt>
                <c:pt idx="974">
                  <c:v>-0.59643747419114079</c:v>
                </c:pt>
                <c:pt idx="975">
                  <c:v>-0.59674032976464186</c:v>
                </c:pt>
                <c:pt idx="976">
                  <c:v>-0.59704295677980812</c:v>
                </c:pt>
                <c:pt idx="977">
                  <c:v>-0.59734535544729217</c:v>
                </c:pt>
                <c:pt idx="978">
                  <c:v>-0.59764752597735904</c:v>
                </c:pt>
                <c:pt idx="979">
                  <c:v>-0.59794946857988696</c:v>
                </c:pt>
                <c:pt idx="980">
                  <c:v>-0.59825118346436812</c:v>
                </c:pt>
                <c:pt idx="981">
                  <c:v>-0.59855267083991004</c:v>
                </c:pt>
                <c:pt idx="982">
                  <c:v>-0.59885393091523642</c:v>
                </c:pt>
                <c:pt idx="983">
                  <c:v>-0.59915496389868883</c:v>
                </c:pt>
                <c:pt idx="984">
                  <c:v>-0.59945576999822658</c:v>
                </c:pt>
                <c:pt idx="985">
                  <c:v>-0.5997563494214293</c:v>
                </c:pt>
                <c:pt idx="986">
                  <c:v>-0.60005670237549602</c:v>
                </c:pt>
                <c:pt idx="987">
                  <c:v>-0.6003568290672483</c:v>
                </c:pt>
                <c:pt idx="988">
                  <c:v>-0.60065672970312967</c:v>
                </c:pt>
                <c:pt idx="989">
                  <c:v>-0.60095640448920762</c:v>
                </c:pt>
                <c:pt idx="990">
                  <c:v>-0.6012558536311744</c:v>
                </c:pt>
                <c:pt idx="991">
                  <c:v>-0.60155507733434743</c:v>
                </c:pt>
                <c:pt idx="992">
                  <c:v>-0.60185407580367134</c:v>
                </c:pt>
                <c:pt idx="993">
                  <c:v>-0.60215284924371815</c:v>
                </c:pt>
                <c:pt idx="994">
                  <c:v>-0.60245139785868862</c:v>
                </c:pt>
                <c:pt idx="995">
                  <c:v>-0.60274972185241371</c:v>
                </c:pt>
                <c:pt idx="996">
                  <c:v>-0.60304782142835422</c:v>
                </c:pt>
                <c:pt idx="997">
                  <c:v>-0.6033456967896037</c:v>
                </c:pt>
                <c:pt idx="998">
                  <c:v>-0.60364334813888754</c:v>
                </c:pt>
                <c:pt idx="999">
                  <c:v>-0.60394077567856574</c:v>
                </c:pt>
                <c:pt idx="1000">
                  <c:v>-0.60423797961063208</c:v>
                </c:pt>
                <c:pt idx="1001">
                  <c:v>-0.60453496013671704</c:v>
                </c:pt>
                <c:pt idx="1002">
                  <c:v>-0.60483171745808706</c:v>
                </c:pt>
                <c:pt idx="1003">
                  <c:v>-0.60512825177564666</c:v>
                </c:pt>
                <c:pt idx="1004">
                  <c:v>-0.60542456328993888</c:v>
                </c:pt>
                <c:pt idx="1005">
                  <c:v>-0.60572065220114613</c:v>
                </c:pt>
                <c:pt idx="1006">
                  <c:v>-0.60601651870909212</c:v>
                </c:pt>
                <c:pt idx="1007">
                  <c:v>-0.60631216301324131</c:v>
                </c:pt>
                <c:pt idx="1008">
                  <c:v>-0.60660758531270143</c:v>
                </c:pt>
                <c:pt idx="1009">
                  <c:v>-0.60690278580622303</c:v>
                </c:pt>
                <c:pt idx="1010">
                  <c:v>-0.60719776469220199</c:v>
                </c:pt>
                <c:pt idx="1011">
                  <c:v>-0.60749252216867866</c:v>
                </c:pt>
                <c:pt idx="1012">
                  <c:v>-0.60778705843334002</c:v>
                </c:pt>
                <c:pt idx="1013">
                  <c:v>-0.60808137368352089</c:v>
                </c:pt>
                <c:pt idx="1014">
                  <c:v>-0.60837546811620358</c:v>
                </c:pt>
                <c:pt idx="1015">
                  <c:v>-0.60866934192802014</c:v>
                </c:pt>
                <c:pt idx="1016">
                  <c:v>-0.60896299531525233</c:v>
                </c:pt>
                <c:pt idx="1017">
                  <c:v>-0.60925642847383354</c:v>
                </c:pt>
                <c:pt idx="1018">
                  <c:v>-0.60954964159934832</c:v>
                </c:pt>
                <c:pt idx="1019">
                  <c:v>-0.60984263488703483</c:v>
                </c:pt>
                <c:pt idx="1020">
                  <c:v>-0.61013540853178483</c:v>
                </c:pt>
                <c:pt idx="1021">
                  <c:v>-0.6104279627281447</c:v>
                </c:pt>
                <c:pt idx="1022">
                  <c:v>-0.61072029767031677</c:v>
                </c:pt>
                <c:pt idx="1023">
                  <c:v>-0.61101241355215963</c:v>
                </c:pt>
                <c:pt idx="1024">
                  <c:v>-0.61130431056718948</c:v>
                </c:pt>
                <c:pt idx="1025">
                  <c:v>-0.61159598890858102</c:v>
                </c:pt>
                <c:pt idx="1026">
                  <c:v>-0.61188744876916845</c:v>
                </c:pt>
                <c:pt idx="1027">
                  <c:v>-0.61217869034144545</c:v>
                </c:pt>
                <c:pt idx="1028">
                  <c:v>-0.61246971381756765</c:v>
                </c:pt>
                <c:pt idx="1029">
                  <c:v>-0.61276051938935228</c:v>
                </c:pt>
                <c:pt idx="1030">
                  <c:v>-0.61305110724827916</c:v>
                </c:pt>
                <c:pt idx="1031">
                  <c:v>-0.61334147758549251</c:v>
                </c:pt>
                <c:pt idx="1032">
                  <c:v>-0.6136316305918007</c:v>
                </c:pt>
                <c:pt idx="1033">
                  <c:v>-0.61392156645767815</c:v>
                </c:pt>
                <c:pt idx="1034">
                  <c:v>-0.61421128537326497</c:v>
                </c:pt>
                <c:pt idx="1035">
                  <c:v>-0.61450078752836934</c:v>
                </c:pt>
                <c:pt idx="1036">
                  <c:v>-0.61479007311246692</c:v>
                </c:pt>
                <c:pt idx="1037">
                  <c:v>-0.61507914231470306</c:v>
                </c:pt>
                <c:pt idx="1038">
                  <c:v>-0.61536799532389264</c:v>
                </c:pt>
                <c:pt idx="1039">
                  <c:v>-0.61565663232852119</c:v>
                </c:pt>
                <c:pt idx="1040">
                  <c:v>-0.61594505351674622</c:v>
                </c:pt>
                <c:pt idx="1041">
                  <c:v>-0.61623325907639714</c:v>
                </c:pt>
                <c:pt idx="1042">
                  <c:v>-0.61652124919497786</c:v>
                </c:pt>
                <c:pt idx="1043">
                  <c:v>-0.61680902405966498</c:v>
                </c:pt>
                <c:pt idx="1044">
                  <c:v>-0.61709658385731136</c:v>
                </c:pt>
                <c:pt idx="1045">
                  <c:v>-0.61738392877444515</c:v>
                </c:pt>
                <c:pt idx="1046">
                  <c:v>-0.61767105899727126</c:v>
                </c:pt>
                <c:pt idx="1047">
                  <c:v>-0.61795797471167235</c:v>
                </c:pt>
                <c:pt idx="1048">
                  <c:v>-0.61824467610320921</c:v>
                </c:pt>
                <c:pt idx="1049">
                  <c:v>-0.61853116335712244</c:v>
                </c:pt>
                <c:pt idx="1050">
                  <c:v>-0.61881743665833167</c:v>
                </c:pt>
                <c:pt idx="1051">
                  <c:v>-0.61910349619143878</c:v>
                </c:pt>
                <c:pt idx="1052">
                  <c:v>-0.61938934214072605</c:v>
                </c:pt>
                <c:pt idx="1053">
                  <c:v>-0.61967497469015942</c:v>
                </c:pt>
                <c:pt idx="1054">
                  <c:v>-0.61996039402338732</c:v>
                </c:pt>
                <c:pt idx="1055">
                  <c:v>-0.6202456003237431</c:v>
                </c:pt>
                <c:pt idx="1056">
                  <c:v>-0.62053059377424435</c:v>
                </c:pt>
                <c:pt idx="1057">
                  <c:v>-0.62081537455759495</c:v>
                </c:pt>
                <c:pt idx="1058">
                  <c:v>-0.62109994285618553</c:v>
                </c:pt>
                <c:pt idx="1059">
                  <c:v>-0.62138429885209367</c:v>
                </c:pt>
                <c:pt idx="1060">
                  <c:v>-0.62166844272708544</c:v>
                </c:pt>
                <c:pt idx="1061">
                  <c:v>-0.62195237466261599</c:v>
                </c:pt>
                <c:pt idx="1062">
                  <c:v>-0.62223609483983022</c:v>
                </c:pt>
                <c:pt idx="1063">
                  <c:v>-0.62251960343956336</c:v>
                </c:pt>
                <c:pt idx="1064">
                  <c:v>-0.62280290064234278</c:v>
                </c:pt>
                <c:pt idx="1065">
                  <c:v>-0.62308598662838732</c:v>
                </c:pt>
                <c:pt idx="1066">
                  <c:v>-0.62336886157760885</c:v>
                </c:pt>
                <c:pt idx="1067">
                  <c:v>-0.62365152566961357</c:v>
                </c:pt>
                <c:pt idx="1068">
                  <c:v>-0.62393397908370174</c:v>
                </c:pt>
                <c:pt idx="1069">
                  <c:v>-0.62421622199886906</c:v>
                </c:pt>
                <c:pt idx="1070">
                  <c:v>-0.62449825459380737</c:v>
                </c:pt>
                <c:pt idx="1071">
                  <c:v>-0.62478007704690541</c:v>
                </c:pt>
                <c:pt idx="1072">
                  <c:v>-0.62506168953624963</c:v>
                </c:pt>
                <c:pt idx="1073">
                  <c:v>-0.62534309223962448</c:v>
                </c:pt>
                <c:pt idx="1074">
                  <c:v>-0.62562428533451409</c:v>
                </c:pt>
                <c:pt idx="1075">
                  <c:v>-0.6259052689981025</c:v>
                </c:pt>
                <c:pt idx="1076">
                  <c:v>-0.62618604340727402</c:v>
                </c:pt>
                <c:pt idx="1077">
                  <c:v>-0.62646660873861482</c:v>
                </c:pt>
                <c:pt idx="1078">
                  <c:v>-0.62674696516841322</c:v>
                </c:pt>
                <c:pt idx="1079">
                  <c:v>-0.62702711287266033</c:v>
                </c:pt>
                <c:pt idx="1080">
                  <c:v>-0.62730705202705128</c:v>
                </c:pt>
                <c:pt idx="1081">
                  <c:v>-0.62758678280698521</c:v>
                </c:pt>
                <c:pt idx="1082">
                  <c:v>-0.62786630538756694</c:v>
                </c:pt>
                <c:pt idx="1083">
                  <c:v>-0.62814561994360718</c:v>
                </c:pt>
                <c:pt idx="1084">
                  <c:v>-0.62842472664962268</c:v>
                </c:pt>
                <c:pt idx="1085">
                  <c:v>-0.62870362567983895</c:v>
                </c:pt>
                <c:pt idx="1086">
                  <c:v>-0.62898231720818809</c:v>
                </c:pt>
                <c:pt idx="1087">
                  <c:v>-0.62926080140831231</c:v>
                </c:pt>
                <c:pt idx="1088">
                  <c:v>-0.62953907845356283</c:v>
                </c:pt>
                <c:pt idx="1089">
                  <c:v>-0.62981714851700166</c:v>
                </c:pt>
                <c:pt idx="1090">
                  <c:v>-0.63009501177140137</c:v>
                </c:pt>
                <c:pt idx="1091">
                  <c:v>-0.63037266838924655</c:v>
                </c:pt>
                <c:pt idx="1092">
                  <c:v>-0.63065011854273456</c:v>
                </c:pt>
                <c:pt idx="1093">
                  <c:v>-0.63092736240377567</c:v>
                </c:pt>
                <c:pt idx="1094">
                  <c:v>-0.63120440014399459</c:v>
                </c:pt>
                <c:pt idx="1095">
                  <c:v>-0.63148123193472983</c:v>
                </c:pt>
                <c:pt idx="1096">
                  <c:v>-0.63175785794703632</c:v>
                </c:pt>
                <c:pt idx="1097">
                  <c:v>-0.63203427835168424</c:v>
                </c:pt>
                <c:pt idx="1098">
                  <c:v>-0.632310493319161</c:v>
                </c:pt>
                <c:pt idx="1099">
                  <c:v>-0.63258650301967145</c:v>
                </c:pt>
                <c:pt idx="1100">
                  <c:v>-0.63286230762313855</c:v>
                </c:pt>
                <c:pt idx="1101">
                  <c:v>-0.63313790729920461</c:v>
                </c:pt>
                <c:pt idx="1102">
                  <c:v>-0.63341330221723047</c:v>
                </c:pt>
                <c:pt idx="1103">
                  <c:v>-0.63368849254629844</c:v>
                </c:pt>
                <c:pt idx="1104">
                  <c:v>-0.63396347845521117</c:v>
                </c:pt>
                <c:pt idx="1105">
                  <c:v>-0.63423826011249329</c:v>
                </c:pt>
                <c:pt idx="1106">
                  <c:v>-0.63451283768639133</c:v>
                </c:pt>
                <c:pt idx="1107">
                  <c:v>-0.63478721134487559</c:v>
                </c:pt>
                <c:pt idx="1108">
                  <c:v>-0.6350613812556396</c:v>
                </c:pt>
                <c:pt idx="1109">
                  <c:v>-0.63533534758610111</c:v>
                </c:pt>
                <c:pt idx="1110">
                  <c:v>-0.63560911050340363</c:v>
                </c:pt>
                <c:pt idx="1111">
                  <c:v>-0.63588267017441569</c:v>
                </c:pt>
                <c:pt idx="1112">
                  <c:v>-0.63615602676573302</c:v>
                </c:pt>
                <c:pt idx="1113">
                  <c:v>-0.63642918044367791</c:v>
                </c:pt>
                <c:pt idx="1114">
                  <c:v>-0.63670213137430087</c:v>
                </c:pt>
                <c:pt idx="1115">
                  <c:v>-0.63697487972338018</c:v>
                </c:pt>
                <c:pt idx="1116">
                  <c:v>-0.637247425656424</c:v>
                </c:pt>
                <c:pt idx="1117">
                  <c:v>-0.63751976933866983</c:v>
                </c:pt>
                <c:pt idx="1118">
                  <c:v>-0.63779191093508569</c:v>
                </c:pt>
                <c:pt idx="1119">
                  <c:v>-0.63806385061037096</c:v>
                </c:pt>
                <c:pt idx="1120">
                  <c:v>-0.63833558852895611</c:v>
                </c:pt>
                <c:pt idx="1121">
                  <c:v>-0.63860712485500515</c:v>
                </c:pt>
                <c:pt idx="1122">
                  <c:v>-0.63887845975241386</c:v>
                </c:pt>
                <c:pt idx="1123">
                  <c:v>-0.6391495933848127</c:v>
                </c:pt>
                <c:pt idx="1124">
                  <c:v>-0.63942052591556597</c:v>
                </c:pt>
                <c:pt idx="1125">
                  <c:v>-0.63969125750777345</c:v>
                </c:pt>
                <c:pt idx="1126">
                  <c:v>-0.63996178832427009</c:v>
                </c:pt>
                <c:pt idx="1127">
                  <c:v>-0.6402321185276274</c:v>
                </c:pt>
                <c:pt idx="1128">
                  <c:v>-0.64050224828015379</c:v>
                </c:pt>
                <c:pt idx="1129">
                  <c:v>-0.64077217774389517</c:v>
                </c:pt>
                <c:pt idx="1130">
                  <c:v>-0.64104190708063591</c:v>
                </c:pt>
                <c:pt idx="1131">
                  <c:v>-0.6413114364518987</c:v>
                </c:pt>
                <c:pt idx="1132">
                  <c:v>-0.64158076601894654</c:v>
                </c:pt>
                <c:pt idx="1133">
                  <c:v>-0.64184989594278163</c:v>
                </c:pt>
                <c:pt idx="1134">
                  <c:v>-0.64211882638414752</c:v>
                </c:pt>
                <c:pt idx="1135">
                  <c:v>-0.64238755750352905</c:v>
                </c:pt>
                <c:pt idx="1136">
                  <c:v>-0.6426560894611526</c:v>
                </c:pt>
                <c:pt idx="1137">
                  <c:v>-0.64292442241698777</c:v>
                </c:pt>
                <c:pt idx="1138">
                  <c:v>-0.64319255653074692</c:v>
                </c:pt>
                <c:pt idx="1139">
                  <c:v>-0.64346049196188682</c:v>
                </c:pt>
                <c:pt idx="1140">
                  <c:v>-0.64372822886960779</c:v>
                </c:pt>
                <c:pt idx="1141">
                  <c:v>-0.64399576741285602</c:v>
                </c:pt>
                <c:pt idx="1142">
                  <c:v>-0.64426310775032325</c:v>
                </c:pt>
                <c:pt idx="1143">
                  <c:v>-0.64453025004044706</c:v>
                </c:pt>
                <c:pt idx="1144">
                  <c:v>-0.64479719444141259</c:v>
                </c:pt>
                <c:pt idx="1145">
                  <c:v>-0.64506394111115195</c:v>
                </c:pt>
                <c:pt idx="1146">
                  <c:v>-0.64533049020734568</c:v>
                </c:pt>
                <c:pt idx="1147">
                  <c:v>-0.64559684188742283</c:v>
                </c:pt>
                <c:pt idx="1148">
                  <c:v>-0.64586299630856203</c:v>
                </c:pt>
                <c:pt idx="1149">
                  <c:v>-0.6461289536276914</c:v>
                </c:pt>
                <c:pt idx="1150">
                  <c:v>-0.64639471400149018</c:v>
                </c:pt>
                <c:pt idx="1151">
                  <c:v>-0.64666027758638822</c:v>
                </c:pt>
                <c:pt idx="1152">
                  <c:v>-0.64692564453856716</c:v>
                </c:pt>
                <c:pt idx="1153">
                  <c:v>-0.64719081501396092</c:v>
                </c:pt>
                <c:pt idx="1154">
                  <c:v>-0.64745578916825663</c:v>
                </c:pt>
                <c:pt idx="1155">
                  <c:v>-0.64772056715689441</c:v>
                </c:pt>
                <c:pt idx="1156">
                  <c:v>-0.64798514913506877</c:v>
                </c:pt>
                <c:pt idx="1157">
                  <c:v>-0.64824953525772866</c:v>
                </c:pt>
                <c:pt idx="1158">
                  <c:v>-0.64851372567957821</c:v>
                </c:pt>
                <c:pt idx="1159">
                  <c:v>-0.64877772055507765</c:v>
                </c:pt>
                <c:pt idx="1160">
                  <c:v>-0.64904152003844318</c:v>
                </c:pt>
                <c:pt idx="1161">
                  <c:v>-0.64930512428364839</c:v>
                </c:pt>
                <c:pt idx="1162">
                  <c:v>-0.64956853344442378</c:v>
                </c:pt>
                <c:pt idx="1163">
                  <c:v>-0.64983174767425878</c:v>
                </c:pt>
                <c:pt idx="1164">
                  <c:v>-0.65009476712640046</c:v>
                </c:pt>
                <c:pt idx="1165">
                  <c:v>-0.65035759195385601</c:v>
                </c:pt>
                <c:pt idx="1166">
                  <c:v>-0.6506202223093922</c:v>
                </c:pt>
                <c:pt idx="1167">
                  <c:v>-0.65088265834553594</c:v>
                </c:pt>
                <c:pt idx="1168">
                  <c:v>-0.65114490021457505</c:v>
                </c:pt>
                <c:pt idx="1169">
                  <c:v>-0.65140694806855926</c:v>
                </c:pt>
                <c:pt idx="1170">
                  <c:v>-0.65166880205929978</c:v>
                </c:pt>
                <c:pt idx="1171">
                  <c:v>-0.65193046233837093</c:v>
                </c:pt>
                <c:pt idx="1172">
                  <c:v>-0.65219192905710976</c:v>
                </c:pt>
                <c:pt idx="1173">
                  <c:v>-0.65245320236661741</c:v>
                </c:pt>
                <c:pt idx="1174">
                  <c:v>-0.65271428241775931</c:v>
                </c:pt>
                <c:pt idx="1175">
                  <c:v>-0.65297516936116518</c:v>
                </c:pt>
                <c:pt idx="1176">
                  <c:v>-0.65323586334723072</c:v>
                </c:pt>
                <c:pt idx="1177">
                  <c:v>-0.65349636452611726</c:v>
                </c:pt>
                <c:pt idx="1178">
                  <c:v>-0.65375667304775265</c:v>
                </c:pt>
                <c:pt idx="1179">
                  <c:v>-0.65401678906183192</c:v>
                </c:pt>
                <c:pt idx="1180">
                  <c:v>-0.65427671271781707</c:v>
                </c:pt>
                <c:pt idx="1181">
                  <c:v>-0.65453644416493884</c:v>
                </c:pt>
                <c:pt idx="1182">
                  <c:v>-0.65479598355219659</c:v>
                </c:pt>
                <c:pt idx="1183">
                  <c:v>-0.65505533102835856</c:v>
                </c:pt>
                <c:pt idx="1184">
                  <c:v>-0.65531448674196258</c:v>
                </c:pt>
                <c:pt idx="1185">
                  <c:v>-0.65557345084131691</c:v>
                </c:pt>
                <c:pt idx="1186">
                  <c:v>-0.65583222347450087</c:v>
                </c:pt>
                <c:pt idx="1187">
                  <c:v>-0.65609080478936455</c:v>
                </c:pt>
                <c:pt idx="1188">
                  <c:v>-0.65634919493353039</c:v>
                </c:pt>
                <c:pt idx="1189">
                  <c:v>-0.65660739405439272</c:v>
                </c:pt>
                <c:pt idx="1190">
                  <c:v>-0.65686540229911894</c:v>
                </c:pt>
                <c:pt idx="1191">
                  <c:v>-0.65712321981465016</c:v>
                </c:pt>
                <c:pt idx="1192">
                  <c:v>-0.65738084674770114</c:v>
                </c:pt>
                <c:pt idx="1193">
                  <c:v>-0.65763828324476092</c:v>
                </c:pt>
                <c:pt idx="1194">
                  <c:v>-0.65789552945209384</c:v>
                </c:pt>
                <c:pt idx="1195">
                  <c:v>-0.65815258551573974</c:v>
                </c:pt>
                <c:pt idx="1196">
                  <c:v>-0.65840945158151409</c:v>
                </c:pt>
                <c:pt idx="1197">
                  <c:v>-0.65866612779500944</c:v>
                </c:pt>
                <c:pt idx="1198">
                  <c:v>-0.65892261430159482</c:v>
                </c:pt>
                <c:pt idx="1199">
                  <c:v>-0.65917891124641748</c:v>
                </c:pt>
                <c:pt idx="1200">
                  <c:v>-0.65943501877440203</c:v>
                </c:pt>
                <c:pt idx="1201">
                  <c:v>-0.65969093703025194</c:v>
                </c:pt>
                <c:pt idx="1202">
                  <c:v>-0.6599466661584501</c:v>
                </c:pt>
                <c:pt idx="1203">
                  <c:v>-0.66020220630325832</c:v>
                </c:pt>
                <c:pt idx="1204">
                  <c:v>-0.66045755760871905</c:v>
                </c:pt>
                <c:pt idx="1205">
                  <c:v>-0.66071272021865513</c:v>
                </c:pt>
                <c:pt idx="1206">
                  <c:v>-0.66096769427667024</c:v>
                </c:pt>
                <c:pt idx="1207">
                  <c:v>-0.66122247992615013</c:v>
                </c:pt>
                <c:pt idx="1208">
                  <c:v>-0.66147707731026251</c:v>
                </c:pt>
                <c:pt idx="1209">
                  <c:v>-0.66173148657195724</c:v>
                </c:pt>
                <c:pt idx="1210">
                  <c:v>-0.66198570785396782</c:v>
                </c:pt>
                <c:pt idx="1211">
                  <c:v>-0.66223974129881125</c:v>
                </c:pt>
                <c:pt idx="1212">
                  <c:v>-0.66249358704878802</c:v>
                </c:pt>
                <c:pt idx="1213">
                  <c:v>-0.66274724524598372</c:v>
                </c:pt>
                <c:pt idx="1214">
                  <c:v>-0.66300071603226907</c:v>
                </c:pt>
                <c:pt idx="1215">
                  <c:v>-0.66325399954930009</c:v>
                </c:pt>
                <c:pt idx="1216">
                  <c:v>-0.66350709593851875</c:v>
                </c:pt>
                <c:pt idx="1217">
                  <c:v>-0.66376000534115354</c:v>
                </c:pt>
                <c:pt idx="1218">
                  <c:v>-0.66401272789822008</c:v>
                </c:pt>
                <c:pt idx="1219">
                  <c:v>-0.66426526375052153</c:v>
                </c:pt>
                <c:pt idx="1220">
                  <c:v>-0.66451761303864854</c:v>
                </c:pt>
                <c:pt idx="1221">
                  <c:v>-0.66476977590298081</c:v>
                </c:pt>
                <c:pt idx="1222">
                  <c:v>-0.66502175248368656</c:v>
                </c:pt>
                <c:pt idx="1223">
                  <c:v>-0.66527354292072338</c:v>
                </c:pt>
                <c:pt idx="1224">
                  <c:v>-0.66552514735383861</c:v>
                </c:pt>
                <c:pt idx="1225">
                  <c:v>-0.66577656592257062</c:v>
                </c:pt>
                <c:pt idx="1226">
                  <c:v>-0.66602779876624751</c:v>
                </c:pt>
                <c:pt idx="1227">
                  <c:v>-0.66627884602398957</c:v>
                </c:pt>
                <c:pt idx="1228">
                  <c:v>-0.66652970783470844</c:v>
                </c:pt>
                <c:pt idx="1229">
                  <c:v>-0.66678038433710751</c:v>
                </c:pt>
                <c:pt idx="1230">
                  <c:v>-0.66703087566968389</c:v>
                </c:pt>
                <c:pt idx="1231">
                  <c:v>-0.66728118197072706</c:v>
                </c:pt>
                <c:pt idx="1232">
                  <c:v>-0.66753130337832012</c:v>
                </c:pt>
                <c:pt idx="1233">
                  <c:v>-0.66778124003034056</c:v>
                </c:pt>
                <c:pt idx="1234">
                  <c:v>-0.66803099206446015</c:v>
                </c:pt>
                <c:pt idx="1235">
                  <c:v>-0.6682805596181457</c:v>
                </c:pt>
                <c:pt idx="1236">
                  <c:v>-0.66852994282865952</c:v>
                </c:pt>
                <c:pt idx="1237">
                  <c:v>-0.66877914183305964</c:v>
                </c:pt>
                <c:pt idx="1238">
                  <c:v>-0.6690281567682006</c:v>
                </c:pt>
                <c:pt idx="1239">
                  <c:v>-0.66927698777073386</c:v>
                </c:pt>
                <c:pt idx="1240">
                  <c:v>-0.66952563497710782</c:v>
                </c:pt>
                <c:pt idx="1241">
                  <c:v>-0.66977409852356873</c:v>
                </c:pt>
                <c:pt idx="1242">
                  <c:v>-0.67002237854616087</c:v>
                </c:pt>
                <c:pt idx="1243">
                  <c:v>-0.67027047518072758</c:v>
                </c:pt>
                <c:pt idx="1244">
                  <c:v>-0.67051838856291057</c:v>
                </c:pt>
                <c:pt idx="1245">
                  <c:v>-0.67076611882815163</c:v>
                </c:pt>
                <c:pt idx="1246">
                  <c:v>-0.671013666111692</c:v>
                </c:pt>
                <c:pt idx="1247">
                  <c:v>-0.67126103054857378</c:v>
                </c:pt>
                <c:pt idx="1248">
                  <c:v>-0.67150821227363966</c:v>
                </c:pt>
                <c:pt idx="1249">
                  <c:v>-0.67175521142153349</c:v>
                </c:pt>
                <c:pt idx="1250">
                  <c:v>-0.67200202812670096</c:v>
                </c:pt>
                <c:pt idx="1251">
                  <c:v>-0.67224866252338977</c:v>
                </c:pt>
                <c:pt idx="1252">
                  <c:v>-0.6724951147456506</c:v>
                </c:pt>
                <c:pt idx="1253">
                  <c:v>-0.67274138492733648</c:v>
                </c:pt>
                <c:pt idx="1254">
                  <c:v>-0.6729874732021045</c:v>
                </c:pt>
                <c:pt idx="1255">
                  <c:v>-0.67323337970341524</c:v>
                </c:pt>
                <c:pt idx="1256">
                  <c:v>-0.67347910456453375</c:v>
                </c:pt>
                <c:pt idx="1257">
                  <c:v>-0.67372464791852982</c:v>
                </c:pt>
                <c:pt idx="1258">
                  <c:v>-0.67397000989827838</c:v>
                </c:pt>
                <c:pt idx="1259">
                  <c:v>-0.67421519063645985</c:v>
                </c:pt>
                <c:pt idx="1260">
                  <c:v>-0.67446019026556081</c:v>
                </c:pt>
                <c:pt idx="1261">
                  <c:v>-0.67470500891787444</c:v>
                </c:pt>
                <c:pt idx="1262">
                  <c:v>-0.67494964672550029</c:v>
                </c:pt>
                <c:pt idx="1263">
                  <c:v>-0.67519410382034595</c:v>
                </c:pt>
                <c:pt idx="1264">
                  <c:v>-0.67543838033412595</c:v>
                </c:pt>
                <c:pt idx="1265">
                  <c:v>-0.67568247639836343</c:v>
                </c:pt>
                <c:pt idx="1266">
                  <c:v>-0.67592639214438999</c:v>
                </c:pt>
                <c:pt idx="1267">
                  <c:v>-0.67617012770334606</c:v>
                </c:pt>
                <c:pt idx="1268">
                  <c:v>-0.67641368320618156</c:v>
                </c:pt>
                <c:pt idx="1269">
                  <c:v>-0.67665705878365645</c:v>
                </c:pt>
                <c:pt idx="1270">
                  <c:v>-0.67690025456634051</c:v>
                </c:pt>
                <c:pt idx="1271">
                  <c:v>-0.67714327068461422</c:v>
                </c:pt>
                <c:pt idx="1272">
                  <c:v>-0.67738610726866932</c:v>
                </c:pt>
                <c:pt idx="1273">
                  <c:v>-0.67762876444850895</c:v>
                </c:pt>
                <c:pt idx="1274">
                  <c:v>-0.67787124235394802</c:v>
                </c:pt>
                <c:pt idx="1275">
                  <c:v>-0.67811354111461364</c:v>
                </c:pt>
                <c:pt idx="1276">
                  <c:v>-0.67835566085994581</c:v>
                </c:pt>
                <c:pt idx="1277">
                  <c:v>-0.67859760171919736</c:v>
                </c:pt>
                <c:pt idx="1278">
                  <c:v>-0.67883936382143484</c:v>
                </c:pt>
                <c:pt idx="1279">
                  <c:v>-0.67908094729553869</c:v>
                </c:pt>
                <c:pt idx="1280">
                  <c:v>-0.67932235227020343</c:v>
                </c:pt>
                <c:pt idx="1281">
                  <c:v>-0.67956357887393848</c:v>
                </c:pt>
                <c:pt idx="1282">
                  <c:v>-0.67980462723506818</c:v>
                </c:pt>
                <c:pt idx="1283">
                  <c:v>-0.6800454974817326</c:v>
                </c:pt>
                <c:pt idx="1284">
                  <c:v>-0.68028618974188737</c:v>
                </c:pt>
                <c:pt idx="1285">
                  <c:v>-0.68052670414330463</c:v>
                </c:pt>
                <c:pt idx="1286">
                  <c:v>-0.68076704081357342</c:v>
                </c:pt>
                <c:pt idx="1287">
                  <c:v>-0.68100719988009928</c:v>
                </c:pt>
                <c:pt idx="1288">
                  <c:v>-0.68124718147010555</c:v>
                </c:pt>
                <c:pt idx="1289">
                  <c:v>-0.6814869857106336</c:v>
                </c:pt>
                <c:pt idx="1290">
                  <c:v>-0.68172661272854296</c:v>
                </c:pt>
                <c:pt idx="1291">
                  <c:v>-0.68196606265051141</c:v>
                </c:pt>
                <c:pt idx="1292">
                  <c:v>-0.68220533560303631</c:v>
                </c:pt>
                <c:pt idx="1293">
                  <c:v>-0.68244443171243419</c:v>
                </c:pt>
                <c:pt idx="1294">
                  <c:v>-0.68268335110484113</c:v>
                </c:pt>
                <c:pt idx="1295">
                  <c:v>-0.68292209390621406</c:v>
                </c:pt>
                <c:pt idx="1296">
                  <c:v>-0.6831606602423298</c:v>
                </c:pt>
                <c:pt idx="1297">
                  <c:v>-0.68339905023878655</c:v>
                </c:pt>
                <c:pt idx="1298">
                  <c:v>-0.68363726402100378</c:v>
                </c:pt>
                <c:pt idx="1299">
                  <c:v>-0.68387530171422251</c:v>
                </c:pt>
                <c:pt idx="1300">
                  <c:v>-0.68411316344350592</c:v>
                </c:pt>
                <c:pt idx="1301">
                  <c:v>-0.6843508493337398</c:v>
                </c:pt>
                <c:pt idx="1302">
                  <c:v>-0.68458835950963282</c:v>
                </c:pt>
                <c:pt idx="1303">
                  <c:v>-0.68482569409571659</c:v>
                </c:pt>
                <c:pt idx="1304">
                  <c:v>-0.68506285321634652</c:v>
                </c:pt>
                <c:pt idx="1305">
                  <c:v>-0.68529983699570218</c:v>
                </c:pt>
                <c:pt idx="1306">
                  <c:v>-0.68553664555778726</c:v>
                </c:pt>
                <c:pt idx="1307">
                  <c:v>-0.68577327902643015</c:v>
                </c:pt>
                <c:pt idx="1308">
                  <c:v>-0.68600973752528449</c:v>
                </c:pt>
                <c:pt idx="1309">
                  <c:v>-0.68624602117782929</c:v>
                </c:pt>
                <c:pt idx="1310">
                  <c:v>-0.68648213010736936</c:v>
                </c:pt>
                <c:pt idx="1311">
                  <c:v>-0.68671806443703609</c:v>
                </c:pt>
                <c:pt idx="1312">
                  <c:v>-0.68695382428978702</c:v>
                </c:pt>
                <c:pt idx="1313">
                  <c:v>-0.68718940978840659</c:v>
                </c:pt>
                <c:pt idx="1314">
                  <c:v>-0.68742482105550706</c:v>
                </c:pt>
                <c:pt idx="1315">
                  <c:v>-0.68766005821352783</c:v>
                </c:pt>
                <c:pt idx="1316">
                  <c:v>-0.68789512138473641</c:v>
                </c:pt>
                <c:pt idx="1317">
                  <c:v>-0.68813001069122903</c:v>
                </c:pt>
                <c:pt idx="1318">
                  <c:v>-0.68836472625493039</c:v>
                </c:pt>
                <c:pt idx="1319">
                  <c:v>-0.68859926819759454</c:v>
                </c:pt>
                <c:pt idx="1320">
                  <c:v>-0.68883363664080455</c:v>
                </c:pt>
                <c:pt idx="1321">
                  <c:v>-0.68906783170597397</c:v>
                </c:pt>
                <c:pt idx="1322">
                  <c:v>-0.68930185351434592</c:v>
                </c:pt>
                <c:pt idx="1323">
                  <c:v>-0.68953570218699456</c:v>
                </c:pt>
                <c:pt idx="1324">
                  <c:v>-0.68976937784482473</c:v>
                </c:pt>
                <c:pt idx="1325">
                  <c:v>-0.6900028806085724</c:v>
                </c:pt>
                <c:pt idx="1326">
                  <c:v>-0.69023621059880536</c:v>
                </c:pt>
                <c:pt idx="1327">
                  <c:v>-0.69046936793592317</c:v>
                </c:pt>
                <c:pt idx="1328">
                  <c:v>-0.69070235274015812</c:v>
                </c:pt>
                <c:pt idx="1329">
                  <c:v>-0.69093516513157471</c:v>
                </c:pt>
                <c:pt idx="1330">
                  <c:v>-0.69116780523007049</c:v>
                </c:pt>
                <c:pt idx="1331">
                  <c:v>-0.69140027315537678</c:v>
                </c:pt>
                <c:pt idx="1332">
                  <c:v>-0.69163256902705794</c:v>
                </c:pt>
                <c:pt idx="1333">
                  <c:v>-0.69186469296451314</c:v>
                </c:pt>
                <c:pt idx="1334">
                  <c:v>-0.69209664508697522</c:v>
                </c:pt>
                <c:pt idx="1335">
                  <c:v>-0.69232842551351226</c:v>
                </c:pt>
                <c:pt idx="1336">
                  <c:v>-0.69256003436302738</c:v>
                </c:pt>
                <c:pt idx="1337">
                  <c:v>-0.69279147175425893</c:v>
                </c:pt>
                <c:pt idx="1338">
                  <c:v>-0.69302273780578094</c:v>
                </c:pt>
                <c:pt idx="1339">
                  <c:v>-0.69325383263600404</c:v>
                </c:pt>
                <c:pt idx="1340">
                  <c:v>-0.69348475636317475</c:v>
                </c:pt>
                <c:pt idx="1341">
                  <c:v>-0.69371550910537683</c:v>
                </c:pt>
                <c:pt idx="1342">
                  <c:v>-0.69394609098053095</c:v>
                </c:pt>
                <c:pt idx="1343">
                  <c:v>-0.69417650210639503</c:v>
                </c:pt>
                <c:pt idx="1344">
                  <c:v>-0.69440674260056523</c:v>
                </c:pt>
                <c:pt idx="1345">
                  <c:v>-0.6946368125804756</c:v>
                </c:pt>
                <c:pt idx="1346">
                  <c:v>-0.69486671216339879</c:v>
                </c:pt>
                <c:pt idx="1347">
                  <c:v>-0.69509644146644589</c:v>
                </c:pt>
                <c:pt idx="1348">
                  <c:v>-0.69532600060656757</c:v>
                </c:pt>
                <c:pt idx="1349">
                  <c:v>-0.69555538970055375</c:v>
                </c:pt>
                <c:pt idx="1350">
                  <c:v>-0.69578460886503402</c:v>
                </c:pt>
                <c:pt idx="1351">
                  <c:v>-0.69601365821647854</c:v>
                </c:pt>
                <c:pt idx="1352">
                  <c:v>-0.6962425378711975</c:v>
                </c:pt>
                <c:pt idx="1353">
                  <c:v>-0.69647124794534188</c:v>
                </c:pt>
                <c:pt idx="1354">
                  <c:v>-0.69669978855490389</c:v>
                </c:pt>
                <c:pt idx="1355">
                  <c:v>-0.69692815981571732</c:v>
                </c:pt>
                <c:pt idx="1356">
                  <c:v>-0.69715636184345753</c:v>
                </c:pt>
                <c:pt idx="1357">
                  <c:v>-0.69738439475364178</c:v>
                </c:pt>
                <c:pt idx="1358">
                  <c:v>-0.69761225866163024</c:v>
                </c:pt>
                <c:pt idx="1359">
                  <c:v>-0.6978399536826253</c:v>
                </c:pt>
                <c:pt idx="1360">
                  <c:v>-0.69806747993167273</c:v>
                </c:pt>
                <c:pt idx="1361">
                  <c:v>-0.6982948375236615</c:v>
                </c:pt>
                <c:pt idx="1362">
                  <c:v>-0.69852202657332441</c:v>
                </c:pt>
                <c:pt idx="1363">
                  <c:v>-0.69874904719523812</c:v>
                </c:pt>
                <c:pt idx="1364">
                  <c:v>-0.69897589950382366</c:v>
                </c:pt>
                <c:pt idx="1365">
                  <c:v>-0.69920258361334675</c:v>
                </c:pt>
                <c:pt idx="1366">
                  <c:v>-0.69942909963791788</c:v>
                </c:pt>
                <c:pt idx="1367">
                  <c:v>-0.69965544769149324</c:v>
                </c:pt>
                <c:pt idx="1368">
                  <c:v>-0.69988162788787411</c:v>
                </c:pt>
                <c:pt idx="1369">
                  <c:v>-0.70010764034070805</c:v>
                </c:pt>
                <c:pt idx="1370">
                  <c:v>-0.70033348516348848</c:v>
                </c:pt>
                <c:pt idx="1371">
                  <c:v>-0.70055916246955574</c:v>
                </c:pt>
                <c:pt idx="1372">
                  <c:v>-0.70078467237209674</c:v>
                </c:pt>
                <c:pt idx="1373">
                  <c:v>-0.70101001498414561</c:v>
                </c:pt>
                <c:pt idx="1374">
                  <c:v>-0.70123519041858406</c:v>
                </c:pt>
                <c:pt idx="1375">
                  <c:v>-0.70146019878814114</c:v>
                </c:pt>
                <c:pt idx="1376">
                  <c:v>-0.70168504020539457</c:v>
                </c:pt>
                <c:pt idx="1377">
                  <c:v>-0.70190971478277009</c:v>
                </c:pt>
                <c:pt idx="1378">
                  <c:v>-0.70213422263254222</c:v>
                </c:pt>
                <c:pt idx="1379">
                  <c:v>-0.70235856386683437</c:v>
                </c:pt>
                <c:pt idx="1380">
                  <c:v>-0.70258273859761933</c:v>
                </c:pt>
                <c:pt idx="1381">
                  <c:v>-0.70280674693671952</c:v>
                </c:pt>
                <c:pt idx="1382">
                  <c:v>-0.70303058899580728</c:v>
                </c:pt>
                <c:pt idx="1383">
                  <c:v>-0.70325426488640508</c:v>
                </c:pt>
                <c:pt idx="1384">
                  <c:v>-0.70347777471988582</c:v>
                </c:pt>
                <c:pt idx="1385">
                  <c:v>-0.70370111860747342</c:v>
                </c:pt>
                <c:pt idx="1386">
                  <c:v>-0.7039242966602427</c:v>
                </c:pt>
                <c:pt idx="1387">
                  <c:v>-0.70414730898912004</c:v>
                </c:pt>
                <c:pt idx="1388">
                  <c:v>-0.70437015570488337</c:v>
                </c:pt>
                <c:pt idx="1389">
                  <c:v>-0.70459283691816288</c:v>
                </c:pt>
                <c:pt idx="1390">
                  <c:v>-0.70481535273944085</c:v>
                </c:pt>
                <c:pt idx="1391">
                  <c:v>-0.70503770327905191</c:v>
                </c:pt>
                <c:pt idx="1392">
                  <c:v>-0.70525988864718425</c:v>
                </c:pt>
                <c:pt idx="1393">
                  <c:v>-0.70548190895387852</c:v>
                </c:pt>
                <c:pt idx="1394">
                  <c:v>-0.70570376430902937</c:v>
                </c:pt>
                <c:pt idx="1395">
                  <c:v>-0.70592545482238511</c:v>
                </c:pt>
                <c:pt idx="1396">
                  <c:v>-0.70614698060354764</c:v>
                </c:pt>
                <c:pt idx="1397">
                  <c:v>-0.70636834176197394</c:v>
                </c:pt>
                <c:pt idx="1398">
                  <c:v>-0.70658953840697514</c:v>
                </c:pt>
                <c:pt idx="1399">
                  <c:v>-0.70681057064771735</c:v>
                </c:pt>
                <c:pt idx="1400">
                  <c:v>-0.70703143859322215</c:v>
                </c:pt>
                <c:pt idx="1401">
                  <c:v>-0.70725214235236622</c:v>
                </c:pt>
                <c:pt idx="1402">
                  <c:v>-0.70747268203388247</c:v>
                </c:pt>
                <c:pt idx="1403">
                  <c:v>-0.70769305774635971</c:v>
                </c:pt>
                <c:pt idx="1404">
                  <c:v>-0.70791326959824286</c:v>
                </c:pt>
                <c:pt idx="1405">
                  <c:v>-0.70813331769783394</c:v>
                </c:pt>
                <c:pt idx="1406">
                  <c:v>-0.70835320215329156</c:v>
                </c:pt>
                <c:pt idx="1407">
                  <c:v>-0.70857292307263153</c:v>
                </c:pt>
                <c:pt idx="1408">
                  <c:v>-0.70879248056372768</c:v>
                </c:pt>
                <c:pt idx="1409">
                  <c:v>-0.70901187473431093</c:v>
                </c:pt>
                <c:pt idx="1410">
                  <c:v>-0.70923110569197068</c:v>
                </c:pt>
                <c:pt idx="1411">
                  <c:v>-0.70945017354415452</c:v>
                </c:pt>
                <c:pt idx="1412">
                  <c:v>-0.70966907839816873</c:v>
                </c:pt>
                <c:pt idx="1413">
                  <c:v>-0.70988782036117837</c:v>
                </c:pt>
                <c:pt idx="1414">
                  <c:v>-0.71010639954020782</c:v>
                </c:pt>
                <c:pt idx="1415">
                  <c:v>-0.71032481604214093</c:v>
                </c:pt>
                <c:pt idx="1416">
                  <c:v>-0.71054306997372119</c:v>
                </c:pt>
                <c:pt idx="1417">
                  <c:v>-0.7107611614415521</c:v>
                </c:pt>
                <c:pt idx="1418">
                  <c:v>-0.7109790905520974</c:v>
                </c:pt>
                <c:pt idx="1419">
                  <c:v>-0.71119685741168159</c:v>
                </c:pt>
                <c:pt idx="1420">
                  <c:v>-0.71141446212648984</c:v>
                </c:pt>
                <c:pt idx="1421">
                  <c:v>-0.71163190480256844</c:v>
                </c:pt>
                <c:pt idx="1422">
                  <c:v>-0.71184918554582488</c:v>
                </c:pt>
                <c:pt idx="1423">
                  <c:v>-0.71206630446202879</c:v>
                </c:pt>
                <c:pt idx="1424">
                  <c:v>-0.71228326165681122</c:v>
                </c:pt>
                <c:pt idx="1425">
                  <c:v>-0.71250005723566578</c:v>
                </c:pt>
                <c:pt idx="1426">
                  <c:v>-0.71271669130394821</c:v>
                </c:pt>
                <c:pt idx="1427">
                  <c:v>-0.71293316396687723</c:v>
                </c:pt>
                <c:pt idx="1428">
                  <c:v>-0.71314947532953443</c:v>
                </c:pt>
                <c:pt idx="1429">
                  <c:v>-0.71336562549686466</c:v>
                </c:pt>
                <c:pt idx="1430">
                  <c:v>-0.71358161457367653</c:v>
                </c:pt>
                <c:pt idx="1431">
                  <c:v>-0.71379744266464196</c:v>
                </c:pt>
                <c:pt idx="1432">
                  <c:v>-0.71401310987429756</c:v>
                </c:pt>
                <c:pt idx="1433">
                  <c:v>-0.71422861630704371</c:v>
                </c:pt>
                <c:pt idx="1434">
                  <c:v>-0.71444396206714555</c:v>
                </c:pt>
                <c:pt idx="1435">
                  <c:v>-0.71465914725873325</c:v>
                </c:pt>
                <c:pt idx="1436">
                  <c:v>-0.71487417198580205</c:v>
                </c:pt>
                <c:pt idx="1437">
                  <c:v>-0.71508903635221233</c:v>
                </c:pt>
                <c:pt idx="1438">
                  <c:v>-0.71530374046169032</c:v>
                </c:pt>
                <c:pt idx="1439">
                  <c:v>-0.71551828441782817</c:v>
                </c:pt>
                <c:pt idx="1440">
                  <c:v>-0.715732668324084</c:v>
                </c:pt>
                <c:pt idx="1441">
                  <c:v>-0.71594689228378272</c:v>
                </c:pt>
                <c:pt idx="1442">
                  <c:v>-0.71616095640011534</c:v>
                </c:pt>
                <c:pt idx="1443">
                  <c:v>-0.71637486077614043</c:v>
                </c:pt>
                <c:pt idx="1444">
                  <c:v>-0.71658860551478332</c:v>
                </c:pt>
                <c:pt idx="1445">
                  <c:v>-0.716802190718837</c:v>
                </c:pt>
                <c:pt idx="1446">
                  <c:v>-0.71701561649096202</c:v>
                </c:pt>
                <c:pt idx="1447">
                  <c:v>-0.71722888293368703</c:v>
                </c:pt>
                <c:pt idx="1448">
                  <c:v>-0.71744199014940857</c:v>
                </c:pt>
                <c:pt idx="1449">
                  <c:v>-0.71765493824039239</c:v>
                </c:pt>
                <c:pt idx="1450">
                  <c:v>-0.71786772730877213</c:v>
                </c:pt>
                <c:pt idx="1451">
                  <c:v>-0.71808035745655086</c:v>
                </c:pt>
                <c:pt idx="1452">
                  <c:v>-0.71829282878560075</c:v>
                </c:pt>
                <c:pt idx="1453">
                  <c:v>-0.71850514139766353</c:v>
                </c:pt>
                <c:pt idx="1454">
                  <c:v>-0.71871729539435047</c:v>
                </c:pt>
                <c:pt idx="1455">
                  <c:v>-0.71892929087714308</c:v>
                </c:pt>
                <c:pt idx="1456">
                  <c:v>-0.71914112794739282</c:v>
                </c:pt>
                <c:pt idx="1457">
                  <c:v>-0.71935280670632207</c:v>
                </c:pt>
                <c:pt idx="1458">
                  <c:v>-0.71956432725502328</c:v>
                </c:pt>
                <c:pt idx="1459">
                  <c:v>-0.7197756896944606</c:v>
                </c:pt>
                <c:pt idx="1460">
                  <c:v>-0.71998689412546868</c:v>
                </c:pt>
                <c:pt idx="1461">
                  <c:v>-0.7201979406487542</c:v>
                </c:pt>
                <c:pt idx="1462">
                  <c:v>-0.72040882936489536</c:v>
                </c:pt>
                <c:pt idx="1463">
                  <c:v>-0.72061956037434216</c:v>
                </c:pt>
                <c:pt idx="1464">
                  <c:v>-0.720830133777417</c:v>
                </c:pt>
                <c:pt idx="1465">
                  <c:v>-0.72104054967431475</c:v>
                </c:pt>
                <c:pt idx="1466">
                  <c:v>-0.72125080816510279</c:v>
                </c:pt>
                <c:pt idx="1467">
                  <c:v>-0.72146090934972151</c:v>
                </c:pt>
                <c:pt idx="1468">
                  <c:v>-0.72167085332798442</c:v>
                </c:pt>
                <c:pt idx="1469">
                  <c:v>-0.72188064019957865</c:v>
                </c:pt>
                <c:pt idx="1470">
                  <c:v>-0.72209027006406479</c:v>
                </c:pt>
                <c:pt idx="1471">
                  <c:v>-0.72229974302087729</c:v>
                </c:pt>
                <c:pt idx="1472">
                  <c:v>-0.72250905916932495</c:v>
                </c:pt>
                <c:pt idx="1473">
                  <c:v>-0.72271821860859076</c:v>
                </c:pt>
                <c:pt idx="1474">
                  <c:v>-0.72292722143773236</c:v>
                </c:pt>
                <c:pt idx="1475">
                  <c:v>-0.72313606775568218</c:v>
                </c:pt>
                <c:pt idx="1476">
                  <c:v>-0.72334475766124806</c:v>
                </c:pt>
                <c:pt idx="1477">
                  <c:v>-0.72355329125311252</c:v>
                </c:pt>
                <c:pt idx="1478">
                  <c:v>-0.72376166862983426</c:v>
                </c:pt>
                <c:pt idx="1479">
                  <c:v>-0.72396988988984756</c:v>
                </c:pt>
                <c:pt idx="1480">
                  <c:v>-0.72417795513146255</c:v>
                </c:pt>
                <c:pt idx="1481">
                  <c:v>-0.72438586445286601</c:v>
                </c:pt>
                <c:pt idx="1482">
                  <c:v>-0.72459361795212074</c:v>
                </c:pt>
                <c:pt idx="1483">
                  <c:v>-0.7248012157271666</c:v>
                </c:pt>
                <c:pt idx="1484">
                  <c:v>-0.72500865787582036</c:v>
                </c:pt>
                <c:pt idx="1485">
                  <c:v>-0.72521594449577587</c:v>
                </c:pt>
                <c:pt idx="1486">
                  <c:v>-0.72542307568460451</c:v>
                </c:pt>
                <c:pt idx="1487">
                  <c:v>-0.72563005153975524</c:v>
                </c:pt>
                <c:pt idx="1488">
                  <c:v>-0.72583687215855475</c:v>
                </c:pt>
                <c:pt idx="1489">
                  <c:v>-0.7260435376382085</c:v>
                </c:pt>
                <c:pt idx="1490">
                  <c:v>-0.72625004807579963</c:v>
                </c:pt>
                <c:pt idx="1491">
                  <c:v>-0.72645640356828978</c:v>
                </c:pt>
                <c:pt idx="1492">
                  <c:v>-0.72666260421251994</c:v>
                </c:pt>
                <c:pt idx="1493">
                  <c:v>-0.72686865010520973</c:v>
                </c:pt>
                <c:pt idx="1494">
                  <c:v>-0.72707454134295812</c:v>
                </c:pt>
                <c:pt idx="1495">
                  <c:v>-0.7272802780222436</c:v>
                </c:pt>
                <c:pt idx="1496">
                  <c:v>-0.7274858602394243</c:v>
                </c:pt>
                <c:pt idx="1497">
                  <c:v>-0.72769128809073846</c:v>
                </c:pt>
                <c:pt idx="1498">
                  <c:v>-0.72789656167230399</c:v>
                </c:pt>
                <c:pt idx="1499">
                  <c:v>-0.72810168108011974</c:v>
                </c:pt>
                <c:pt idx="1500">
                  <c:v>-0.72830664641006493</c:v>
                </c:pt>
                <c:pt idx="1501">
                  <c:v>-0.72851145775789938</c:v>
                </c:pt>
                <c:pt idx="1502">
                  <c:v>-0.72871611521926438</c:v>
                </c:pt>
                <c:pt idx="1503">
                  <c:v>-0.72892061888968218</c:v>
                </c:pt>
                <c:pt idx="1504">
                  <c:v>-0.72912496886455669</c:v>
                </c:pt>
                <c:pt idx="1505">
                  <c:v>-0.72932916523917324</c:v>
                </c:pt>
                <c:pt idx="1506">
                  <c:v>-0.72953320810869948</c:v>
                </c:pt>
                <c:pt idx="1507">
                  <c:v>-0.72973709756818506</c:v>
                </c:pt>
                <c:pt idx="1508">
                  <c:v>-0.7299408337125618</c:v>
                </c:pt>
                <c:pt idx="1509">
                  <c:v>-0.7301444166366442</c:v>
                </c:pt>
                <c:pt idx="1510">
                  <c:v>-0.73034784643512973</c:v>
                </c:pt>
                <c:pt idx="1511">
                  <c:v>-0.73055112320259885</c:v>
                </c:pt>
                <c:pt idx="1512">
                  <c:v>-0.73075424703351499</c:v>
                </c:pt>
                <c:pt idx="1513">
                  <c:v>-0.73095721802222524</c:v>
                </c:pt>
                <c:pt idx="1514">
                  <c:v>-0.73116003626296044</c:v>
                </c:pt>
                <c:pt idx="1515">
                  <c:v>-0.73136270184983498</c:v>
                </c:pt>
                <c:pt idx="1516">
                  <c:v>-0.73156521487684767</c:v>
                </c:pt>
                <c:pt idx="1517">
                  <c:v>-0.73176757543788151</c:v>
                </c:pt>
                <c:pt idx="1518">
                  <c:v>-0.73196978362670406</c:v>
                </c:pt>
                <c:pt idx="1519">
                  <c:v>-0.73217183953696752</c:v>
                </c:pt>
                <c:pt idx="1520">
                  <c:v>-0.73237374326220894</c:v>
                </c:pt>
                <c:pt idx="1521">
                  <c:v>-0.73257549489585105</c:v>
                </c:pt>
                <c:pt idx="1522">
                  <c:v>-0.73277709453120143</c:v>
                </c:pt>
                <c:pt idx="1523">
                  <c:v>-0.73297854226145343</c:v>
                </c:pt>
                <c:pt idx="1524">
                  <c:v>-0.73317983817968613</c:v>
                </c:pt>
                <c:pt idx="1525">
                  <c:v>-0.73338098237886462</c:v>
                </c:pt>
                <c:pt idx="1526">
                  <c:v>-0.73358197495184008</c:v>
                </c:pt>
                <c:pt idx="1527">
                  <c:v>-0.73378281599135065</c:v>
                </c:pt>
                <c:pt idx="1528">
                  <c:v>-0.73398350559002046</c:v>
                </c:pt>
                <c:pt idx="1529">
                  <c:v>-0.73418404384036073</c:v>
                </c:pt>
                <c:pt idx="1530">
                  <c:v>-0.73438443083476967</c:v>
                </c:pt>
                <c:pt idx="1531">
                  <c:v>-0.73458466666553301</c:v>
                </c:pt>
                <c:pt idx="1532">
                  <c:v>-0.73478475142482347</c:v>
                </c:pt>
                <c:pt idx="1533">
                  <c:v>-0.73498468520470184</c:v>
                </c:pt>
                <c:pt idx="1534">
                  <c:v>-0.73518446809711657</c:v>
                </c:pt>
                <c:pt idx="1535">
                  <c:v>-0.73538410019390421</c:v>
                </c:pt>
                <c:pt idx="1536">
                  <c:v>-0.73558358158678949</c:v>
                </c:pt>
                <c:pt idx="1537">
                  <c:v>-0.73578291236738591</c:v>
                </c:pt>
                <c:pt idx="1538">
                  <c:v>-0.73598209262719549</c:v>
                </c:pt>
                <c:pt idx="1539">
                  <c:v>-0.73618112245760903</c:v>
                </c:pt>
                <c:pt idx="1540">
                  <c:v>-0.7363800019499066</c:v>
                </c:pt>
                <c:pt idx="1541">
                  <c:v>-0.73657873119525741</c:v>
                </c:pt>
                <c:pt idx="1542">
                  <c:v>-0.73677731028472027</c:v>
                </c:pt>
                <c:pt idx="1543">
                  <c:v>-0.73697573930924354</c:v>
                </c:pt>
                <c:pt idx="1544">
                  <c:v>-0.73717401835966556</c:v>
                </c:pt>
                <c:pt idx="1545">
                  <c:v>-0.73737214752671498</c:v>
                </c:pt>
                <c:pt idx="1546">
                  <c:v>-0.73757012690101043</c:v>
                </c:pt>
                <c:pt idx="1547">
                  <c:v>-0.73776795657306105</c:v>
                </c:pt>
                <c:pt idx="1548">
                  <c:v>-0.73796563663326686</c:v>
                </c:pt>
                <c:pt idx="1549">
                  <c:v>-0.73816316717191865</c:v>
                </c:pt>
                <c:pt idx="1550">
                  <c:v>-0.73836054827919828</c:v>
                </c:pt>
                <c:pt idx="1551">
                  <c:v>-0.73855778004517891</c:v>
                </c:pt>
                <c:pt idx="1552">
                  <c:v>-0.73875486255982525</c:v>
                </c:pt>
                <c:pt idx="1553">
                  <c:v>-0.73895179591299354</c:v>
                </c:pt>
                <c:pt idx="1554">
                  <c:v>-0.73914858019443197</c:v>
                </c:pt>
                <c:pt idx="1555">
                  <c:v>-0.73934521549378096</c:v>
                </c:pt>
                <c:pt idx="1556">
                  <c:v>-0.73954170190057289</c:v>
                </c:pt>
                <c:pt idx="1557">
                  <c:v>-0.73973803950423267</c:v>
                </c:pt>
                <c:pt idx="1558">
                  <c:v>-0.73993422839407808</c:v>
                </c:pt>
                <c:pt idx="1559">
                  <c:v>-0.74013026865931941</c:v>
                </c:pt>
                <c:pt idx="1560">
                  <c:v>-0.74032616038906029</c:v>
                </c:pt>
                <c:pt idx="1561">
                  <c:v>-0.74052190367229742</c:v>
                </c:pt>
                <c:pt idx="1562">
                  <c:v>-0.74071749859792091</c:v>
                </c:pt>
                <c:pt idx="1563">
                  <c:v>-0.74091294525471441</c:v>
                </c:pt>
                <c:pt idx="1564">
                  <c:v>-0.74110824373135553</c:v>
                </c:pt>
                <c:pt idx="1565">
                  <c:v>-0.74130339411641588</c:v>
                </c:pt>
                <c:pt idx="1566">
                  <c:v>-0.74149839649836102</c:v>
                </c:pt>
                <c:pt idx="1567">
                  <c:v>-0.74169325096555117</c:v>
                </c:pt>
                <c:pt idx="1568">
                  <c:v>-0.74188795760624082</c:v>
                </c:pt>
                <c:pt idx="1569">
                  <c:v>-0.74208251650857937</c:v>
                </c:pt>
                <c:pt idx="1570">
                  <c:v>-0.74227692776061138</c:v>
                </c:pt>
                <c:pt idx="1571">
                  <c:v>-0.74247119145027607</c:v>
                </c:pt>
                <c:pt idx="1572">
                  <c:v>-0.74266530766540817</c:v>
                </c:pt>
                <c:pt idx="1573">
                  <c:v>-0.74285927649373817</c:v>
                </c:pt>
                <c:pt idx="1574">
                  <c:v>-0.74305309802289166</c:v>
                </c:pt>
                <c:pt idx="1575">
                  <c:v>-0.74324677234039072</c:v>
                </c:pt>
                <c:pt idx="1576">
                  <c:v>-0.74344029953365309</c:v>
                </c:pt>
                <c:pt idx="1577">
                  <c:v>-0.74363367968999283</c:v>
                </c:pt>
                <c:pt idx="1578">
                  <c:v>-0.74382691289662051</c:v>
                </c:pt>
                <c:pt idx="1579">
                  <c:v>-0.74401999924064344</c:v>
                </c:pt>
                <c:pt idx="1580">
                  <c:v>-0.74421293880906514</c:v>
                </c:pt>
                <c:pt idx="1581">
                  <c:v>-0.74440573168878676</c:v>
                </c:pt>
                <c:pt idx="1582">
                  <c:v>-0.74459837796660644</c:v>
                </c:pt>
                <c:pt idx="1583">
                  <c:v>-0.74479087772921948</c:v>
                </c:pt>
                <c:pt idx="1584">
                  <c:v>-0.74498323106321873</c:v>
                </c:pt>
                <c:pt idx="1585">
                  <c:v>-0.74517543805509479</c:v>
                </c:pt>
                <c:pt idx="1586">
                  <c:v>-0.74536749879123643</c:v>
                </c:pt>
                <c:pt idx="1587">
                  <c:v>-0.74555941335792997</c:v>
                </c:pt>
                <c:pt idx="1588">
                  <c:v>-0.74575118184136036</c:v>
                </c:pt>
                <c:pt idx="1589">
                  <c:v>-0.74594280432761073</c:v>
                </c:pt>
                <c:pt idx="1590">
                  <c:v>-0.74613428090266321</c:v>
                </c:pt>
                <c:pt idx="1591">
                  <c:v>-0.74632561165239819</c:v>
                </c:pt>
                <c:pt idx="1592">
                  <c:v>-0.74651679666259541</c:v>
                </c:pt>
                <c:pt idx="1593">
                  <c:v>-0.74670783601893342</c:v>
                </c:pt>
                <c:pt idx="1594">
                  <c:v>-0.74689872980699057</c:v>
                </c:pt>
                <c:pt idx="1595">
                  <c:v>-0.74708947811224424</c:v>
                </c:pt>
                <c:pt idx="1596">
                  <c:v>-0.7472800810200716</c:v>
                </c:pt>
                <c:pt idx="1597">
                  <c:v>-0.74747053861574997</c:v>
                </c:pt>
                <c:pt idx="1598">
                  <c:v>-0.74766085098445645</c:v>
                </c:pt>
                <c:pt idx="1599">
                  <c:v>-0.7478510182112682</c:v>
                </c:pt>
                <c:pt idx="1600">
                  <c:v>-0.74804104038116304</c:v>
                </c:pt>
                <c:pt idx="1601">
                  <c:v>-0.74823091757901905</c:v>
                </c:pt>
                <c:pt idx="1602">
                  <c:v>-0.74842064988961543</c:v>
                </c:pt>
                <c:pt idx="1603">
                  <c:v>-0.74861023739763199</c:v>
                </c:pt>
                <c:pt idx="1604">
                  <c:v>-0.74879968018764964</c:v>
                </c:pt>
                <c:pt idx="1605">
                  <c:v>-0.74898897834415068</c:v>
                </c:pt>
                <c:pt idx="1606">
                  <c:v>-0.7491781319515185</c:v>
                </c:pt>
                <c:pt idx="1607">
                  <c:v>-0.74936714109403868</c:v>
                </c:pt>
                <c:pt idx="1608">
                  <c:v>-0.74955600585589788</c:v>
                </c:pt>
                <c:pt idx="1609">
                  <c:v>-0.74974472632118527</c:v>
                </c:pt>
                <c:pt idx="1610">
                  <c:v>-0.74993330257389157</c:v>
                </c:pt>
                <c:pt idx="1611">
                  <c:v>-0.75012173469791033</c:v>
                </c:pt>
                <c:pt idx="1612">
                  <c:v>-0.7503100227770374</c:v>
                </c:pt>
                <c:pt idx="1613">
                  <c:v>-0.75049816689497084</c:v>
                </c:pt>
                <c:pt idx="1614">
                  <c:v>-0.75068616713531222</c:v>
                </c:pt>
                <c:pt idx="1615">
                  <c:v>-0.75087402358156519</c:v>
                </c:pt>
                <c:pt idx="1616">
                  <c:v>-0.75106173631713735</c:v>
                </c:pt>
                <c:pt idx="1617">
                  <c:v>-0.75124930542533908</c:v>
                </c:pt>
                <c:pt idx="1618">
                  <c:v>-0.75143673098938446</c:v>
                </c:pt>
                <c:pt idx="1619">
                  <c:v>-0.75162401309239113</c:v>
                </c:pt>
                <c:pt idx="1620">
                  <c:v>-0.75181115181738067</c:v>
                </c:pt>
                <c:pt idx="1621">
                  <c:v>-0.75199814724727831</c:v>
                </c:pt>
                <c:pt idx="1622">
                  <c:v>-0.75218499946491357</c:v>
                </c:pt>
                <c:pt idx="1623">
                  <c:v>-0.75237170855302049</c:v>
                </c:pt>
                <c:pt idx="1624">
                  <c:v>-0.75255827459423708</c:v>
                </c:pt>
                <c:pt idx="1625">
                  <c:v>-0.75274469767110652</c:v>
                </c:pt>
                <c:pt idx="1626">
                  <c:v>-0.75293097786607643</c:v>
                </c:pt>
                <c:pt idx="1627">
                  <c:v>-0.7531171152614996</c:v>
                </c:pt>
                <c:pt idx="1628">
                  <c:v>-0.75330310993963379</c:v>
                </c:pt>
                <c:pt idx="1629">
                  <c:v>-0.75348896198264192</c:v>
                </c:pt>
                <c:pt idx="1630">
                  <c:v>-0.75367467147259282</c:v>
                </c:pt>
                <c:pt idx="1631">
                  <c:v>-0.75386023849146055</c:v>
                </c:pt>
                <c:pt idx="1632">
                  <c:v>-0.75404566312112498</c:v>
                </c:pt>
                <c:pt idx="1633">
                  <c:v>-0.75423094544337199</c:v>
                </c:pt>
                <c:pt idx="1634">
                  <c:v>-0.7544160855398937</c:v>
                </c:pt>
                <c:pt idx="1635">
                  <c:v>-0.75460108349228838</c:v>
                </c:pt>
                <c:pt idx="1636">
                  <c:v>-0.75478593938206051</c:v>
                </c:pt>
                <c:pt idx="1637">
                  <c:v>-0.75497065329062141</c:v>
                </c:pt>
                <c:pt idx="1638">
                  <c:v>-0.75515522529928902</c:v>
                </c:pt>
                <c:pt idx="1639">
                  <c:v>-0.7553396554892885</c:v>
                </c:pt>
                <c:pt idx="1640">
                  <c:v>-0.75552394394175149</c:v>
                </c:pt>
                <c:pt idx="1641">
                  <c:v>-0.7557080907377175</c:v>
                </c:pt>
                <c:pt idx="1642">
                  <c:v>-0.75589209595813289</c:v>
                </c:pt>
                <c:pt idx="1643">
                  <c:v>-0.75607595968385177</c:v>
                </c:pt>
                <c:pt idx="1644">
                  <c:v>-0.75625968199563609</c:v>
                </c:pt>
                <c:pt idx="1645">
                  <c:v>-0.75644326297415543</c:v>
                </c:pt>
                <c:pt idx="1646">
                  <c:v>-0.75662670269998755</c:v>
                </c:pt>
                <c:pt idx="1647">
                  <c:v>-0.7568100012536183</c:v>
                </c:pt>
                <c:pt idx="1648">
                  <c:v>-0.75699315871544193</c:v>
                </c:pt>
                <c:pt idx="1649">
                  <c:v>-0.75717617516576086</c:v>
                </c:pt>
                <c:pt idx="1650">
                  <c:v>-0.75735905068478682</c:v>
                </c:pt>
                <c:pt idx="1651">
                  <c:v>-0.75754178535263983</c:v>
                </c:pt>
                <c:pt idx="1652">
                  <c:v>-0.75772437924934888</c:v>
                </c:pt>
                <c:pt idx="1653">
                  <c:v>-0.75790683245485202</c:v>
                </c:pt>
                <c:pt idx="1654">
                  <c:v>-0.75808914504899705</c:v>
                </c:pt>
                <c:pt idx="1655">
                  <c:v>-0.7582713171115405</c:v>
                </c:pt>
                <c:pt idx="1656">
                  <c:v>-0.75845334872214909</c:v>
                </c:pt>
                <c:pt idx="1657">
                  <c:v>-0.75863523996039894</c:v>
                </c:pt>
                <c:pt idx="1658">
                  <c:v>-0.75881699090577603</c:v>
                </c:pt>
                <c:pt idx="1659">
                  <c:v>-0.75899860163767641</c:v>
                </c:pt>
                <c:pt idx="1660">
                  <c:v>-0.75918007223540651</c:v>
                </c:pt>
                <c:pt idx="1661">
                  <c:v>-0.75936140277818276</c:v>
                </c:pt>
                <c:pt idx="1662">
                  <c:v>-0.75954259334513241</c:v>
                </c:pt>
                <c:pt idx="1663">
                  <c:v>-0.75972364401529324</c:v>
                </c:pt>
                <c:pt idx="1664">
                  <c:v>-0.75990455486761355</c:v>
                </c:pt>
                <c:pt idx="1665">
                  <c:v>-0.76008532598095302</c:v>
                </c:pt>
                <c:pt idx="1666">
                  <c:v>-0.7602659574340821</c:v>
                </c:pt>
                <c:pt idx="1667">
                  <c:v>-0.76044644930568273</c:v>
                </c:pt>
                <c:pt idx="1668">
                  <c:v>-0.76062680167434804</c:v>
                </c:pt>
                <c:pt idx="1669">
                  <c:v>-0.7608070146185828</c:v>
                </c:pt>
                <c:pt idx="1670">
                  <c:v>-0.7609870882168035</c:v>
                </c:pt>
                <c:pt idx="1671">
                  <c:v>-0.76116702254733837</c:v>
                </c:pt>
                <c:pt idx="1672">
                  <c:v>-0.76134681768842771</c:v>
                </c:pt>
                <c:pt idx="1673">
                  <c:v>-0.76152647371822402</c:v>
                </c:pt>
                <c:pt idx="1674">
                  <c:v>-0.76170599071479184</c:v>
                </c:pt>
                <c:pt idx="1675">
                  <c:v>-0.76188536875610846</c:v>
                </c:pt>
                <c:pt idx="1676">
                  <c:v>-0.76206460792006347</c:v>
                </c:pt>
                <c:pt idx="1677">
                  <c:v>-0.76224370828445942</c:v>
                </c:pt>
                <c:pt idx="1678">
                  <c:v>-0.76242266992701169</c:v>
                </c:pt>
                <c:pt idx="1679">
                  <c:v>-0.76260149292534851</c:v>
                </c:pt>
                <c:pt idx="1680">
                  <c:v>-0.76278017735701154</c:v>
                </c:pt>
                <c:pt idx="1681">
                  <c:v>-0.76295872329945535</c:v>
                </c:pt>
                <c:pt idx="1682">
                  <c:v>-0.76313713083004842</c:v>
                </c:pt>
                <c:pt idx="1683">
                  <c:v>-0.76331540002607257</c:v>
                </c:pt>
                <c:pt idx="1684">
                  <c:v>-0.76349353096472361</c:v>
                </c:pt>
                <c:pt idx="1685">
                  <c:v>-0.76367152372311076</c:v>
                </c:pt>
                <c:pt idx="1686">
                  <c:v>-0.76384937837825784</c:v>
                </c:pt>
                <c:pt idx="1687">
                  <c:v>-0.76402709500710264</c:v>
                </c:pt>
                <c:pt idx="1688">
                  <c:v>-0.76420467368649692</c:v>
                </c:pt>
                <c:pt idx="1689">
                  <c:v>-0.76438211449320748</c:v>
                </c:pt>
                <c:pt idx="1690">
                  <c:v>-0.76455941750391532</c:v>
                </c:pt>
                <c:pt idx="1691">
                  <c:v>-0.7647365827952165</c:v>
                </c:pt>
                <c:pt idx="1692">
                  <c:v>-0.76491361044362172</c:v>
                </c:pt>
                <c:pt idx="1693">
                  <c:v>-0.76509050052555683</c:v>
                </c:pt>
                <c:pt idx="1694">
                  <c:v>-0.76526725311736266</c:v>
                </c:pt>
                <c:pt idx="1695">
                  <c:v>-0.76544386829529576</c:v>
                </c:pt>
                <c:pt idx="1696">
                  <c:v>-0.76562034613552776</c:v>
                </c:pt>
                <c:pt idx="1697">
                  <c:v>-0.76579668671414602</c:v>
                </c:pt>
                <c:pt idx="1698">
                  <c:v>-0.76597289010715375</c:v>
                </c:pt>
                <c:pt idx="1699">
                  <c:v>-0.76614895639046998</c:v>
                </c:pt>
                <c:pt idx="1700">
                  <c:v>-0.76632488563992973</c:v>
                </c:pt>
                <c:pt idx="1701">
                  <c:v>-0.76650067793128396</c:v>
                </c:pt>
                <c:pt idx="1702">
                  <c:v>-0.76667633334020047</c:v>
                </c:pt>
                <c:pt idx="1703">
                  <c:v>-0.7668518519422628</c:v>
                </c:pt>
                <c:pt idx="1704">
                  <c:v>-0.76702723381297178</c:v>
                </c:pt>
                <c:pt idx="1705">
                  <c:v>-0.7672024790277443</c:v>
                </c:pt>
                <c:pt idx="1706">
                  <c:v>-0.76737758766191455</c:v>
                </c:pt>
                <c:pt idx="1707">
                  <c:v>-0.76755255979073367</c:v>
                </c:pt>
                <c:pt idx="1708">
                  <c:v>-0.76772739548936964</c:v>
                </c:pt>
                <c:pt idx="1709">
                  <c:v>-0.76790209483290772</c:v>
                </c:pt>
                <c:pt idx="1710">
                  <c:v>-0.76807665789635116</c:v>
                </c:pt>
                <c:pt idx="1711">
                  <c:v>-0.7682510847546199</c:v>
                </c:pt>
                <c:pt idx="1712">
                  <c:v>-0.76842537548255219</c:v>
                </c:pt>
                <c:pt idx="1713">
                  <c:v>-0.7685995301549039</c:v>
                </c:pt>
                <c:pt idx="1714">
                  <c:v>-0.76877354884634841</c:v>
                </c:pt>
                <c:pt idx="1715">
                  <c:v>-0.76894743163147794</c:v>
                </c:pt>
                <c:pt idx="1716">
                  <c:v>-0.76912117858480245</c:v>
                </c:pt>
                <c:pt idx="1717">
                  <c:v>-0.76929478978075028</c:v>
                </c:pt>
                <c:pt idx="1718">
                  <c:v>-0.76946826529366841</c:v>
                </c:pt>
                <c:pt idx="1719">
                  <c:v>-0.76964160519782221</c:v>
                </c:pt>
                <c:pt idx="1720">
                  <c:v>-0.76981480956739579</c:v>
                </c:pt>
                <c:pt idx="1721">
                  <c:v>-0.76998787847649253</c:v>
                </c:pt>
                <c:pt idx="1722">
                  <c:v>-0.77016081199913455</c:v>
                </c:pt>
                <c:pt idx="1723">
                  <c:v>-0.77033361020926283</c:v>
                </c:pt>
                <c:pt idx="1724">
                  <c:v>-0.77050627318073828</c:v>
                </c:pt>
                <c:pt idx="1725">
                  <c:v>-0.77067880098734065</c:v>
                </c:pt>
                <c:pt idx="1726">
                  <c:v>-0.77085119370276933</c:v>
                </c:pt>
                <c:pt idx="1727">
                  <c:v>-0.77102345140064377</c:v>
                </c:pt>
                <c:pt idx="1728">
                  <c:v>-0.77119557415450279</c:v>
                </c:pt>
                <c:pt idx="1729">
                  <c:v>-0.77136756203780543</c:v>
                </c:pt>
                <c:pt idx="1730">
                  <c:v>-0.77153941512393043</c:v>
                </c:pt>
              </c:numCache>
            </c:numRef>
          </c:xVal>
          <c:yVal>
            <c:numRef>
              <c:f>'Tables for Paper'!$AH$3:$AH$1739</c:f>
              <c:numCache>
                <c:formatCode>General</c:formatCode>
                <c:ptCount val="173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FF-0A45-A26B-DF7CCA588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42800"/>
        <c:axId val="1875097999"/>
      </c:scatterChart>
      <c:valAx>
        <c:axId val="118344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</a:t>
                </a:r>
                <a:r>
                  <a:rPr lang="en-GB" baseline="0"/>
                  <a:t> [mol]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097999"/>
        <c:crosses val="autoZero"/>
        <c:crossBetween val="midCat"/>
      </c:valAx>
      <c:valAx>
        <c:axId val="187509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b_c</a:t>
                </a:r>
                <a:r>
                  <a:rPr lang="en-GB" baseline="0"/>
                  <a:t> [kJ/mol]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44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Paper'!$AT$3:$AT$111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Paper'!$AW$3:$AW$111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818444</xdr:colOff>
      <xdr:row>9</xdr:row>
      <xdr:rowOff>152872</xdr:rowOff>
    </xdr:from>
    <xdr:to>
      <xdr:col>42</xdr:col>
      <xdr:colOff>505648</xdr:colOff>
      <xdr:row>30</xdr:row>
      <xdr:rowOff>142760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088E8DA-40A2-C2A7-D8B7-B218CE34E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442147</xdr:colOff>
      <xdr:row>4</xdr:row>
      <xdr:rowOff>162983</xdr:rowOff>
    </xdr:from>
    <xdr:to>
      <xdr:col>54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66" t="s">
        <v>101</v>
      </c>
      <c r="S2" s="367"/>
      <c r="T2" s="366" t="s">
        <v>107</v>
      </c>
      <c r="U2" s="367"/>
      <c r="W2" s="366" t="s">
        <v>230</v>
      </c>
      <c r="X2" s="370"/>
      <c r="Y2" s="367"/>
      <c r="Z2" s="13" t="s">
        <v>51</v>
      </c>
      <c r="AB2" s="13" t="s">
        <v>99</v>
      </c>
      <c r="AC2" s="13" t="s">
        <v>337</v>
      </c>
      <c r="AF2" s="13" t="s">
        <v>640</v>
      </c>
      <c r="AG2" s="13" t="s">
        <v>640</v>
      </c>
      <c r="AI2" s="368" t="s">
        <v>372</v>
      </c>
      <c r="AJ2" s="368"/>
    </row>
    <row r="3" spans="2:41" ht="18" x14ac:dyDescent="0.25">
      <c r="C3" s="13" t="s">
        <v>53</v>
      </c>
      <c r="D3" s="20" t="s">
        <v>5</v>
      </c>
      <c r="E3" s="35" t="s">
        <v>6</v>
      </c>
      <c r="F3" s="19" t="s">
        <v>39</v>
      </c>
      <c r="G3" s="19" t="s">
        <v>39</v>
      </c>
      <c r="H3" s="19" t="s">
        <v>647</v>
      </c>
      <c r="J3" s="13" t="s">
        <v>54</v>
      </c>
      <c r="K3" s="19" t="s">
        <v>55</v>
      </c>
      <c r="M3" s="13" t="s">
        <v>56</v>
      </c>
      <c r="N3" s="13" t="s">
        <v>98</v>
      </c>
      <c r="O3" s="13" t="s">
        <v>109</v>
      </c>
      <c r="Q3" s="13" t="s">
        <v>99</v>
      </c>
      <c r="R3" s="13" t="s">
        <v>39</v>
      </c>
      <c r="S3" s="13" t="s">
        <v>100</v>
      </c>
      <c r="T3" s="13" t="s">
        <v>102</v>
      </c>
      <c r="U3" s="13" t="s">
        <v>103</v>
      </c>
      <c r="W3" s="13" t="s">
        <v>229</v>
      </c>
      <c r="X3" s="13" t="s">
        <v>236</v>
      </c>
      <c r="Y3" s="13" t="s">
        <v>430</v>
      </c>
      <c r="Z3" s="13" t="s">
        <v>52</v>
      </c>
      <c r="AB3" s="13" t="s">
        <v>40</v>
      </c>
      <c r="AC3" s="13" t="s">
        <v>338</v>
      </c>
      <c r="AF3" s="13" t="s">
        <v>338</v>
      </c>
      <c r="AG3" s="13" t="s">
        <v>641</v>
      </c>
      <c r="AI3" s="127" t="s">
        <v>316</v>
      </c>
      <c r="AJ3" s="13" t="s">
        <v>373</v>
      </c>
      <c r="AK3" s="13" t="s">
        <v>32</v>
      </c>
      <c r="AL3" s="13" t="s">
        <v>33</v>
      </c>
      <c r="AM3" s="13" t="s">
        <v>34</v>
      </c>
      <c r="AN3" s="13" t="s">
        <v>636</v>
      </c>
      <c r="AO3" s="13" t="s">
        <v>35</v>
      </c>
    </row>
    <row r="4" spans="2:41" ht="18" x14ac:dyDescent="0.25">
      <c r="C4" s="13" t="s">
        <v>57</v>
      </c>
      <c r="D4" s="20" t="s">
        <v>58</v>
      </c>
      <c r="E4" s="35" t="s">
        <v>13</v>
      </c>
      <c r="F4" s="19" t="s">
        <v>57</v>
      </c>
      <c r="G4" s="19" t="s">
        <v>338</v>
      </c>
      <c r="H4" s="19" t="s">
        <v>550</v>
      </c>
      <c r="J4" s="13" t="s">
        <v>59</v>
      </c>
      <c r="K4" s="19" t="s">
        <v>60</v>
      </c>
      <c r="M4" s="13" t="s">
        <v>61</v>
      </c>
      <c r="N4" s="13" t="s">
        <v>62</v>
      </c>
      <c r="O4" s="13" t="s">
        <v>57</v>
      </c>
      <c r="Q4" s="13" t="s">
        <v>40</v>
      </c>
      <c r="R4" s="4" t="s">
        <v>105</v>
      </c>
      <c r="S4" s="61" t="s">
        <v>108</v>
      </c>
      <c r="T4" s="4" t="s">
        <v>105</v>
      </c>
      <c r="U4" s="61" t="s">
        <v>108</v>
      </c>
      <c r="W4" s="13">
        <v>1.0550600000000001</v>
      </c>
      <c r="X4" s="13">
        <v>3600</v>
      </c>
      <c r="Y4" s="13">
        <f>4.184/1000</f>
        <v>4.1840000000000002E-3</v>
      </c>
      <c r="Z4" s="13">
        <v>1000</v>
      </c>
      <c r="AB4" s="13" t="s">
        <v>64</v>
      </c>
      <c r="AC4" s="13">
        <f>1000*50</f>
        <v>50000</v>
      </c>
      <c r="AE4" s="34" t="s">
        <v>64</v>
      </c>
      <c r="AF4" s="13">
        <v>9496.4</v>
      </c>
      <c r="AG4" s="342">
        <f>AF4/LHV_CH4</f>
        <v>0.18992799999999999</v>
      </c>
      <c r="AI4" s="13" t="s">
        <v>97</v>
      </c>
      <c r="AJ4" s="13" t="s">
        <v>338</v>
      </c>
      <c r="AK4" s="13" t="s">
        <v>97</v>
      </c>
      <c r="AL4" s="13" t="s">
        <v>97</v>
      </c>
      <c r="AM4" s="13" t="s">
        <v>97</v>
      </c>
      <c r="AN4" s="13" t="s">
        <v>338</v>
      </c>
      <c r="AO4" s="13" t="s">
        <v>97</v>
      </c>
    </row>
    <row r="5" spans="2:41" ht="17" x14ac:dyDescent="0.25">
      <c r="B5" s="1" t="s">
        <v>17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19" t="s">
        <v>674</v>
      </c>
      <c r="J5" s="13" t="s">
        <v>17</v>
      </c>
      <c r="K5" s="13">
        <v>410.3</v>
      </c>
      <c r="M5" s="13">
        <f>8.314/1000</f>
        <v>8.3140000000000002E-3</v>
      </c>
      <c r="N5" s="13">
        <v>298</v>
      </c>
      <c r="O5" s="13">
        <f>M5*N5</f>
        <v>2.4775719999999999</v>
      </c>
      <c r="Q5" s="13" t="s">
        <v>22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AB5" s="61" t="s">
        <v>455</v>
      </c>
      <c r="AC5" s="13">
        <v>43400</v>
      </c>
      <c r="AI5" s="13">
        <v>1.0437000000000001</v>
      </c>
      <c r="AJ5" s="13">
        <v>30080</v>
      </c>
      <c r="AK5" s="13">
        <v>0.18820000000000001</v>
      </c>
      <c r="AL5" s="13">
        <v>6.0999999999999999E-2</v>
      </c>
      <c r="AM5" s="13">
        <v>4.0399999999999998E-2</v>
      </c>
      <c r="AN5" s="13">
        <v>2442</v>
      </c>
      <c r="AO5" s="13">
        <v>9417</v>
      </c>
    </row>
    <row r="6" spans="2:41" ht="18" x14ac:dyDescent="0.25">
      <c r="B6" s="1" t="s">
        <v>20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30</v>
      </c>
      <c r="K6" s="13">
        <v>723.8</v>
      </c>
      <c r="Q6" s="13" t="s">
        <v>67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AB6" s="61" t="s">
        <v>469</v>
      </c>
      <c r="AC6" s="13">
        <v>39500</v>
      </c>
      <c r="AI6" s="369" t="s">
        <v>615</v>
      </c>
      <c r="AJ6" s="369"/>
    </row>
    <row r="7" spans="2:41" ht="18" x14ac:dyDescent="0.25">
      <c r="B7" s="1" t="s">
        <v>21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19" t="s">
        <v>674</v>
      </c>
      <c r="J7" s="13" t="s">
        <v>15</v>
      </c>
      <c r="K7" s="13">
        <v>376.8</v>
      </c>
      <c r="Q7" s="39" t="s">
        <v>66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B7" s="61" t="s">
        <v>456</v>
      </c>
      <c r="AC7" s="13">
        <v>42600</v>
      </c>
      <c r="AI7" s="13" t="s">
        <v>373</v>
      </c>
    </row>
    <row r="8" spans="2:41" ht="18" x14ac:dyDescent="0.25">
      <c r="B8" s="7" t="s">
        <v>63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19" t="s">
        <v>674</v>
      </c>
      <c r="J8" s="13" t="s">
        <v>65</v>
      </c>
      <c r="K8" s="13">
        <v>236.1</v>
      </c>
      <c r="Q8" s="62"/>
      <c r="AI8" s="13" t="s">
        <v>338</v>
      </c>
    </row>
    <row r="9" spans="2:41" ht="18" x14ac:dyDescent="0.25">
      <c r="B9" s="7" t="s">
        <v>15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19" t="s">
        <v>674</v>
      </c>
      <c r="J9" s="20" t="s">
        <v>23</v>
      </c>
      <c r="K9" s="13">
        <v>4</v>
      </c>
      <c r="Q9" s="7"/>
      <c r="AI9" s="13">
        <v>33412</v>
      </c>
    </row>
    <row r="10" spans="2:41" ht="18" x14ac:dyDescent="0.25">
      <c r="B10" s="1" t="s">
        <v>14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19" t="s">
        <v>674</v>
      </c>
      <c r="J10" s="13" t="s">
        <v>29</v>
      </c>
      <c r="K10" s="13">
        <v>854.2</v>
      </c>
    </row>
    <row r="11" spans="2:41" ht="18" x14ac:dyDescent="0.25">
      <c r="B11" s="7" t="s">
        <v>28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19" t="s">
        <v>674</v>
      </c>
      <c r="J11" s="20" t="s">
        <v>66</v>
      </c>
      <c r="K11" s="13">
        <v>0.7</v>
      </c>
    </row>
    <row r="12" spans="2:41" ht="18" x14ac:dyDescent="0.25">
      <c r="B12" s="7" t="s">
        <v>23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19" t="s">
        <v>674</v>
      </c>
      <c r="J12" s="13" t="s">
        <v>305</v>
      </c>
      <c r="K12" s="13">
        <v>794.3</v>
      </c>
    </row>
    <row r="13" spans="2:41" ht="18" x14ac:dyDescent="0.25">
      <c r="B13" s="7" t="s">
        <v>29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19" t="s">
        <v>674</v>
      </c>
      <c r="J13" s="91" t="s">
        <v>308</v>
      </c>
      <c r="K13" s="13">
        <v>124.2</v>
      </c>
    </row>
    <row r="14" spans="2:41" ht="18" x14ac:dyDescent="0.25">
      <c r="B14" s="1" t="s">
        <v>16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19" t="s">
        <v>674</v>
      </c>
      <c r="J14" s="13" t="s">
        <v>306</v>
      </c>
      <c r="K14" s="13">
        <v>629.6</v>
      </c>
    </row>
    <row r="15" spans="2:41" ht="16" x14ac:dyDescent="0.2">
      <c r="B15" s="67" t="s">
        <v>121</v>
      </c>
      <c r="C15" s="13">
        <v>-137.27704</v>
      </c>
      <c r="D15" s="13">
        <f>MW_C + MW_O</f>
        <v>2.8010399999999998E-2</v>
      </c>
      <c r="E15" s="13">
        <f>C15+K5+(0.5*K9)</f>
        <v>275.02296000000001</v>
      </c>
      <c r="F15" s="13">
        <v>-110.5</v>
      </c>
      <c r="G15" s="19">
        <f>F15/MW_CO</f>
        <v>-3944.9632993459577</v>
      </c>
      <c r="H15" s="19" t="s">
        <v>674</v>
      </c>
      <c r="J15" s="13" t="s">
        <v>307</v>
      </c>
      <c r="K15" s="13">
        <v>336.6</v>
      </c>
    </row>
    <row r="16" spans="2:41" ht="16" x14ac:dyDescent="0.2">
      <c r="B16" s="67" t="s">
        <v>122</v>
      </c>
      <c r="C16" s="13">
        <v>-603.54200000000003</v>
      </c>
      <c r="D16" s="13">
        <f>(40.078+15.9994)/1000</f>
        <v>5.6077400000000006E-2</v>
      </c>
      <c r="E16" s="13">
        <f>C16+(0.5*K9)+(b_ch_Ca)</f>
        <v>122.25799999999992</v>
      </c>
      <c r="F16" s="13">
        <v>-634.9</v>
      </c>
      <c r="G16" s="19">
        <f>F16/MW_CaO</f>
        <v>-11321.85158370395</v>
      </c>
      <c r="H16" s="19" t="s">
        <v>674</v>
      </c>
      <c r="J16" s="13" t="s">
        <v>179</v>
      </c>
      <c r="K16" s="13">
        <v>607.29999999999995</v>
      </c>
    </row>
    <row r="17" spans="2:11" ht="17" x14ac:dyDescent="0.25">
      <c r="B17" s="3" t="s">
        <v>64</v>
      </c>
      <c r="C17" s="13">
        <v>-50.7</v>
      </c>
      <c r="D17" s="13">
        <f>MW_C + (4*MW_H)</f>
        <v>1.604276E-2</v>
      </c>
      <c r="E17" s="13">
        <f>C17+K5+(2*K8)</f>
        <v>831.8</v>
      </c>
      <c r="F17" s="13">
        <v>-74.599999999999994</v>
      </c>
      <c r="G17" s="19">
        <f>MW_CH4</f>
        <v>1.604276E-2</v>
      </c>
      <c r="H17" s="19" t="s">
        <v>674</v>
      </c>
      <c r="J17" s="13" t="s">
        <v>312</v>
      </c>
      <c r="K17" s="13">
        <v>366.5</v>
      </c>
    </row>
    <row r="18" spans="2:11" ht="18" x14ac:dyDescent="0.25">
      <c r="B18" s="7" t="s">
        <v>66</v>
      </c>
      <c r="C18" s="13">
        <v>0</v>
      </c>
      <c r="D18" s="13">
        <f>(2*14.00674)/1000</f>
        <v>2.801348E-2</v>
      </c>
      <c r="E18" s="13">
        <f>C18+K11</f>
        <v>0.7</v>
      </c>
      <c r="F18" s="13">
        <v>0</v>
      </c>
      <c r="G18" s="19">
        <f>F18/MW_N2</f>
        <v>0</v>
      </c>
      <c r="H18" s="19" t="s">
        <v>674</v>
      </c>
      <c r="J18" s="13" t="s">
        <v>180</v>
      </c>
      <c r="K18" s="13">
        <v>861.6</v>
      </c>
    </row>
    <row r="19" spans="2:11" ht="17" x14ac:dyDescent="0.25">
      <c r="B19" s="3" t="s">
        <v>67</v>
      </c>
      <c r="C19" s="13">
        <v>-228.58865599999999</v>
      </c>
      <c r="D19" s="13">
        <f>(15.9994+(2*1.00794))/1000</f>
        <v>1.8015280000000002E-2</v>
      </c>
      <c r="E19" s="13">
        <f>b_ch_H2+(0.5*K9)+C19</f>
        <v>9.5113440000000082</v>
      </c>
      <c r="F19" s="13">
        <v>-241.8</v>
      </c>
      <c r="G19" s="19">
        <f>F19/MW_H2O</f>
        <v>-13421.939597941302</v>
      </c>
      <c r="H19" s="19" t="s">
        <v>674</v>
      </c>
    </row>
    <row r="20" spans="2:11" ht="16" x14ac:dyDescent="0.2">
      <c r="B20" s="4" t="s">
        <v>181</v>
      </c>
      <c r="C20" s="13">
        <v>0</v>
      </c>
      <c r="D20" s="13">
        <f>1.00794/1000</f>
        <v>1.0079400000000001E-3</v>
      </c>
      <c r="E20" s="13">
        <f>C20+(0.5*b_ch_H2)</f>
        <v>118.05</v>
      </c>
      <c r="F20" s="13">
        <v>1536.3</v>
      </c>
      <c r="G20" s="19">
        <f>F20/MW_H</f>
        <v>1524197.8689207688</v>
      </c>
      <c r="H20" s="19" t="s">
        <v>674</v>
      </c>
    </row>
    <row r="21" spans="2:11" ht="16" x14ac:dyDescent="0.2">
      <c r="B21" s="4" t="s">
        <v>179</v>
      </c>
      <c r="C21" s="13">
        <v>0</v>
      </c>
      <c r="D21" s="13">
        <f>32.066/1000</f>
        <v>3.2066000000000004E-2</v>
      </c>
      <c r="E21" s="13">
        <f>C21+K16</f>
        <v>607.29999999999995</v>
      </c>
      <c r="F21" s="13">
        <v>0</v>
      </c>
      <c r="G21" s="19">
        <f>F21/MW_S</f>
        <v>0</v>
      </c>
      <c r="H21" s="19" t="s">
        <v>674</v>
      </c>
    </row>
    <row r="22" spans="2:11" ht="16" x14ac:dyDescent="0.2">
      <c r="B22" s="4" t="s">
        <v>182</v>
      </c>
      <c r="C22" s="13">
        <v>-131.05000000000001</v>
      </c>
      <c r="D22" s="13">
        <f>35.4527/1000</f>
        <v>3.5452699999999997E-2</v>
      </c>
      <c r="E22" s="13">
        <f>C22+(0.5*K13)</f>
        <v>-68.950000000000017</v>
      </c>
      <c r="F22" s="13">
        <v>121.3</v>
      </c>
      <c r="G22" s="19">
        <f>F22/MW_Cl</f>
        <v>3421.4601426689646</v>
      </c>
      <c r="H22" s="19" t="s">
        <v>674</v>
      </c>
    </row>
    <row r="23" spans="2:11" ht="17" x14ac:dyDescent="0.25">
      <c r="B23" s="4" t="s">
        <v>303</v>
      </c>
      <c r="C23" s="13">
        <v>-1562.7239999999999</v>
      </c>
      <c r="D23" s="13">
        <f>((2*26.981539)+(3*15.9994))/1000</f>
        <v>0.10196127799999999</v>
      </c>
      <c r="E23" s="13">
        <f>C23+(2*K12)+(1.5*K9)</f>
        <v>31.875999999999976</v>
      </c>
      <c r="F23" s="13">
        <v>-1675.7</v>
      </c>
      <c r="G23" s="19">
        <f>F23/MW_Al2O3</f>
        <v>-16434.670424590011</v>
      </c>
      <c r="H23" s="19" t="s">
        <v>674</v>
      </c>
    </row>
    <row r="24" spans="2:11" ht="16" x14ac:dyDescent="0.2">
      <c r="B24" s="4" t="s">
        <v>178</v>
      </c>
      <c r="C24" s="13">
        <v>-569.024</v>
      </c>
      <c r="D24" s="13">
        <f>(15.9994+24.305)/1000</f>
        <v>4.0304400000000004E-2</v>
      </c>
      <c r="E24" s="13">
        <f>C24+(K14)+(0.5*K9)</f>
        <v>62.576000000000022</v>
      </c>
      <c r="F24" s="13">
        <v>-601.6</v>
      </c>
      <c r="G24" s="19">
        <f>F24/MW_MgO</f>
        <v>-14926.410019749705</v>
      </c>
      <c r="H24" s="19" t="s">
        <v>674</v>
      </c>
    </row>
    <row r="25" spans="2:11" ht="17" x14ac:dyDescent="0.25">
      <c r="B25" s="4" t="s">
        <v>304</v>
      </c>
      <c r="C25" s="13">
        <v>-376.56</v>
      </c>
      <c r="D25" s="13">
        <f>((22.989768*2)+15.9994)/1000</f>
        <v>6.1978936000000005E-2</v>
      </c>
      <c r="E25" s="13">
        <f>C25+(2*K15)+(0.5*K9)</f>
        <v>298.64000000000004</v>
      </c>
      <c r="F25" s="13">
        <v>-414.2</v>
      </c>
      <c r="G25" s="19">
        <f>F25/MW_Na2O</f>
        <v>-6682.9156279804474</v>
      </c>
      <c r="H25" s="19" t="s">
        <v>674</v>
      </c>
    </row>
    <row r="26" spans="2:11" ht="17" x14ac:dyDescent="0.25">
      <c r="B26" s="4" t="s">
        <v>309</v>
      </c>
      <c r="C26" s="13">
        <v>-322.16800000000001</v>
      </c>
      <c r="D26" s="13">
        <f>(15.9994+(2*39.0983))/1000</f>
        <v>9.4196000000000002E-2</v>
      </c>
      <c r="E26" s="13">
        <f>C26+(2*K17)+(0.5*K9)</f>
        <v>412.83199999999999</v>
      </c>
      <c r="F26" s="13">
        <v>-284.89999999999998</v>
      </c>
      <c r="G26" s="19">
        <f>F26/MW_K2O</f>
        <v>-3024.5445666482651</v>
      </c>
      <c r="H26" s="19" t="s">
        <v>674</v>
      </c>
    </row>
    <row r="27" spans="2:11" ht="16" x14ac:dyDescent="0.2">
      <c r="B27" s="4" t="s">
        <v>180</v>
      </c>
      <c r="C27" s="13">
        <f>12.00808</f>
        <v>12.00808</v>
      </c>
      <c r="D27" s="13">
        <f>30.973762/1000</f>
        <v>3.0973762000000002E-2</v>
      </c>
      <c r="E27" s="13">
        <f>C27+K18</f>
        <v>873.60807999999997</v>
      </c>
      <c r="F27" s="13">
        <v>0</v>
      </c>
      <c r="G27" s="19">
        <f>F27/MW_P</f>
        <v>0</v>
      </c>
      <c r="H27" s="19" t="s">
        <v>674</v>
      </c>
    </row>
    <row r="28" spans="2:11" ht="17" x14ac:dyDescent="0.25">
      <c r="B28" s="4" t="s">
        <v>317</v>
      </c>
      <c r="C28" s="13">
        <v>-1012.1096</v>
      </c>
      <c r="D28" s="13">
        <f>(12.011+(3*15.9994)+24.305)/1000</f>
        <v>8.4314200000000006E-2</v>
      </c>
      <c r="E28" s="13">
        <f>C28+K14+K5+((3/2)*K9)</f>
        <v>33.790400000000034</v>
      </c>
      <c r="F28" s="13">
        <v>-1095.8</v>
      </c>
      <c r="G28" s="19">
        <f>F28/MW_MgCO3</f>
        <v>-12996.624530624733</v>
      </c>
      <c r="H28" s="19">
        <f>(76.19/1000)*MW_MgCO3</f>
        <v>6.4238988979999998E-3</v>
      </c>
    </row>
    <row r="29" spans="2:11" ht="16" x14ac:dyDescent="0.2">
      <c r="B29" s="4" t="s">
        <v>351</v>
      </c>
      <c r="C29" s="19">
        <v>455.579024</v>
      </c>
      <c r="D29" s="13">
        <f>MW_N2/2</f>
        <v>1.400674E-2</v>
      </c>
      <c r="E29" s="13">
        <f>C29+(0.5*b_ch_N2)</f>
        <v>455.92902400000003</v>
      </c>
      <c r="F29" s="13">
        <v>427.7</v>
      </c>
      <c r="G29" s="19">
        <f>F29/D29</f>
        <v>30535.299434415145</v>
      </c>
      <c r="H29" s="19" t="s">
        <v>674</v>
      </c>
    </row>
    <row r="30" spans="2:11" ht="17" x14ac:dyDescent="0.25">
      <c r="B30" s="4" t="s">
        <v>355</v>
      </c>
      <c r="C30" s="19">
        <v>-31.95</v>
      </c>
      <c r="D30" s="13">
        <f>((2*12.011)+(6*1.00794))/1000</f>
        <v>3.0069639999999998E-2</v>
      </c>
      <c r="E30" s="13">
        <f>C30+(2*b_ch_C)+(3*b_ch_H2)</f>
        <v>1496.9499999999998</v>
      </c>
      <c r="F30" s="13">
        <v>-84.68</v>
      </c>
      <c r="G30" s="19">
        <f>F30/MW_C2H6</f>
        <v>-2816.1294914072805</v>
      </c>
      <c r="H30" s="19" t="s">
        <v>674</v>
      </c>
    </row>
    <row r="31" spans="2:11" ht="17" x14ac:dyDescent="0.25">
      <c r="B31" s="3" t="s">
        <v>65</v>
      </c>
      <c r="C31" s="19">
        <v>0</v>
      </c>
      <c r="D31" s="13">
        <f>MW_H*2</f>
        <v>2.0158800000000003E-3</v>
      </c>
      <c r="E31" s="13">
        <f>b_ch_H2</f>
        <v>236.1</v>
      </c>
      <c r="F31" s="13">
        <v>0</v>
      </c>
      <c r="G31" s="19">
        <f>F31/D31</f>
        <v>0</v>
      </c>
      <c r="H31" s="19" t="s">
        <v>674</v>
      </c>
    </row>
    <row r="32" spans="2:11" ht="17" x14ac:dyDescent="0.25">
      <c r="B32" s="3" t="s">
        <v>356</v>
      </c>
      <c r="C32" s="19">
        <v>-33.053600000000003</v>
      </c>
      <c r="D32" s="13">
        <f>((1.00794*2)+(32.066))/1000</f>
        <v>3.4081880000000002E-2</v>
      </c>
      <c r="E32" s="13">
        <f>C32+b_ch_H2+b_ch_S</f>
        <v>810.3463999999999</v>
      </c>
      <c r="F32" s="13">
        <v>-20.6</v>
      </c>
      <c r="G32" s="19">
        <f>F32/MW_H2S</f>
        <v>-604.42675110645303</v>
      </c>
      <c r="H32" s="19" t="s">
        <v>674</v>
      </c>
    </row>
    <row r="33" spans="1:8" ht="17" x14ac:dyDescent="0.25">
      <c r="B33" s="4" t="s">
        <v>357</v>
      </c>
      <c r="C33" s="19">
        <v>129.66216</v>
      </c>
      <c r="D33" s="13">
        <f>((6*12.011)+(6*1.00794))/1000</f>
        <v>7.8113639999999998E-2</v>
      </c>
      <c r="E33" s="13">
        <f>C33+(6*b_ch_C)+(3*b_ch_H2)</f>
        <v>3299.7621600000002</v>
      </c>
      <c r="F33" s="13">
        <v>49.1</v>
      </c>
      <c r="G33" s="19">
        <f>F33/MW_C6H6</f>
        <v>628.57139931003087</v>
      </c>
      <c r="H33" s="19" t="s">
        <v>674</v>
      </c>
    </row>
    <row r="34" spans="1:8" ht="17" x14ac:dyDescent="0.25">
      <c r="B34" s="3" t="s">
        <v>358</v>
      </c>
      <c r="C34" s="19">
        <v>-16.48</v>
      </c>
      <c r="D34" s="13">
        <f>(14.00674+(3*1.00794))/1000</f>
        <v>1.703056E-2</v>
      </c>
      <c r="E34" s="13">
        <f>C34+(0.5*b_ch_N2)+((3/2)*b_ch_H2)</f>
        <v>338.02</v>
      </c>
      <c r="F34" s="13">
        <v>-80.290000000000006</v>
      </c>
      <c r="G34" s="19">
        <f>F34/MW_NH3</f>
        <v>-4714.4662301180942</v>
      </c>
      <c r="H34" s="19" t="s">
        <v>674</v>
      </c>
    </row>
    <row r="35" spans="1:8" ht="17" x14ac:dyDescent="0.25">
      <c r="B35" s="4" t="s">
        <v>359</v>
      </c>
      <c r="C35" s="19">
        <v>68.430000000000007</v>
      </c>
      <c r="D35" s="163">
        <f>(2*MW_C)+(4*MW_H)</f>
        <v>2.8053759999999997E-2</v>
      </c>
      <c r="E35" s="13">
        <f>C35+(2*b_ch_C)+(2*b_ch_H2)</f>
        <v>1361.23</v>
      </c>
      <c r="F35" s="13">
        <v>52.4</v>
      </c>
      <c r="G35" s="19">
        <f>F35/MW_C2H4</f>
        <v>1867.8423141853357</v>
      </c>
      <c r="H35" s="19" t="s">
        <v>674</v>
      </c>
    </row>
    <row r="36" spans="1:8" ht="16" x14ac:dyDescent="0.2">
      <c r="B36" s="4" t="s">
        <v>360</v>
      </c>
      <c r="C36" s="13">
        <v>124.6832</v>
      </c>
      <c r="D36" s="13">
        <f>(1.00794+12.011+14.00674)/1000</f>
        <v>2.702568E-2</v>
      </c>
      <c r="E36" s="13">
        <f>C36+(0.5*b_ch_H2)+b_ch_C+(b_ch_N2*0.5)</f>
        <v>653.3832000000001</v>
      </c>
      <c r="F36" s="13">
        <v>135.1</v>
      </c>
      <c r="G36" s="19">
        <f>F36/MW_HCN</f>
        <v>4998.9491476255171</v>
      </c>
      <c r="H36" s="19" t="s">
        <v>674</v>
      </c>
    </row>
    <row r="37" spans="1:8" ht="17" x14ac:dyDescent="0.25">
      <c r="B37" s="4" t="s">
        <v>361</v>
      </c>
      <c r="C37" s="13">
        <v>66.902159999999995</v>
      </c>
      <c r="D37" s="13">
        <f>((12.011)+(2*32.066))/1000</f>
        <v>7.6143000000000002E-2</v>
      </c>
      <c r="E37" s="13">
        <f>C37+b_ch_C + 2*b_ch_S</f>
        <v>1691.80216</v>
      </c>
      <c r="F37" s="13">
        <v>116.7</v>
      </c>
      <c r="G37" s="19">
        <f>F37/MW_CS2</f>
        <v>1532.6425278751822</v>
      </c>
      <c r="H37" s="19" t="s">
        <v>674</v>
      </c>
    </row>
    <row r="38" spans="1:8" ht="17" x14ac:dyDescent="0.25">
      <c r="B38" s="4" t="s">
        <v>455</v>
      </c>
      <c r="C38" s="13">
        <v>7.4056800000000003</v>
      </c>
      <c r="D38" s="13">
        <f>(MW_C*8)+(MW_H*18)</f>
        <v>0.11423092</v>
      </c>
      <c r="E38" s="13">
        <f>C38+(8*K5)+(9*b_ch_H2)</f>
        <v>5414.70568</v>
      </c>
      <c r="F38" s="13">
        <v>-250.1</v>
      </c>
      <c r="G38" s="19">
        <f>F38/MW_C8H18</f>
        <v>-2189.4247196818515</v>
      </c>
      <c r="H38" s="19" t="s">
        <v>674</v>
      </c>
    </row>
    <row r="39" spans="1:8" ht="17" x14ac:dyDescent="0.25">
      <c r="B39" s="4" t="s">
        <v>456</v>
      </c>
      <c r="C39" s="13" t="s">
        <v>97</v>
      </c>
      <c r="D39" s="13">
        <f>(MW_C*12)+(MW_H*23)</f>
        <v>0.16731462</v>
      </c>
      <c r="E39" s="13" t="s">
        <v>97</v>
      </c>
      <c r="F39" s="13" t="s">
        <v>97</v>
      </c>
      <c r="G39" s="19">
        <f>LHV_Diesel</f>
        <v>42600</v>
      </c>
      <c r="H39" s="19" t="s">
        <v>674</v>
      </c>
    </row>
    <row r="40" spans="1:8" ht="17" x14ac:dyDescent="0.25">
      <c r="B40" s="4" t="s">
        <v>469</v>
      </c>
      <c r="C40" s="13" t="s">
        <v>97</v>
      </c>
      <c r="D40" s="13">
        <f>(10*MW_C) + (20*MW_H)</f>
        <v>0.1402688</v>
      </c>
      <c r="E40" s="13" t="s">
        <v>97</v>
      </c>
      <c r="F40" s="13" t="s">
        <v>97</v>
      </c>
      <c r="G40" s="19">
        <f>LHV_Oil</f>
        <v>39500</v>
      </c>
      <c r="H40" s="19" t="s">
        <v>674</v>
      </c>
    </row>
    <row r="41" spans="1:8" ht="17" x14ac:dyDescent="0.25">
      <c r="B41" s="3" t="s">
        <v>592</v>
      </c>
      <c r="C41" s="13">
        <v>223.7</v>
      </c>
      <c r="D41" s="13">
        <f>MW_C*10 + MW_H*8</f>
        <v>0.12817351999999999</v>
      </c>
      <c r="E41" s="13">
        <f>C41+(8*b_ch_H2)+(10*K5)</f>
        <v>6215.5</v>
      </c>
      <c r="F41" s="13">
        <v>78.5</v>
      </c>
      <c r="G41" s="19">
        <f>F41/D41</f>
        <v>612.45099611838714</v>
      </c>
      <c r="H41" s="19" t="s">
        <v>674</v>
      </c>
    </row>
    <row r="42" spans="1:8" ht="17" x14ac:dyDescent="0.25">
      <c r="A42" s="3" t="s">
        <v>602</v>
      </c>
      <c r="B42" s="3" t="s">
        <v>593</v>
      </c>
      <c r="C42" s="13">
        <v>383.08</v>
      </c>
      <c r="D42" s="13">
        <f>MW_C*14 + MW_H*10</f>
        <v>0.17823339999999999</v>
      </c>
      <c r="E42" s="13">
        <f>C42+(10*b_ch_H2)+(14*$K$5)</f>
        <v>8488.2799999999988</v>
      </c>
      <c r="F42" s="13">
        <v>207</v>
      </c>
      <c r="G42" s="19">
        <f t="shared" ref="G42:G49" si="0">F42/D42</f>
        <v>1161.3984808683447</v>
      </c>
      <c r="H42" s="19" t="s">
        <v>674</v>
      </c>
    </row>
    <row r="43" spans="1:8" ht="17" x14ac:dyDescent="0.25">
      <c r="A43" s="3" t="s">
        <v>605</v>
      </c>
      <c r="B43" s="3" t="s">
        <v>594</v>
      </c>
      <c r="C43" s="13">
        <v>491.18</v>
      </c>
      <c r="D43" s="13">
        <f>MW_C*16 + MW_H*10</f>
        <v>0.20225539999999997</v>
      </c>
      <c r="E43" s="13">
        <f>C43+(10*b_ch_H2)+(16*$K$5)</f>
        <v>9416.98</v>
      </c>
      <c r="F43" s="13">
        <v>-7917.8</v>
      </c>
      <c r="G43" s="19">
        <f t="shared" si="0"/>
        <v>-39147.533267344166</v>
      </c>
      <c r="H43" s="19" t="s">
        <v>674</v>
      </c>
    </row>
    <row r="44" spans="1:8" ht="17" x14ac:dyDescent="0.25">
      <c r="A44" s="3" t="s">
        <v>606</v>
      </c>
      <c r="B44" s="3" t="s">
        <v>603</v>
      </c>
      <c r="C44" s="13">
        <v>544.96</v>
      </c>
      <c r="D44" s="13">
        <f>MW_C*24 + MW_H*26</f>
        <v>0.31447043999999996</v>
      </c>
      <c r="E44" s="13">
        <f>C44+(26*b_ch_H2)+(24*$K$5)</f>
        <v>16530.760000000002</v>
      </c>
      <c r="F44" s="13">
        <v>162.21</v>
      </c>
      <c r="G44" s="19">
        <f t="shared" si="0"/>
        <v>515.81954729989889</v>
      </c>
      <c r="H44" s="19" t="s">
        <v>674</v>
      </c>
    </row>
    <row r="45" spans="1:8" ht="17" x14ac:dyDescent="0.25">
      <c r="A45" s="3" t="s">
        <v>604</v>
      </c>
      <c r="B45" s="3" t="s">
        <v>610</v>
      </c>
      <c r="C45" s="13">
        <v>330.52</v>
      </c>
      <c r="D45" s="13">
        <f>MW_C*12 + MW_H*10</f>
        <v>0.1542114</v>
      </c>
      <c r="E45" s="13">
        <f>C45+(10*b_ch_H2)+(12*$K$5)</f>
        <v>7615.1200000000008</v>
      </c>
      <c r="F45" s="13">
        <v>71</v>
      </c>
      <c r="G45" s="19">
        <f t="shared" si="0"/>
        <v>460.40694786507356</v>
      </c>
      <c r="H45" s="19" t="s">
        <v>674</v>
      </c>
    </row>
    <row r="46" spans="1:8" ht="17" x14ac:dyDescent="0.25">
      <c r="A46" s="3" t="s">
        <v>607</v>
      </c>
      <c r="B46" s="3" t="s">
        <v>612</v>
      </c>
      <c r="C46" s="13">
        <v>356.8</v>
      </c>
      <c r="D46" s="13">
        <f>MW_C*13 + MW_H*10</f>
        <v>0.16622239999999999</v>
      </c>
      <c r="E46" s="13">
        <f>C46+(10*b_ch_H2)+(13*$K$5)</f>
        <v>8051.7000000000007</v>
      </c>
      <c r="F46" s="13">
        <v>166.9</v>
      </c>
      <c r="G46" s="19">
        <f t="shared" si="0"/>
        <v>1004.0764662283784</v>
      </c>
      <c r="H46" s="19" t="s">
        <v>674</v>
      </c>
    </row>
    <row r="47" spans="1:8" ht="17" x14ac:dyDescent="0.25">
      <c r="A47" s="3" t="s">
        <v>608</v>
      </c>
      <c r="B47" s="4" t="s">
        <v>613</v>
      </c>
      <c r="C47" s="13">
        <v>513.78</v>
      </c>
      <c r="D47" s="13">
        <f>MW_C*18 + MW_H*12</f>
        <v>0.22829327999999999</v>
      </c>
      <c r="E47" s="13">
        <f>C47+(12*b_ch_H2)+(18*$K$5)</f>
        <v>10732.380000000001</v>
      </c>
      <c r="F47" s="13">
        <v>268.7</v>
      </c>
      <c r="G47" s="19">
        <f t="shared" si="0"/>
        <v>1176.9947849538103</v>
      </c>
      <c r="H47" s="19" t="s">
        <v>674</v>
      </c>
    </row>
    <row r="48" spans="1:8" ht="18" x14ac:dyDescent="0.25">
      <c r="A48" s="3" t="s">
        <v>609</v>
      </c>
      <c r="B48" s="1" t="s">
        <v>629</v>
      </c>
      <c r="C48" s="13">
        <v>-300.10000000000002</v>
      </c>
      <c r="D48" s="13">
        <f>MW_S+MW_O2</f>
        <v>6.4064800000000005E-2</v>
      </c>
      <c r="E48" s="13">
        <f>C48+(K16+K9)</f>
        <v>311.19999999999993</v>
      </c>
      <c r="F48" s="13">
        <v>-296.8</v>
      </c>
      <c r="G48" s="19">
        <f t="shared" si="0"/>
        <v>-4632.8092806033892</v>
      </c>
      <c r="H48" s="19" t="s">
        <v>674</v>
      </c>
    </row>
    <row r="49" spans="2:8" ht="17" x14ac:dyDescent="0.25">
      <c r="B49" s="3" t="s">
        <v>639</v>
      </c>
      <c r="C49" s="13">
        <v>-23.4</v>
      </c>
      <c r="D49" s="13">
        <f>MW_C*3 + MW_H*8</f>
        <v>4.409652E-2</v>
      </c>
      <c r="E49" s="13">
        <f>C49+(3*K5)+(4*b_ch_H2)</f>
        <v>2151.9</v>
      </c>
      <c r="F49" s="13">
        <f>-103.85</f>
        <v>-103.85</v>
      </c>
      <c r="G49" s="19">
        <f t="shared" si="0"/>
        <v>-2355.0611250048755</v>
      </c>
      <c r="H49" s="19" t="s">
        <v>674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106</v>
      </c>
    </row>
    <row r="55" spans="2:8" ht="17" x14ac:dyDescent="0.25">
      <c r="B55" s="13" t="s">
        <v>53</v>
      </c>
      <c r="C55" s="3" t="s">
        <v>123</v>
      </c>
    </row>
    <row r="56" spans="2:8" ht="17" x14ac:dyDescent="0.25">
      <c r="B56" s="13" t="s">
        <v>53</v>
      </c>
      <c r="C56" s="16" t="s">
        <v>362</v>
      </c>
    </row>
    <row r="57" spans="2:8" ht="18" x14ac:dyDescent="0.25">
      <c r="B57" s="19" t="s">
        <v>6</v>
      </c>
      <c r="C57" s="16" t="s">
        <v>350</v>
      </c>
    </row>
    <row r="58" spans="2:8" ht="18" x14ac:dyDescent="0.25">
      <c r="B58" s="19" t="s">
        <v>6</v>
      </c>
      <c r="C58" s="3" t="s">
        <v>127</v>
      </c>
    </row>
    <row r="59" spans="2:8" ht="17" x14ac:dyDescent="0.25">
      <c r="B59" s="13" t="s">
        <v>171</v>
      </c>
      <c r="C59" s="3" t="s">
        <v>172</v>
      </c>
    </row>
    <row r="60" spans="2:8" x14ac:dyDescent="0.2">
      <c r="B60" s="13" t="s">
        <v>337</v>
      </c>
      <c r="C60" s="16" t="s">
        <v>339</v>
      </c>
    </row>
    <row r="61" spans="2:8" x14ac:dyDescent="0.2">
      <c r="B61" s="13" t="s">
        <v>5</v>
      </c>
      <c r="C61" s="16" t="s">
        <v>349</v>
      </c>
    </row>
    <row r="62" spans="2:8" x14ac:dyDescent="0.2">
      <c r="B62" s="13" t="s">
        <v>373</v>
      </c>
      <c r="C62" s="16" t="s">
        <v>580</v>
      </c>
    </row>
    <row r="63" spans="2:8" x14ac:dyDescent="0.2">
      <c r="B63" s="127" t="s">
        <v>378</v>
      </c>
      <c r="C63" s="3" t="s">
        <v>380</v>
      </c>
    </row>
    <row r="64" spans="2:8" x14ac:dyDescent="0.2">
      <c r="B64" s="13" t="s">
        <v>637</v>
      </c>
      <c r="C64" s="312" t="s">
        <v>638</v>
      </c>
    </row>
    <row r="65" spans="2:3" x14ac:dyDescent="0.2">
      <c r="B65" s="13" t="s">
        <v>463</v>
      </c>
      <c r="C65" s="3" t="s">
        <v>464</v>
      </c>
    </row>
    <row r="66" spans="2:3" ht="17" x14ac:dyDescent="0.25">
      <c r="B66" s="13" t="s">
        <v>458</v>
      </c>
      <c r="C66" s="3" t="s">
        <v>457</v>
      </c>
    </row>
    <row r="67" spans="2:3" x14ac:dyDescent="0.2">
      <c r="B67" s="13" t="s">
        <v>39</v>
      </c>
      <c r="C67" s="3" t="s">
        <v>575</v>
      </c>
    </row>
    <row r="68" spans="2:3" x14ac:dyDescent="0.2">
      <c r="B68" s="13" t="s">
        <v>578</v>
      </c>
      <c r="C68" s="16" t="s">
        <v>635</v>
      </c>
    </row>
    <row r="69" spans="2:3" x14ac:dyDescent="0.2">
      <c r="B69" s="13" t="s">
        <v>591</v>
      </c>
      <c r="C69" s="3" t="s">
        <v>611</v>
      </c>
    </row>
    <row r="75" spans="2:3" ht="20" x14ac:dyDescent="0.2">
      <c r="C75" s="311"/>
    </row>
    <row r="76" spans="2:3" ht="20" x14ac:dyDescent="0.2">
      <c r="C76" s="310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50</v>
      </c>
    </row>
    <row r="2" spans="1:28" x14ac:dyDescent="0.2">
      <c r="A2" s="16" t="s">
        <v>125</v>
      </c>
      <c r="B2" s="3" t="s">
        <v>126</v>
      </c>
      <c r="C2" s="3" t="s">
        <v>173</v>
      </c>
    </row>
    <row r="10" spans="1:28" ht="17" x14ac:dyDescent="0.25">
      <c r="B10" s="13"/>
      <c r="C10" s="13" t="s">
        <v>46</v>
      </c>
      <c r="D10" s="13" t="s">
        <v>1</v>
      </c>
      <c r="E10" s="13" t="s">
        <v>46</v>
      </c>
      <c r="F10" s="13" t="s">
        <v>5</v>
      </c>
      <c r="G10" s="13" t="s">
        <v>31</v>
      </c>
      <c r="H10" s="13" t="s">
        <v>38</v>
      </c>
      <c r="I10" s="13" t="s">
        <v>117</v>
      </c>
      <c r="J10" s="13" t="s">
        <v>119</v>
      </c>
      <c r="O10" s="374" t="s">
        <v>124</v>
      </c>
      <c r="P10" s="374"/>
      <c r="Q10" s="374"/>
      <c r="R10" s="374"/>
      <c r="S10" s="374"/>
      <c r="T10" s="374"/>
      <c r="U10" s="374"/>
      <c r="V10" s="374" t="s">
        <v>124</v>
      </c>
      <c r="W10" s="374"/>
      <c r="X10" s="374"/>
      <c r="Y10" s="374"/>
      <c r="Z10" s="374"/>
      <c r="AA10" s="374"/>
      <c r="AB10" s="374"/>
    </row>
    <row r="11" spans="1:28" ht="18" x14ac:dyDescent="0.25">
      <c r="B11" s="13"/>
      <c r="C11" s="13" t="s">
        <v>237</v>
      </c>
      <c r="D11" s="13" t="s">
        <v>44</v>
      </c>
      <c r="E11" s="13" t="s">
        <v>10</v>
      </c>
      <c r="F11" s="13" t="s">
        <v>11</v>
      </c>
      <c r="G11" s="13" t="s">
        <v>12</v>
      </c>
      <c r="H11" s="13" t="s">
        <v>116</v>
      </c>
      <c r="I11" s="13" t="s">
        <v>118</v>
      </c>
      <c r="J11" s="13" t="s">
        <v>115</v>
      </c>
      <c r="O11" s="374" t="s">
        <v>302</v>
      </c>
      <c r="P11" s="374"/>
      <c r="Q11" s="374"/>
      <c r="R11" s="366"/>
      <c r="S11" s="367"/>
      <c r="T11" s="386" t="s">
        <v>301</v>
      </c>
      <c r="U11" s="373"/>
      <c r="V11" s="374" t="str">
        <f>_xlfn.CONCAT(E19," ",C19," ","+"," ",E21," ",C21," ","--&gt;"," ",E22," ",C22," ","+"," ",E20*E21," ",C20)</f>
        <v>1.5 C + 1.5 O2 --&gt; 1.5 CO2 + 5.64 N2</v>
      </c>
      <c r="W11" s="374"/>
      <c r="X11" s="374"/>
      <c r="Y11" s="374"/>
      <c r="Z11" s="374"/>
      <c r="AA11" s="374"/>
      <c r="AB11" s="374"/>
    </row>
    <row r="12" spans="1:28" ht="18" x14ac:dyDescent="0.25">
      <c r="B12" s="19" t="s">
        <v>14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74" t="s">
        <v>222</v>
      </c>
      <c r="P12" s="374"/>
      <c r="Q12" s="374"/>
      <c r="R12" s="366"/>
      <c r="S12" s="367"/>
      <c r="T12" s="374" t="s">
        <v>221</v>
      </c>
      <c r="U12" s="374"/>
      <c r="V12" s="374" t="str">
        <f>_xlfn.CONCAT(E25," ",C25," ","+"," ",E26," ",C26," ","--&gt;"," ",E27," ",C27)</f>
        <v>1.5 CO2 + 1.5 C --&gt; 3 CO</v>
      </c>
      <c r="W12" s="374"/>
      <c r="X12" s="374"/>
      <c r="Y12" s="374"/>
      <c r="Z12" s="374"/>
      <c r="AA12" s="374"/>
      <c r="AB12" s="374"/>
    </row>
    <row r="13" spans="1:28" ht="18" x14ac:dyDescent="0.25">
      <c r="B13" s="19" t="s">
        <v>16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74" t="s">
        <v>223</v>
      </c>
      <c r="P13" s="374"/>
      <c r="Q13" s="374"/>
      <c r="R13" s="366"/>
      <c r="S13" s="367"/>
      <c r="T13" s="386" t="s">
        <v>224</v>
      </c>
      <c r="U13" s="373"/>
      <c r="V13" s="374" t="str">
        <f>_xlfn.CONCAT(E29," ",C29," ","+"," ",E30," ",C30," ","--&gt;"," ",E31," ",C31," ","+"," ",E32," ",C32)</f>
        <v>1 Fe2O3 + 3 CO --&gt; 2 Fe + 3 CO2</v>
      </c>
      <c r="W13" s="374"/>
      <c r="X13" s="374"/>
      <c r="Y13" s="374"/>
      <c r="Z13" s="374"/>
      <c r="AA13" s="374"/>
      <c r="AB13" s="374"/>
    </row>
    <row r="14" spans="1:28" x14ac:dyDescent="0.2">
      <c r="B14" s="3" t="s">
        <v>18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74"/>
      <c r="P14" s="374"/>
      <c r="Q14" s="374"/>
      <c r="R14" s="366"/>
      <c r="S14" s="367"/>
      <c r="T14" s="374"/>
      <c r="U14" s="374"/>
      <c r="V14" s="374" t="str">
        <f>_xlfn.CONCAT(E36," ",C36," ","--&gt;"," ",E37," ",C37," ","+"," ",E39," ",C39)</f>
        <v>1 CaCO3 --&gt; 1 CaO + 0.0624775822865075 MgO</v>
      </c>
      <c r="W14" s="374"/>
      <c r="X14" s="374"/>
      <c r="Y14" s="374"/>
      <c r="Z14" s="374"/>
      <c r="AA14" s="374"/>
      <c r="AB14" s="374"/>
    </row>
    <row r="15" spans="1:28" ht="17" x14ac:dyDescent="0.25">
      <c r="O15" s="374" t="s">
        <v>225</v>
      </c>
      <c r="P15" s="374"/>
      <c r="Q15" s="374"/>
      <c r="R15" s="366"/>
      <c r="S15" s="367"/>
      <c r="T15" s="374" t="s">
        <v>226</v>
      </c>
      <c r="U15" s="374"/>
      <c r="V15" s="374" t="str">
        <f>_xlfn.CONCAT(E41," ",C41," ","+"," ",E42," ",C42," ","--&gt;"," ",E43," ",C43)</f>
        <v>1 CaO + 1 SiO2 --&gt; 1 CaSiO3</v>
      </c>
      <c r="W15" s="374"/>
      <c r="X15" s="374"/>
      <c r="Y15" s="374"/>
      <c r="Z15" s="374"/>
      <c r="AA15" s="374"/>
      <c r="AB15" s="374"/>
    </row>
    <row r="16" spans="1:28" x14ac:dyDescent="0.2">
      <c r="L16" s="76" t="s">
        <v>390</v>
      </c>
      <c r="M16" s="82" t="s">
        <v>391</v>
      </c>
    </row>
    <row r="17" spans="1:28" x14ac:dyDescent="0.2">
      <c r="D17" s="3" t="s">
        <v>43</v>
      </c>
      <c r="E17" s="3" t="s">
        <v>120</v>
      </c>
      <c r="F17" s="3" t="s">
        <v>38</v>
      </c>
      <c r="G17" s="3" t="s">
        <v>31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74" t="s">
        <v>328</v>
      </c>
      <c r="P17" s="374"/>
      <c r="Q17" s="374"/>
      <c r="R17" s="374"/>
      <c r="S17" s="374"/>
      <c r="T17" s="374"/>
      <c r="U17" s="374"/>
      <c r="V17" s="374" t="s">
        <v>124</v>
      </c>
      <c r="W17" s="374"/>
      <c r="X17" s="374"/>
      <c r="Y17" s="374"/>
      <c r="Z17" s="374"/>
      <c r="AA17" s="374"/>
      <c r="AB17" s="374"/>
    </row>
    <row r="18" spans="1:28" ht="17" x14ac:dyDescent="0.25">
      <c r="C18" s="31" t="s">
        <v>40</v>
      </c>
      <c r="D18" s="31"/>
      <c r="E18" s="13"/>
      <c r="F18" s="13" t="s">
        <v>116</v>
      </c>
      <c r="G18" s="13" t="s">
        <v>75</v>
      </c>
      <c r="H18" s="37" t="s">
        <v>11</v>
      </c>
      <c r="I18" s="13" t="s">
        <v>114</v>
      </c>
      <c r="J18" s="13" t="s">
        <v>44</v>
      </c>
      <c r="L18" s="13" t="s">
        <v>10</v>
      </c>
      <c r="M18" s="13" t="s">
        <v>10</v>
      </c>
      <c r="O18" s="374" t="s">
        <v>329</v>
      </c>
      <c r="P18" s="374"/>
      <c r="Q18" s="374"/>
      <c r="R18" s="374"/>
      <c r="S18" s="374"/>
      <c r="T18" s="374" t="s">
        <v>330</v>
      </c>
      <c r="U18" s="366"/>
      <c r="V18" s="385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85"/>
      <c r="X18" s="385"/>
      <c r="Y18" s="385"/>
      <c r="Z18" s="385"/>
      <c r="AA18" s="385"/>
      <c r="AB18" s="385"/>
    </row>
    <row r="19" spans="1:28" ht="16" x14ac:dyDescent="0.2">
      <c r="B19" s="387" t="s">
        <v>112</v>
      </c>
      <c r="C19" s="86" t="s">
        <v>17</v>
      </c>
      <c r="D19" s="17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85"/>
      <c r="W19" s="385"/>
      <c r="X19" s="385"/>
      <c r="Y19" s="385"/>
      <c r="Z19" s="385"/>
      <c r="AA19" s="385"/>
      <c r="AB19" s="385"/>
    </row>
    <row r="20" spans="1:28" ht="18" x14ac:dyDescent="0.25">
      <c r="A20" s="1"/>
      <c r="B20" s="388"/>
      <c r="C20" s="90" t="s">
        <v>300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89"/>
      <c r="C21" s="87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6" t="s">
        <v>283</v>
      </c>
      <c r="M21" s="82" t="s">
        <v>22</v>
      </c>
    </row>
    <row r="22" spans="1:28" ht="17" x14ac:dyDescent="0.25">
      <c r="B22" s="390" t="s">
        <v>113</v>
      </c>
      <c r="C22" s="31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10</v>
      </c>
      <c r="M22" s="13" t="s">
        <v>10</v>
      </c>
    </row>
    <row r="23" spans="1:28" ht="18" x14ac:dyDescent="0.25">
      <c r="B23" s="391"/>
      <c r="C23" s="92" t="s">
        <v>300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7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92" t="s">
        <v>112</v>
      </c>
      <c r="C25" s="31" t="s">
        <v>22</v>
      </c>
      <c r="D25" s="17" t="s">
        <v>35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6" t="s">
        <v>282</v>
      </c>
    </row>
    <row r="26" spans="1:28" x14ac:dyDescent="0.2">
      <c r="B26" s="392"/>
      <c r="C26" s="87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10</v>
      </c>
    </row>
    <row r="27" spans="1:28" ht="16" x14ac:dyDescent="0.2">
      <c r="B27" s="81" t="s">
        <v>113</v>
      </c>
      <c r="C27" s="78" t="s">
        <v>121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79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92" t="s">
        <v>112</v>
      </c>
      <c r="C29" s="86" t="s">
        <v>14</v>
      </c>
      <c r="D29" s="26" t="s">
        <v>27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92"/>
      <c r="C30" s="34" t="s">
        <v>121</v>
      </c>
      <c r="D30" s="24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93" t="s">
        <v>113</v>
      </c>
      <c r="C31" s="85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94"/>
      <c r="C32" s="84" t="s">
        <v>22</v>
      </c>
      <c r="D32" s="3" t="s">
        <v>198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388</v>
      </c>
      <c r="O32" s="3" t="s">
        <v>389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17</v>
      </c>
      <c r="M34" s="13" t="s">
        <v>11</v>
      </c>
      <c r="N34" s="13" t="s">
        <v>10</v>
      </c>
      <c r="O34" s="13" t="s">
        <v>10</v>
      </c>
    </row>
    <row r="35" spans="2:23" ht="18" x14ac:dyDescent="0.25">
      <c r="B35" s="396" t="s">
        <v>387</v>
      </c>
      <c r="C35" s="15" t="s">
        <v>324</v>
      </c>
      <c r="D35" s="26" t="s">
        <v>46</v>
      </c>
      <c r="E35" s="128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306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97"/>
      <c r="C36" s="19" t="s">
        <v>20</v>
      </c>
      <c r="D36" s="3" t="s">
        <v>199</v>
      </c>
      <c r="E36" s="126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92" t="s">
        <v>112</v>
      </c>
      <c r="C37" s="86" t="s">
        <v>122</v>
      </c>
      <c r="D37" s="3" t="s">
        <v>200</v>
      </c>
      <c r="E37" s="126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87"/>
      <c r="C38" s="31" t="s">
        <v>22</v>
      </c>
      <c r="D38" s="3" t="s">
        <v>1</v>
      </c>
      <c r="E38" s="129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87"/>
      <c r="C39" s="31" t="s">
        <v>178</v>
      </c>
      <c r="D39" s="3" t="s">
        <v>38</v>
      </c>
      <c r="E39" s="130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92" t="s">
        <v>112</v>
      </c>
      <c r="C41" s="19" t="s">
        <v>122</v>
      </c>
      <c r="D41" s="26" t="s">
        <v>31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92"/>
      <c r="C42" s="86" t="s">
        <v>16</v>
      </c>
      <c r="D42" s="3" t="s">
        <v>201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0" t="s">
        <v>113</v>
      </c>
      <c r="C43" s="83" t="s">
        <v>21</v>
      </c>
      <c r="D43" s="3" t="s">
        <v>202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69" t="s">
        <v>18</v>
      </c>
      <c r="C44" s="369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</row>
    <row r="47" spans="2:23" x14ac:dyDescent="0.2">
      <c r="C47" s="380" t="s">
        <v>343</v>
      </c>
      <c r="D47" s="380"/>
      <c r="E47" s="380"/>
      <c r="F47" s="380"/>
    </row>
    <row r="48" spans="2:23" x14ac:dyDescent="0.2">
      <c r="C48" s="398"/>
      <c r="D48" s="398"/>
      <c r="E48" s="398"/>
      <c r="F48" s="398"/>
      <c r="H48" s="374" t="s">
        <v>69</v>
      </c>
      <c r="I48" s="374"/>
      <c r="J48" s="374"/>
      <c r="K48" s="374"/>
      <c r="L48" s="374"/>
      <c r="M48" s="374"/>
    </row>
    <row r="49" spans="1:17" ht="18" x14ac:dyDescent="0.25">
      <c r="B49" s="3" t="s">
        <v>19</v>
      </c>
      <c r="C49" s="13" t="s">
        <v>64</v>
      </c>
      <c r="D49" s="13" t="s">
        <v>70</v>
      </c>
      <c r="E49" s="20" t="s">
        <v>71</v>
      </c>
      <c r="F49" s="20" t="s">
        <v>72</v>
      </c>
      <c r="H49" s="374" t="s">
        <v>73</v>
      </c>
      <c r="I49" s="374"/>
      <c r="J49" s="374"/>
      <c r="K49" s="13"/>
      <c r="L49" s="386" t="s">
        <v>348</v>
      </c>
      <c r="M49" s="373"/>
    </row>
    <row r="50" spans="1:17" ht="17" x14ac:dyDescent="0.25">
      <c r="B50" s="3" t="s">
        <v>10</v>
      </c>
      <c r="C50" s="13" t="s">
        <v>10</v>
      </c>
      <c r="D50" s="13" t="s">
        <v>75</v>
      </c>
      <c r="E50" s="13" t="s">
        <v>33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95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95"/>
      <c r="J51" s="395"/>
      <c r="K51" s="395"/>
      <c r="L51" s="395"/>
      <c r="M51" s="395"/>
    </row>
    <row r="52" spans="1:17" ht="16.25" customHeight="1" x14ac:dyDescent="0.2">
      <c r="C52" s="7"/>
      <c r="H52" s="395"/>
      <c r="I52" s="395"/>
      <c r="J52" s="395"/>
      <c r="K52" s="395"/>
      <c r="L52" s="395"/>
      <c r="M52" s="395"/>
    </row>
    <row r="53" spans="1:17" ht="16.25" customHeight="1" x14ac:dyDescent="0.2"/>
    <row r="54" spans="1:17" ht="15.5" customHeight="1" x14ac:dyDescent="0.2"/>
    <row r="55" spans="1:17" ht="15.5" customHeight="1" x14ac:dyDescent="0.2">
      <c r="D55" s="290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5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13" t="s">
        <v>40</v>
      </c>
      <c r="C58" s="13" t="s">
        <v>10</v>
      </c>
      <c r="D58" s="19" t="s">
        <v>83</v>
      </c>
      <c r="E58" s="13" t="s">
        <v>41</v>
      </c>
      <c r="F58" s="13" t="s">
        <v>42</v>
      </c>
      <c r="G58" s="13" t="s">
        <v>68</v>
      </c>
      <c r="H58" s="34" t="s">
        <v>405</v>
      </c>
      <c r="K58" s="13" t="s">
        <v>40</v>
      </c>
      <c r="L58" s="13" t="s">
        <v>10</v>
      </c>
      <c r="M58" s="19" t="s">
        <v>83</v>
      </c>
      <c r="N58" s="13" t="s">
        <v>41</v>
      </c>
      <c r="O58" s="13" t="s">
        <v>42</v>
      </c>
      <c r="P58" s="13" t="s">
        <v>68</v>
      </c>
      <c r="Q58" s="34" t="s">
        <v>405</v>
      </c>
    </row>
    <row r="59" spans="1:17" ht="17" x14ac:dyDescent="0.25">
      <c r="A59" s="115"/>
      <c r="B59" s="13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32</v>
      </c>
      <c r="H59" s="52">
        <v>1</v>
      </c>
      <c r="J59" s="399" t="s">
        <v>569</v>
      </c>
      <c r="K59" s="31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34</v>
      </c>
      <c r="Q59" s="3">
        <f>H60/2</f>
        <v>0.5</v>
      </c>
    </row>
    <row r="60" spans="1:17" ht="18" x14ac:dyDescent="0.25">
      <c r="A60" s="375" t="s">
        <v>642</v>
      </c>
      <c r="B60" s="20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33</v>
      </c>
      <c r="H60" s="3">
        <v>1</v>
      </c>
      <c r="J60" s="383"/>
      <c r="K60" s="283" t="s">
        <v>568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35</v>
      </c>
      <c r="Q60" s="3">
        <f>0.5*Q59</f>
        <v>0.25</v>
      </c>
    </row>
    <row r="61" spans="1:17" ht="18" x14ac:dyDescent="0.25">
      <c r="A61" s="375"/>
      <c r="B61" s="39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203</v>
      </c>
      <c r="H61" s="71">
        <f>H60*3.76</f>
        <v>3.76</v>
      </c>
      <c r="J61" s="383"/>
      <c r="K61" s="39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36</v>
      </c>
      <c r="Q61" s="3">
        <f>H61*H60</f>
        <v>3.76</v>
      </c>
    </row>
    <row r="62" spans="1:17" x14ac:dyDescent="0.2">
      <c r="B62" s="17" t="s">
        <v>18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83"/>
      <c r="K62" s="17" t="s">
        <v>18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4"/>
      <c r="L63" s="143"/>
      <c r="M63" s="143"/>
      <c r="N63" s="143"/>
      <c r="O63" s="143"/>
      <c r="P63" s="17"/>
      <c r="Q63" s="17"/>
    </row>
    <row r="64" spans="1:17" ht="18" x14ac:dyDescent="0.25">
      <c r="B64" s="15" t="s">
        <v>324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4"/>
      <c r="L64" s="143"/>
      <c r="M64" s="143"/>
      <c r="N64" s="143"/>
      <c r="O64" s="143"/>
    </row>
    <row r="65" spans="2:45" ht="16.25" customHeight="1" x14ac:dyDescent="0.25">
      <c r="B65" s="19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  <c r="AS68" s="97"/>
    </row>
    <row r="69" spans="2:45" x14ac:dyDescent="0.2">
      <c r="B69" s="380" t="s">
        <v>363</v>
      </c>
      <c r="C69" s="380"/>
      <c r="D69" s="380"/>
      <c r="E69" s="380"/>
      <c r="F69" s="380"/>
      <c r="G69" s="380"/>
      <c r="Y69" s="379" t="s">
        <v>581</v>
      </c>
      <c r="Z69" s="376"/>
      <c r="AA69" s="376"/>
      <c r="AB69" s="376"/>
      <c r="AC69" s="376"/>
      <c r="AD69" s="376"/>
      <c r="AE69" s="376"/>
      <c r="AF69" s="376"/>
    </row>
    <row r="70" spans="2:45" x14ac:dyDescent="0.2">
      <c r="B70" s="381"/>
      <c r="C70" s="381"/>
      <c r="D70" s="381"/>
      <c r="E70" s="381"/>
      <c r="F70" s="381"/>
      <c r="G70" s="381"/>
      <c r="K70" s="3" t="s">
        <v>590</v>
      </c>
      <c r="Y70" s="379"/>
      <c r="Z70" s="376"/>
      <c r="AA70" s="376"/>
      <c r="AB70" s="376"/>
      <c r="AC70" s="376"/>
      <c r="AD70" s="376"/>
      <c r="AE70" s="376"/>
      <c r="AF70" s="376"/>
    </row>
    <row r="71" spans="2:45" x14ac:dyDescent="0.2">
      <c r="E71" s="13"/>
      <c r="F71" s="13" t="s">
        <v>365</v>
      </c>
      <c r="G71" s="13" t="s">
        <v>365</v>
      </c>
      <c r="Y71" s="379"/>
      <c r="Z71" s="376"/>
      <c r="AA71" s="376"/>
      <c r="AB71" s="376"/>
      <c r="AC71" s="376"/>
      <c r="AD71" s="376"/>
      <c r="AE71" s="376"/>
      <c r="AF71" s="376"/>
    </row>
    <row r="72" spans="2:45" x14ac:dyDescent="0.2">
      <c r="B72" s="13" t="s">
        <v>17</v>
      </c>
      <c r="C72" s="13" t="s">
        <v>5</v>
      </c>
      <c r="D72" s="34" t="s">
        <v>353</v>
      </c>
      <c r="E72" s="13"/>
      <c r="F72" s="13" t="s">
        <v>588</v>
      </c>
      <c r="G72" s="13" t="s">
        <v>589</v>
      </c>
      <c r="Y72" s="24"/>
    </row>
    <row r="73" spans="2:45" ht="17" x14ac:dyDescent="0.25">
      <c r="B73" s="13" t="s">
        <v>10</v>
      </c>
      <c r="C73" s="13" t="s">
        <v>11</v>
      </c>
      <c r="D73" s="34" t="s">
        <v>354</v>
      </c>
      <c r="E73" s="13" t="s">
        <v>345</v>
      </c>
      <c r="F73" s="13">
        <v>18625</v>
      </c>
      <c r="G73" s="13">
        <f>(F73*G74)/F74</f>
        <v>315.66502308395394</v>
      </c>
      <c r="Y73" s="357" t="s">
        <v>112</v>
      </c>
      <c r="Z73" s="3" t="s">
        <v>1</v>
      </c>
      <c r="AA73" s="3" t="s">
        <v>46</v>
      </c>
      <c r="AB73" s="3" t="s">
        <v>5</v>
      </c>
      <c r="AC73" s="194" t="s">
        <v>386</v>
      </c>
      <c r="AG73" s="165"/>
      <c r="AH73" s="194"/>
      <c r="AJ73" s="194"/>
      <c r="AL73" s="165"/>
      <c r="AM73" s="194"/>
      <c r="AO73" s="194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586</v>
      </c>
      <c r="F74" s="13">
        <v>11994</v>
      </c>
      <c r="G74" s="13">
        <f>C94</f>
        <v>203.27980063725872</v>
      </c>
      <c r="Q74" s="194"/>
      <c r="S74" s="194"/>
      <c r="Y74" s="13" t="s">
        <v>40</v>
      </c>
      <c r="Z74" s="13" t="s">
        <v>10</v>
      </c>
      <c r="AA74" s="13" t="s">
        <v>237</v>
      </c>
      <c r="AB74" s="19" t="s">
        <v>83</v>
      </c>
      <c r="AC74" s="13" t="s">
        <v>41</v>
      </c>
      <c r="AD74" s="24"/>
      <c r="AI74" s="1"/>
      <c r="AN74" s="1"/>
    </row>
    <row r="75" spans="2:45" ht="17" x14ac:dyDescent="0.25">
      <c r="E75" s="13" t="s">
        <v>587</v>
      </c>
      <c r="F75" s="13">
        <v>2720</v>
      </c>
      <c r="G75" s="13">
        <f>(G74*F75)/F74</f>
        <v>46.099804713468707</v>
      </c>
      <c r="R75" s="1"/>
      <c r="Y75" s="13" t="s">
        <v>65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364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356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371</v>
      </c>
      <c r="AG76" s="4" t="s">
        <v>370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616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121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82">
        <f>(AC77+AC78+AC79)</f>
        <v>897.50495218664253</v>
      </c>
      <c r="AG77" s="272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591</v>
      </c>
      <c r="F78" s="13">
        <v>1415</v>
      </c>
      <c r="G78" s="13">
        <f>(G74*F78)/F74</f>
        <v>23.982067525572877</v>
      </c>
      <c r="H78" s="368"/>
      <c r="I78" s="368"/>
      <c r="J78" s="368"/>
      <c r="K78" s="368"/>
      <c r="L78" s="368"/>
      <c r="P78" s="4"/>
      <c r="Q78" s="1"/>
      <c r="R78" s="4"/>
      <c r="S78" s="1"/>
      <c r="Y78" s="20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181</v>
      </c>
      <c r="AF78" s="82">
        <f>(2*AC75)+(2*AC76)+(4*AC79)</f>
        <v>31404.116564962875</v>
      </c>
      <c r="AG78" s="272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4"/>
      <c r="I79" s="194"/>
      <c r="J79" s="194"/>
      <c r="K79" s="194"/>
      <c r="L79" s="194"/>
      <c r="M79" s="4"/>
      <c r="N79" s="4"/>
      <c r="O79" s="4"/>
      <c r="P79" s="4"/>
      <c r="Q79" s="1"/>
      <c r="R79" s="1"/>
      <c r="S79" s="6"/>
      <c r="Y79" s="13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179</v>
      </c>
      <c r="AF79" s="82">
        <f>AC76</f>
        <v>40.578575518840545</v>
      </c>
      <c r="AG79" s="274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Q80" s="6"/>
      <c r="R80" s="6"/>
      <c r="S80" s="1"/>
      <c r="W80"/>
      <c r="X80"/>
      <c r="Y80" s="31" t="s">
        <v>18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28</v>
      </c>
      <c r="AF80" s="82">
        <f>AC77+(2*AC78)</f>
        <v>147.83147366020734</v>
      </c>
      <c r="AG80" s="82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358"/>
      <c r="Y81" s="24"/>
    </row>
    <row r="82" spans="1:39" ht="31" customHeight="1" x14ac:dyDescent="0.2">
      <c r="G82" s="1"/>
      <c r="O82" s="6"/>
      <c r="P82" s="358"/>
      <c r="Q82" s="359" t="s">
        <v>675</v>
      </c>
      <c r="Y82" s="24"/>
      <c r="AG82" s="6"/>
      <c r="AL82" s="6"/>
    </row>
    <row r="83" spans="1:39" ht="16" x14ac:dyDescent="0.2">
      <c r="A83" t="s">
        <v>634</v>
      </c>
      <c r="G83" s="1"/>
      <c r="O83" s="6"/>
      <c r="P83" s="6"/>
      <c r="Y83" s="24"/>
    </row>
    <row r="84" spans="1:39" ht="16" x14ac:dyDescent="0.2">
      <c r="G84" s="1"/>
      <c r="Y84" s="24"/>
      <c r="AG84" s="1"/>
      <c r="AI84" s="235"/>
    </row>
    <row r="85" spans="1:39" ht="16" x14ac:dyDescent="0.2">
      <c r="G85" s="4"/>
      <c r="P85" s="1"/>
      <c r="Y85" s="24" t="s">
        <v>676</v>
      </c>
      <c r="AG85" s="7"/>
      <c r="AI85" s="7"/>
      <c r="AL85" s="225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84" t="s">
        <v>113</v>
      </c>
      <c r="Z86" s="3" t="s">
        <v>1</v>
      </c>
      <c r="AA86" s="3" t="s">
        <v>46</v>
      </c>
      <c r="AB86" s="3" t="s">
        <v>5</v>
      </c>
      <c r="AC86" s="194" t="s">
        <v>386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6"/>
      <c r="Y87" s="13" t="s">
        <v>40</v>
      </c>
      <c r="Z87" s="31" t="s">
        <v>10</v>
      </c>
      <c r="AA87" s="31" t="s">
        <v>237</v>
      </c>
      <c r="AB87" s="78" t="s">
        <v>83</v>
      </c>
      <c r="AC87" s="31" t="s">
        <v>41</v>
      </c>
      <c r="AD87" s="31" t="s">
        <v>42</v>
      </c>
    </row>
    <row r="88" spans="1:39" ht="17" customHeight="1" thickBot="1" x14ac:dyDescent="0.3">
      <c r="B88" s="165" t="s">
        <v>600</v>
      </c>
      <c r="E88" s="271"/>
      <c r="F88" s="7"/>
      <c r="G88" s="350" t="s">
        <v>316</v>
      </c>
      <c r="H88" s="351" t="s">
        <v>373</v>
      </c>
      <c r="I88" s="351" t="s">
        <v>374</v>
      </c>
      <c r="J88" s="352" t="s">
        <v>375</v>
      </c>
      <c r="K88" s="351" t="s">
        <v>376</v>
      </c>
      <c r="L88" s="351" t="s">
        <v>597</v>
      </c>
      <c r="M88" s="353" t="s">
        <v>377</v>
      </c>
      <c r="N88" s="354" t="s">
        <v>451</v>
      </c>
      <c r="X88" s="383" t="s">
        <v>572</v>
      </c>
      <c r="Y88" s="34" t="s">
        <v>65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2">
        <f>AC88/$AC$92</f>
        <v>0.93198229871837579</v>
      </c>
      <c r="AG88" s="1"/>
    </row>
    <row r="89" spans="1:39" ht="16" customHeight="1" x14ac:dyDescent="0.25">
      <c r="A89" s="371" t="s">
        <v>621</v>
      </c>
      <c r="B89" s="13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37" t="s">
        <v>97</v>
      </c>
      <c r="H89" s="37" t="s">
        <v>338</v>
      </c>
      <c r="I89" s="37" t="s">
        <v>237</v>
      </c>
      <c r="J89" s="37" t="s">
        <v>237</v>
      </c>
      <c r="K89" s="37" t="s">
        <v>237</v>
      </c>
      <c r="L89" s="37" t="s">
        <v>237</v>
      </c>
      <c r="M89" s="37" t="s">
        <v>97</v>
      </c>
      <c r="N89" s="37" t="s">
        <v>338</v>
      </c>
      <c r="X89" s="383"/>
      <c r="Y89" s="34" t="s">
        <v>64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2">
        <f>AC89/$AC$92</f>
        <v>6.0322399309869018E-2</v>
      </c>
      <c r="AG89" s="1"/>
    </row>
    <row r="90" spans="1:39" ht="19" thickBot="1" x14ac:dyDescent="0.3">
      <c r="A90" s="371"/>
      <c r="B90" s="13" t="s">
        <v>181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13">
        <f>phi_anthrocite</f>
        <v>1.0437000000000001</v>
      </c>
      <c r="H90" s="31">
        <f>NCV_dry_anthrocite</f>
        <v>30080</v>
      </c>
      <c r="I90" s="31">
        <f>C90/C89</f>
        <v>5.1124744376278121E-3</v>
      </c>
      <c r="J90" s="31">
        <f>C91/C89</f>
        <v>7.1574642126789375E-3</v>
      </c>
      <c r="K90" s="31">
        <f>C92/C89</f>
        <v>1.0224948875255625E-3</v>
      </c>
      <c r="L90" s="31">
        <f>C93/C89</f>
        <v>9.2024539877300603E-3</v>
      </c>
      <c r="M90" s="31">
        <f>G90+(phi_dry_constant_a_*(I90))+(phi_dry_constant_b*(J90))+(phi_dry_constant_c*(K90))</f>
        <v>1.0451400817995911</v>
      </c>
      <c r="N90" s="31">
        <f>(H90*M90) + (phi_constant_dry_anthracite_d*L90)</f>
        <v>31524.473169734152</v>
      </c>
      <c r="X90" s="383"/>
      <c r="Y90" s="224" t="s">
        <v>23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2">
        <f>AC90/$AC$92</f>
        <v>4.967966562730978E-3</v>
      </c>
      <c r="AG90" s="1"/>
    </row>
    <row r="91" spans="1:39" ht="18" thickBot="1" x14ac:dyDescent="0.3">
      <c r="A91" s="371"/>
      <c r="B91" s="13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345" t="s">
        <v>366</v>
      </c>
      <c r="I91" s="346" t="s">
        <v>354</v>
      </c>
      <c r="J91" s="347" t="s">
        <v>367</v>
      </c>
      <c r="K91" s="347" t="s">
        <v>368</v>
      </c>
      <c r="L91" s="346" t="s">
        <v>617</v>
      </c>
      <c r="M91" s="348" t="s">
        <v>618</v>
      </c>
      <c r="N91" s="349" t="s">
        <v>627</v>
      </c>
      <c r="X91" s="383"/>
      <c r="Y91" s="13" t="s">
        <v>356</v>
      </c>
      <c r="Z91" s="159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22">
        <f>AC91/$AC$92</f>
        <v>2.72733540902417E-3</v>
      </c>
      <c r="AG91" s="1"/>
    </row>
    <row r="92" spans="1:39" ht="16" x14ac:dyDescent="0.2">
      <c r="A92" s="371"/>
      <c r="B92" s="13" t="s">
        <v>351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7">
        <f>F90</f>
        <v>1008.3923677860722</v>
      </c>
      <c r="I92" s="37">
        <f>F89</f>
        <v>16552.130965218472</v>
      </c>
      <c r="J92" s="343">
        <f>F91</f>
        <v>88.938247963099329</v>
      </c>
      <c r="K92" s="343">
        <f>F92</f>
        <v>14.512998787530771</v>
      </c>
      <c r="L92" s="37">
        <f>F93</f>
        <v>57.054768469261155</v>
      </c>
      <c r="M92" s="344">
        <f>SUM(H92:L92)</f>
        <v>17721.029348224434</v>
      </c>
      <c r="N92" s="37">
        <f>((MW_C)+(MW_H*mol_H_coke)+(MW_O*mol_O_coke)+(MW_N2/2 *mol_N_coke)+(MW_S*mol_S_coke))*M92</f>
        <v>217.63525920401193</v>
      </c>
      <c r="X92" s="301"/>
      <c r="Y92" s="24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678</v>
      </c>
    </row>
    <row r="93" spans="1:39" ht="16" x14ac:dyDescent="0.2">
      <c r="A93" s="371"/>
      <c r="B93" s="13" t="s">
        <v>179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623</v>
      </c>
      <c r="H93" s="13">
        <f>mol_Coke/H92</f>
        <v>17.573545689492867</v>
      </c>
      <c r="I93" s="13">
        <f>mol_Coke/I92</f>
        <v>1.0706192082132631</v>
      </c>
      <c r="J93" s="13">
        <f>mol_Coke/J92</f>
        <v>199.25093819676914</v>
      </c>
      <c r="K93" s="13">
        <f>mol_Coke/K92</f>
        <v>1221.0453268589761</v>
      </c>
      <c r="L93" s="13">
        <f>mol_Coke/L92</f>
        <v>310.59681466890572</v>
      </c>
      <c r="X93" s="301"/>
      <c r="Y93" s="24"/>
      <c r="AG93" s="1"/>
      <c r="AM93" s="16" t="s">
        <v>677</v>
      </c>
    </row>
    <row r="94" spans="1:39" ht="16" x14ac:dyDescent="0.2">
      <c r="A94" s="300"/>
      <c r="C94" s="17">
        <f>SUM(C89:C93)</f>
        <v>203.27980063725872</v>
      </c>
      <c r="D94" s="17">
        <f>SUM(D89:D93)</f>
        <v>1</v>
      </c>
      <c r="E94" s="293"/>
      <c r="F94" s="17">
        <f>SUM(F89:F93)</f>
        <v>17721.029348224434</v>
      </c>
      <c r="G94" s="6"/>
      <c r="H94" s="15">
        <f>(H92*$I$93)/mol_Coke</f>
        <v>6.0922208137734024E-2</v>
      </c>
      <c r="I94" s="15">
        <v>1</v>
      </c>
      <c r="J94" s="15">
        <f>(J92*$I$93)/mol_Coke</f>
        <v>5.3732204119208661E-3</v>
      </c>
      <c r="K94" s="15">
        <f>(K92*$I$93)/mol_Coke</f>
        <v>8.7680545894830127E-4</v>
      </c>
      <c r="L94" s="15">
        <f>(L92*$I$93)/mol_Coke</f>
        <v>3.4469742046599429E-3</v>
      </c>
      <c r="X94" s="301"/>
      <c r="Y94" s="24"/>
      <c r="AG94" s="1"/>
    </row>
    <row r="95" spans="1:39" ht="17" thickBot="1" x14ac:dyDescent="0.25">
      <c r="F95" s="1"/>
      <c r="G95" s="6"/>
      <c r="H95" s="6"/>
      <c r="I95" s="6"/>
      <c r="J95" s="6"/>
      <c r="O95" s="3" t="s">
        <v>381</v>
      </c>
      <c r="X95" s="301"/>
      <c r="AG95" s="131"/>
    </row>
    <row r="96" spans="1:39" ht="18" thickBot="1" x14ac:dyDescent="0.3">
      <c r="B96" s="165" t="s">
        <v>371</v>
      </c>
      <c r="C96" s="3" t="s">
        <v>1</v>
      </c>
      <c r="D96" s="3" t="s">
        <v>46</v>
      </c>
      <c r="E96" s="3" t="s">
        <v>5</v>
      </c>
      <c r="F96" s="194" t="s">
        <v>386</v>
      </c>
      <c r="G96" s="350" t="s">
        <v>316</v>
      </c>
      <c r="H96" s="351" t="s">
        <v>373</v>
      </c>
      <c r="I96" s="351" t="s">
        <v>374</v>
      </c>
      <c r="J96" s="352" t="s">
        <v>375</v>
      </c>
      <c r="K96" s="351" t="s">
        <v>376</v>
      </c>
      <c r="L96" s="351" t="s">
        <v>596</v>
      </c>
      <c r="M96" s="351" t="s">
        <v>597</v>
      </c>
      <c r="N96" s="353" t="s">
        <v>377</v>
      </c>
      <c r="O96" s="354" t="s">
        <v>379</v>
      </c>
      <c r="P96" s="131"/>
      <c r="X96" s="301"/>
    </row>
    <row r="97" spans="1:38" ht="18" x14ac:dyDescent="0.25">
      <c r="B97" s="13" t="s">
        <v>40</v>
      </c>
      <c r="C97" s="13" t="s">
        <v>10</v>
      </c>
      <c r="D97" s="13" t="s">
        <v>237</v>
      </c>
      <c r="E97" s="19" t="s">
        <v>83</v>
      </c>
      <c r="F97" s="13" t="s">
        <v>41</v>
      </c>
      <c r="G97" s="37" t="s">
        <v>97</v>
      </c>
      <c r="H97" s="37" t="s">
        <v>338</v>
      </c>
      <c r="I97" s="37" t="s">
        <v>237</v>
      </c>
      <c r="J97" s="37" t="s">
        <v>237</v>
      </c>
      <c r="K97" s="37" t="s">
        <v>237</v>
      </c>
      <c r="L97" s="37" t="s">
        <v>237</v>
      </c>
      <c r="M97" s="37" t="s">
        <v>237</v>
      </c>
      <c r="N97" s="37" t="s">
        <v>97</v>
      </c>
      <c r="O97" s="37" t="s">
        <v>338</v>
      </c>
      <c r="X97" s="356"/>
      <c r="Y97" s="24"/>
    </row>
    <row r="98" spans="1:38" ht="16" thickBot="1" x14ac:dyDescent="0.25">
      <c r="A98" s="375" t="s">
        <v>570</v>
      </c>
      <c r="B98" s="13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13">
        <f>phi_anthrocite</f>
        <v>1.0437000000000001</v>
      </c>
      <c r="H98" s="31">
        <f>NCV_bituminous</f>
        <v>33412</v>
      </c>
      <c r="I98" s="31">
        <f>C99/C98</f>
        <v>0.14584005581192777</v>
      </c>
      <c r="J98" s="31">
        <f>C100/C98</f>
        <v>1.7710452920337294E-2</v>
      </c>
      <c r="K98" s="31">
        <f>C101/C98</f>
        <v>1.3365265485640865E-3</v>
      </c>
      <c r="L98" s="31">
        <f>K114/C98</f>
        <v>0.10885920401367521</v>
      </c>
      <c r="M98" s="31">
        <f>C102/C98</f>
        <v>1.3495583200088705E-2</v>
      </c>
      <c r="N98" s="13">
        <f>G98+(phi_dry_constant_a_*(I98))+(phi_dry_constant_b*(J98))+(phi_dry_constant_c*(K98))</f>
        <v>1.0722814318045075</v>
      </c>
      <c r="O98" s="13">
        <f>(NCV_dry_anthrocite*N98) + (phi_constant_dry_anthracite_d*M98)</f>
        <v>32381.313375674821</v>
      </c>
      <c r="Y98" s="24"/>
    </row>
    <row r="99" spans="1:38" ht="17" thickBot="1" x14ac:dyDescent="0.25">
      <c r="A99" s="375"/>
      <c r="B99" s="13" t="s">
        <v>181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345" t="s">
        <v>366</v>
      </c>
      <c r="I99" s="346" t="s">
        <v>354</v>
      </c>
      <c r="J99" s="347" t="s">
        <v>367</v>
      </c>
      <c r="K99" s="347" t="s">
        <v>368</v>
      </c>
      <c r="L99" s="346" t="s">
        <v>617</v>
      </c>
      <c r="M99" s="355" t="s">
        <v>369</v>
      </c>
      <c r="N99" s="1"/>
      <c r="Y99" s="24"/>
    </row>
    <row r="100" spans="1:38" ht="16" x14ac:dyDescent="0.2">
      <c r="A100" s="375"/>
      <c r="B100" s="13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7">
        <f>F99</f>
        <v>33565.524428231089</v>
      </c>
      <c r="I100" s="37">
        <f>F98</f>
        <v>19313.995623388062</v>
      </c>
      <c r="J100" s="343">
        <f>F100</f>
        <v>256.78950323208898</v>
      </c>
      <c r="K100" s="343">
        <f>F101</f>
        <v>22.135626509888038</v>
      </c>
      <c r="L100" s="37">
        <f>F102</f>
        <v>97.6333439881017</v>
      </c>
      <c r="M100" s="344">
        <f>SUM(H100:L100)</f>
        <v>53256.078525349229</v>
      </c>
      <c r="N100" s="1"/>
      <c r="Y100" s="24"/>
    </row>
    <row r="101" spans="1:38" ht="16" x14ac:dyDescent="0.2">
      <c r="A101" s="375"/>
      <c r="B101" s="13" t="s">
        <v>351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622</v>
      </c>
      <c r="H101" s="13">
        <f>mol_Coal/H100</f>
        <v>1.5866303128741504</v>
      </c>
      <c r="I101" s="13">
        <f>mol_Coal/mol_C_Coal</f>
        <v>2.7573827582760448</v>
      </c>
      <c r="J101" s="13">
        <f>mol_Coal/J100</f>
        <v>207.39196055539639</v>
      </c>
      <c r="K101" s="13">
        <f>mol_Coal/K100</f>
        <v>2405.8988572814783</v>
      </c>
      <c r="L101" s="13">
        <f>mol_Coal/L100</f>
        <v>545.47018825698933</v>
      </c>
      <c r="M101" s="15" t="s">
        <v>558</v>
      </c>
      <c r="N101" s="6"/>
      <c r="Y101" s="24"/>
    </row>
    <row r="102" spans="1:38" x14ac:dyDescent="0.2">
      <c r="A102" s="291"/>
      <c r="B102" s="13" t="s">
        <v>179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13">
        <f>(H100*coal_C_coeff)/mol_Coal</f>
        <v>1.7378860947646328</v>
      </c>
      <c r="I102" s="13">
        <v>1</v>
      </c>
      <c r="J102" s="13">
        <f>(J100*coal_C_coeff)/mol_Coal</f>
        <v>1.3295514208418516E-2</v>
      </c>
      <c r="K102" s="13">
        <f>(K100*coal_C_coeff)/mol_Coal</f>
        <v>1.1460925507864959E-3</v>
      </c>
      <c r="L102" s="13">
        <f>(L100*coal_C_coeff)/mol_Coal</f>
        <v>5.0550567522068676E-3</v>
      </c>
      <c r="M102" s="13">
        <f>(MW_C+(MW_H*mol_H_Coal)+((MW_N2/2)*mol_N_Coal)+(MW_O*mol_O_Coal)+(MW_S*mol_S_coal))*mol_Coal</f>
        <v>753.76276356260666</v>
      </c>
      <c r="Y102" s="284" t="s">
        <v>425</v>
      </c>
      <c r="AG102" s="165" t="s">
        <v>626</v>
      </c>
    </row>
    <row r="103" spans="1:38" x14ac:dyDescent="0.2">
      <c r="B103" s="13" t="s">
        <v>364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82" t="s">
        <v>571</v>
      </c>
      <c r="I103" s="382"/>
      <c r="J103" s="382"/>
      <c r="K103" s="382"/>
      <c r="Y103" s="24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84" t="s">
        <v>113</v>
      </c>
      <c r="Z104" s="3" t="s">
        <v>1</v>
      </c>
      <c r="AA104" s="3" t="s">
        <v>46</v>
      </c>
      <c r="AB104" s="3" t="s">
        <v>5</v>
      </c>
      <c r="AC104" s="194" t="s">
        <v>386</v>
      </c>
      <c r="AD104" s="3" t="s">
        <v>38</v>
      </c>
      <c r="AG104" s="165" t="s">
        <v>113</v>
      </c>
      <c r="AH104" s="3" t="s">
        <v>1</v>
      </c>
      <c r="AI104" s="3" t="s">
        <v>46</v>
      </c>
      <c r="AJ104" s="3" t="s">
        <v>5</v>
      </c>
      <c r="AK104" s="194" t="s">
        <v>386</v>
      </c>
      <c r="AL104" s="3" t="s">
        <v>38</v>
      </c>
    </row>
    <row r="105" spans="1:38" ht="18" x14ac:dyDescent="0.25">
      <c r="C105" s="3" t="s">
        <v>351</v>
      </c>
      <c r="D105" s="3" t="s">
        <v>5</v>
      </c>
      <c r="E105" s="3" t="s">
        <v>1</v>
      </c>
      <c r="F105" s="3" t="s">
        <v>46</v>
      </c>
      <c r="I105" s="3" t="s">
        <v>351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94" t="s">
        <v>386</v>
      </c>
      <c r="Y105" s="13" t="s">
        <v>40</v>
      </c>
      <c r="Z105" s="31" t="s">
        <v>10</v>
      </c>
      <c r="AA105" s="31" t="s">
        <v>237</v>
      </c>
      <c r="AB105" s="78" t="s">
        <v>83</v>
      </c>
      <c r="AC105" s="31" t="s">
        <v>41</v>
      </c>
      <c r="AD105" s="31" t="s">
        <v>42</v>
      </c>
      <c r="AG105" s="13" t="s">
        <v>40</v>
      </c>
      <c r="AH105" s="31" t="s">
        <v>10</v>
      </c>
      <c r="AI105" s="31" t="s">
        <v>237</v>
      </c>
      <c r="AJ105" s="78" t="s">
        <v>83</v>
      </c>
      <c r="AK105" s="31" t="s">
        <v>41</v>
      </c>
      <c r="AL105" s="31" t="s">
        <v>42</v>
      </c>
    </row>
    <row r="106" spans="1:38" ht="18" x14ac:dyDescent="0.25">
      <c r="B106" s="165" t="s">
        <v>598</v>
      </c>
      <c r="C106" s="13" t="s">
        <v>12</v>
      </c>
      <c r="D106" s="19" t="s">
        <v>83</v>
      </c>
      <c r="E106" s="13" t="s">
        <v>10</v>
      </c>
      <c r="F106" s="13" t="s">
        <v>237</v>
      </c>
      <c r="H106" s="165" t="s">
        <v>599</v>
      </c>
      <c r="I106" s="13" t="s">
        <v>12</v>
      </c>
      <c r="J106" s="19" t="s">
        <v>83</v>
      </c>
      <c r="K106" s="13" t="s">
        <v>10</v>
      </c>
      <c r="L106" s="13" t="s">
        <v>237</v>
      </c>
      <c r="N106" s="25" t="s">
        <v>601</v>
      </c>
      <c r="O106" s="13" t="s">
        <v>40</v>
      </c>
      <c r="P106" s="13" t="s">
        <v>10</v>
      </c>
      <c r="Q106" s="13" t="s">
        <v>237</v>
      </c>
      <c r="R106" s="19" t="s">
        <v>83</v>
      </c>
      <c r="S106" s="13" t="s">
        <v>41</v>
      </c>
      <c r="Y106" s="34" t="s">
        <v>65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2">
        <f>AC106/$AC$110</f>
        <v>0.9319822987183759</v>
      </c>
      <c r="AG106" s="34" t="s">
        <v>65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2">
        <f>AK106/$AK$110</f>
        <v>0.93198229871837568</v>
      </c>
    </row>
    <row r="107" spans="1:38" ht="17" x14ac:dyDescent="0.25">
      <c r="A107" s="3" t="s">
        <v>602</v>
      </c>
      <c r="B107" s="13" t="s">
        <v>592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77">
        <f>SUM(F107:F113)</f>
        <v>0.3640000000000001</v>
      </c>
      <c r="H107" s="61" t="s">
        <v>303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71" t="s">
        <v>620</v>
      </c>
      <c r="O107" s="13" t="s">
        <v>65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64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2">
        <f>AC107/$AC$110</f>
        <v>6.0322399309869025E-2</v>
      </c>
      <c r="AG107" s="34" t="s">
        <v>64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2">
        <f>AK107/$AK$110</f>
        <v>6.0322399309869004E-2</v>
      </c>
    </row>
    <row r="108" spans="1:38" ht="18" x14ac:dyDescent="0.25">
      <c r="A108" s="3" t="s">
        <v>605</v>
      </c>
      <c r="B108" s="13" t="s">
        <v>593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77"/>
      <c r="H108" s="61" t="s">
        <v>122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71"/>
      <c r="O108" s="13" t="s">
        <v>356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24" t="s">
        <v>23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2">
        <f>AC108/$AC$110</f>
        <v>4.967966562730978E-3</v>
      </c>
      <c r="AG108" s="224" t="s">
        <v>23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2">
        <f>AK108/$AK$110</f>
        <v>4.9679665627309771E-3</v>
      </c>
    </row>
    <row r="109" spans="1:38" ht="17" x14ac:dyDescent="0.25">
      <c r="A109" s="3" t="s">
        <v>606</v>
      </c>
      <c r="B109" s="13" t="s">
        <v>594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77"/>
      <c r="H109" s="61" t="s">
        <v>178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71"/>
      <c r="O109" s="13" t="s">
        <v>121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356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2">
        <f>AC109/$AC$110</f>
        <v>2.7273354090241704E-3</v>
      </c>
      <c r="AG109" s="13" t="s">
        <v>356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2">
        <f>AK109/$AK$110</f>
        <v>2.7273354090241691E-3</v>
      </c>
    </row>
    <row r="110" spans="1:38" ht="18" x14ac:dyDescent="0.25">
      <c r="A110" s="3" t="s">
        <v>604</v>
      </c>
      <c r="B110" s="13" t="s">
        <v>603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77"/>
      <c r="H110" s="61" t="s">
        <v>304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71"/>
      <c r="O110" s="20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18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18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607</v>
      </c>
      <c r="B111" s="13" t="s">
        <v>610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77"/>
      <c r="H111" s="19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71"/>
      <c r="O111" s="13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608</v>
      </c>
      <c r="B112" s="13" t="s">
        <v>612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77"/>
      <c r="H112" s="19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71"/>
      <c r="O112" s="13" t="s">
        <v>18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609</v>
      </c>
      <c r="B113" s="61" t="s">
        <v>613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77"/>
      <c r="H113" s="19" t="s">
        <v>595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77" t="s">
        <v>614</v>
      </c>
      <c r="B114" s="13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77"/>
      <c r="B115" s="13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77"/>
      <c r="B116" s="20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77"/>
      <c r="B117" s="292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5"/>
      <c r="E119" s="194"/>
      <c r="H119" s="165"/>
      <c r="K119" s="194"/>
    </row>
    <row r="120" spans="1:31" ht="16" x14ac:dyDescent="0.2">
      <c r="D120" s="1"/>
      <c r="J120" s="1"/>
      <c r="O120" s="248"/>
    </row>
    <row r="121" spans="1:31" ht="16" x14ac:dyDescent="0.2">
      <c r="H121" s="7"/>
      <c r="I121" s="248"/>
      <c r="J121" s="248"/>
      <c r="K121" s="248"/>
    </row>
    <row r="122" spans="1:31" ht="16" x14ac:dyDescent="0.2">
      <c r="B122" s="225"/>
      <c r="I122" s="248"/>
      <c r="J122" s="248"/>
      <c r="K122" s="248"/>
    </row>
    <row r="123" spans="1:31" ht="16" x14ac:dyDescent="0.2">
      <c r="B123" s="7"/>
      <c r="H123" s="7"/>
      <c r="I123" s="248"/>
      <c r="J123" s="248"/>
      <c r="K123" s="248"/>
    </row>
    <row r="127" spans="1:31" ht="16" x14ac:dyDescent="0.2">
      <c r="D127" s="225"/>
      <c r="AE127" s="16"/>
    </row>
    <row r="136" spans="4:19" x14ac:dyDescent="0.2">
      <c r="M136" s="16"/>
    </row>
    <row r="143" spans="4:19" x14ac:dyDescent="0.2">
      <c r="D143" s="368" t="s">
        <v>624</v>
      </c>
      <c r="E143" s="368"/>
      <c r="F143" s="368"/>
      <c r="G143" s="368"/>
      <c r="H143" s="368"/>
      <c r="I143" s="368"/>
      <c r="J143" s="368"/>
      <c r="K143" s="368"/>
      <c r="L143" s="368"/>
      <c r="M143" s="368"/>
      <c r="N143" s="368"/>
      <c r="O143" s="368"/>
      <c r="P143" s="368"/>
      <c r="Q143" s="368"/>
      <c r="R143" s="368"/>
      <c r="S143" s="368"/>
    </row>
    <row r="155" spans="1:30" x14ac:dyDescent="0.2">
      <c r="D155" s="3" t="s">
        <v>625</v>
      </c>
    </row>
    <row r="157" spans="1:30" ht="16" thickBot="1" x14ac:dyDescent="0.25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</row>
    <row r="158" spans="1:30" x14ac:dyDescent="0.2">
      <c r="C158" s="384" t="s">
        <v>573</v>
      </c>
      <c r="D158" s="384"/>
      <c r="E158" s="384"/>
      <c r="F158" s="384"/>
      <c r="G158" s="384"/>
    </row>
    <row r="159" spans="1:30" x14ac:dyDescent="0.2">
      <c r="B159" s="165" t="s">
        <v>425</v>
      </c>
      <c r="C159" s="376"/>
      <c r="D159" s="376"/>
      <c r="E159" s="376"/>
      <c r="F159" s="376"/>
      <c r="G159" s="376"/>
    </row>
    <row r="160" spans="1:30" x14ac:dyDescent="0.2">
      <c r="B160" s="3">
        <v>0.7</v>
      </c>
      <c r="I160" s="127" t="s">
        <v>331</v>
      </c>
    </row>
    <row r="161" spans="2:14" ht="18" x14ac:dyDescent="0.25">
      <c r="B161" s="165" t="s">
        <v>112</v>
      </c>
      <c r="C161" s="3" t="s">
        <v>1</v>
      </c>
      <c r="D161" s="3" t="s">
        <v>46</v>
      </c>
      <c r="E161" s="3" t="s">
        <v>5</v>
      </c>
      <c r="F161" s="194" t="s">
        <v>386</v>
      </c>
      <c r="I161" s="19" t="s">
        <v>88</v>
      </c>
      <c r="K161" s="165" t="s">
        <v>113</v>
      </c>
      <c r="L161" s="3" t="s">
        <v>1</v>
      </c>
      <c r="M161" s="3" t="s">
        <v>5</v>
      </c>
      <c r="N161" s="194" t="s">
        <v>386</v>
      </c>
    </row>
    <row r="162" spans="2:14" ht="18" x14ac:dyDescent="0.25">
      <c r="B162" s="13" t="s">
        <v>40</v>
      </c>
      <c r="C162" s="31" t="s">
        <v>10</v>
      </c>
      <c r="D162" s="31" t="s">
        <v>237</v>
      </c>
      <c r="E162" s="78" t="s">
        <v>83</v>
      </c>
      <c r="F162" s="26" t="s">
        <v>41</v>
      </c>
      <c r="I162" s="13">
        <f>L167-(C167+C172)</f>
        <v>0</v>
      </c>
      <c r="K162" s="13" t="s">
        <v>40</v>
      </c>
      <c r="L162" s="31" t="s">
        <v>10</v>
      </c>
      <c r="M162" s="78" t="s">
        <v>83</v>
      </c>
      <c r="N162" s="26" t="s">
        <v>41</v>
      </c>
    </row>
    <row r="163" spans="2:14" ht="17" x14ac:dyDescent="0.25">
      <c r="B163" s="34" t="s">
        <v>65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67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64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28" t="s">
        <v>63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24" t="s">
        <v>23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03" t="s">
        <v>628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356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66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18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5" t="s">
        <v>112</v>
      </c>
    </row>
    <row r="170" spans="2:14" ht="18" x14ac:dyDescent="0.25">
      <c r="B170" s="224" t="s">
        <v>23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112</v>
      </c>
      <c r="J170" s="3" t="s">
        <v>113</v>
      </c>
    </row>
    <row r="171" spans="2:14" ht="18" x14ac:dyDescent="0.25">
      <c r="B171" s="20" t="s">
        <v>66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82">
        <f>F164</f>
        <v>628.25346653064969</v>
      </c>
      <c r="J171" s="82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181</v>
      </c>
      <c r="I172" s="82">
        <f>(2*F163)+(4*F164)+(2*F166)</f>
        <v>21982.881595474006</v>
      </c>
      <c r="J172" s="82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82">
        <f>2*F165 +2*F170</f>
        <v>12304.757736524678</v>
      </c>
      <c r="J173" s="82">
        <f>N163+(2*N164)+(2*N165)</f>
        <v>12304.757736524678</v>
      </c>
      <c r="K173" s="3">
        <f t="shared" si="25"/>
        <v>0</v>
      </c>
    </row>
    <row r="174" spans="2:14" x14ac:dyDescent="0.2">
      <c r="H174" s="3" t="s">
        <v>351</v>
      </c>
      <c r="I174" s="82">
        <f>F171*2</f>
        <v>45876.796650659118</v>
      </c>
      <c r="J174" s="82">
        <f>2*N166</f>
        <v>45876.796650659118</v>
      </c>
      <c r="K174" s="3">
        <f t="shared" si="25"/>
        <v>0</v>
      </c>
    </row>
    <row r="175" spans="2:14" x14ac:dyDescent="0.2">
      <c r="H175" s="3" t="s">
        <v>179</v>
      </c>
      <c r="I175" s="82">
        <f>F166</f>
        <v>28.405002863188379</v>
      </c>
      <c r="J175" s="82">
        <f>N165</f>
        <v>28.405002863188379</v>
      </c>
      <c r="K175" s="3">
        <f t="shared" si="25"/>
        <v>0</v>
      </c>
    </row>
    <row r="176" spans="2:14" x14ac:dyDescent="0.2">
      <c r="I176" s="82">
        <f>SUM(I171:I175)</f>
        <v>80821.094452051635</v>
      </c>
      <c r="J176" s="82">
        <f>SUM(J171:J175)</f>
        <v>80821.094452051635</v>
      </c>
    </row>
    <row r="178" spans="1:21" ht="16" thickBot="1" x14ac:dyDescent="0.25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</row>
    <row r="180" spans="1:21" x14ac:dyDescent="0.2">
      <c r="B180" s="376" t="s">
        <v>630</v>
      </c>
      <c r="C180" s="376"/>
      <c r="D180" s="376"/>
      <c r="E180" s="376"/>
      <c r="F180" s="376"/>
      <c r="G180" s="376"/>
    </row>
    <row r="181" spans="1:21" x14ac:dyDescent="0.2">
      <c r="B181" s="376"/>
      <c r="C181" s="376"/>
      <c r="D181" s="376"/>
      <c r="E181" s="376"/>
      <c r="F181" s="376"/>
      <c r="G181" s="376"/>
    </row>
    <row r="182" spans="1:21" x14ac:dyDescent="0.2">
      <c r="B182" s="376"/>
      <c r="C182" s="376"/>
      <c r="D182" s="376"/>
      <c r="E182" s="376"/>
      <c r="F182" s="376"/>
      <c r="G182" s="376"/>
    </row>
    <row r="185" spans="1:21" x14ac:dyDescent="0.2">
      <c r="I185" s="127" t="s">
        <v>331</v>
      </c>
    </row>
    <row r="186" spans="1:21" ht="18" x14ac:dyDescent="0.25">
      <c r="B186" s="165"/>
      <c r="I186" s="19" t="s">
        <v>88</v>
      </c>
    </row>
    <row r="187" spans="1:21" x14ac:dyDescent="0.2">
      <c r="I187" s="13">
        <f>C195+C200-(H2O_out_BF_from_coke+SO2_out_BF_from_coke+N2_out_BF_from_coke)</f>
        <v>0</v>
      </c>
    </row>
    <row r="188" spans="1:21" ht="17" x14ac:dyDescent="0.25">
      <c r="B188" s="165" t="s">
        <v>112</v>
      </c>
      <c r="C188" s="3" t="s">
        <v>1</v>
      </c>
      <c r="D188" s="3" t="s">
        <v>46</v>
      </c>
      <c r="E188" s="3" t="s">
        <v>5</v>
      </c>
      <c r="F188" s="194" t="s">
        <v>386</v>
      </c>
      <c r="L188" s="165" t="s">
        <v>113</v>
      </c>
      <c r="M188" s="3" t="s">
        <v>1</v>
      </c>
      <c r="N188" s="3" t="s">
        <v>46</v>
      </c>
      <c r="O188" s="3" t="s">
        <v>5</v>
      </c>
      <c r="P188" s="194" t="s">
        <v>386</v>
      </c>
    </row>
    <row r="189" spans="1:21" ht="18" x14ac:dyDescent="0.25">
      <c r="B189" s="13" t="s">
        <v>40</v>
      </c>
      <c r="C189" s="13" t="s">
        <v>10</v>
      </c>
      <c r="D189" s="13" t="s">
        <v>237</v>
      </c>
      <c r="E189" s="19" t="s">
        <v>83</v>
      </c>
      <c r="F189" s="34" t="s">
        <v>41</v>
      </c>
      <c r="L189" s="13" t="s">
        <v>40</v>
      </c>
      <c r="M189" s="13" t="s">
        <v>10</v>
      </c>
      <c r="N189" s="13" t="s">
        <v>237</v>
      </c>
      <c r="O189" s="19" t="s">
        <v>83</v>
      </c>
      <c r="P189" s="34" t="s">
        <v>41</v>
      </c>
    </row>
    <row r="190" spans="1:21" ht="17" x14ac:dyDescent="0.25">
      <c r="B190" s="305" t="s">
        <v>17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67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13" t="s">
        <v>181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632</v>
      </c>
      <c r="L191" s="306" t="s">
        <v>631</v>
      </c>
      <c r="M191" s="307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1:21" ht="18" x14ac:dyDescent="0.25">
      <c r="B192" s="13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03" t="s">
        <v>628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13" t="s">
        <v>351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66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13" t="s">
        <v>179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1:101" x14ac:dyDescent="0.2">
      <c r="B195" s="3" t="s">
        <v>18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24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112</v>
      </c>
      <c r="J198" s="3" t="s">
        <v>113</v>
      </c>
    </row>
    <row r="199" spans="1:101" ht="18" x14ac:dyDescent="0.25">
      <c r="B199" s="20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82">
        <f>F190</f>
        <v>16552.130965218472</v>
      </c>
      <c r="J199" s="82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181</v>
      </c>
      <c r="I200" s="82">
        <f>F191</f>
        <v>1008.3923677860722</v>
      </c>
      <c r="J200" s="82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82">
        <f>F192+(F198*2)</f>
        <v>618.30572083155846</v>
      </c>
      <c r="J201" s="82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68"/>
    </row>
    <row r="202" spans="1:101" x14ac:dyDescent="0.2">
      <c r="H202" s="3" t="s">
        <v>351</v>
      </c>
      <c r="I202" s="82">
        <f>F193+(2*F199)</f>
        <v>2004.9346967729368</v>
      </c>
      <c r="J202" s="82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68"/>
    </row>
    <row r="203" spans="1:101" x14ac:dyDescent="0.2">
      <c r="H203" s="3" t="s">
        <v>179</v>
      </c>
      <c r="I203" s="82">
        <f>F194</f>
        <v>57.054768469261155</v>
      </c>
      <c r="J203" s="82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68"/>
    </row>
    <row r="204" spans="1:101" x14ac:dyDescent="0.2">
      <c r="H204" s="3" t="s">
        <v>679</v>
      </c>
      <c r="I204" s="3">
        <f>SUM(I199:I203)</f>
        <v>20240.818519078301</v>
      </c>
      <c r="J204" s="3">
        <f>SUM(J199:J203)</f>
        <v>20240.818519078301</v>
      </c>
      <c r="CG204" s="3">
        <f>CE204-CF204</f>
        <v>0</v>
      </c>
      <c r="CJ204" s="368"/>
    </row>
    <row r="205" spans="1:101" x14ac:dyDescent="0.2">
      <c r="CJ205" s="368"/>
    </row>
    <row r="206" spans="1:101" ht="16" thickBot="1" x14ac:dyDescent="0.25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CJ206" s="368"/>
    </row>
    <row r="208" spans="1:101" ht="18" x14ac:dyDescent="0.25">
      <c r="B208" s="376" t="s">
        <v>459</v>
      </c>
      <c r="C208" s="376"/>
      <c r="D208" s="376"/>
      <c r="E208" s="376"/>
      <c r="G208" s="20" t="s">
        <v>66</v>
      </c>
      <c r="H208" s="223" t="s">
        <v>23</v>
      </c>
      <c r="J208" s="374" t="s">
        <v>69</v>
      </c>
      <c r="K208" s="374"/>
      <c r="L208" s="374"/>
      <c r="M208" s="374"/>
      <c r="N208" s="374"/>
      <c r="O208" s="374"/>
    </row>
    <row r="209" spans="1:88" ht="18" x14ac:dyDescent="0.25">
      <c r="B209" s="376"/>
      <c r="C209" s="376"/>
      <c r="D209" s="376"/>
      <c r="E209" s="376"/>
      <c r="G209" s="13">
        <v>3.76</v>
      </c>
      <c r="H209" s="13">
        <v>2</v>
      </c>
      <c r="J209" s="374" t="s">
        <v>461</v>
      </c>
      <c r="K209" s="374"/>
      <c r="L209" s="374"/>
      <c r="M209" s="13"/>
      <c r="N209" s="372" t="s">
        <v>74</v>
      </c>
      <c r="O209" s="373"/>
    </row>
    <row r="210" spans="1:88" x14ac:dyDescent="0.2">
      <c r="B210" s="376"/>
      <c r="C210" s="376"/>
      <c r="D210" s="376"/>
      <c r="E210" s="376"/>
      <c r="J210" s="37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74"/>
      <c r="L210" s="374"/>
      <c r="M210" s="374"/>
      <c r="N210" s="374"/>
      <c r="O210" s="374"/>
      <c r="CD210" s="3" t="s">
        <v>179</v>
      </c>
      <c r="CE210" s="82" t="e">
        <f>mol_S_coal*#REF!</f>
        <v>#REF!</v>
      </c>
      <c r="CF210" s="82">
        <f>(mol_S_coke*mol_C_to_BF)+CO218</f>
        <v>61.083931043351427</v>
      </c>
    </row>
    <row r="211" spans="1:88" x14ac:dyDescent="0.2">
      <c r="B211" s="368" t="s">
        <v>574</v>
      </c>
      <c r="C211" s="368"/>
      <c r="D211" s="368"/>
      <c r="E211" s="368"/>
    </row>
    <row r="213" spans="1:88" ht="17" x14ac:dyDescent="0.25">
      <c r="C213" s="3" t="s">
        <v>1</v>
      </c>
      <c r="D213" s="3" t="s">
        <v>5</v>
      </c>
      <c r="E213" s="194" t="s">
        <v>386</v>
      </c>
      <c r="H213" s="165" t="s">
        <v>370</v>
      </c>
      <c r="I213" s="3" t="s">
        <v>1</v>
      </c>
      <c r="J213" s="3" t="s">
        <v>5</v>
      </c>
      <c r="K213" s="194" t="s">
        <v>386</v>
      </c>
    </row>
    <row r="214" spans="1:88" ht="18" x14ac:dyDescent="0.25">
      <c r="B214" s="165" t="s">
        <v>460</v>
      </c>
      <c r="C214" s="13" t="s">
        <v>10</v>
      </c>
      <c r="D214" s="19" t="s">
        <v>83</v>
      </c>
      <c r="E214" s="13" t="s">
        <v>41</v>
      </c>
      <c r="F214" s="3" t="s">
        <v>43</v>
      </c>
      <c r="H214" s="13" t="s">
        <v>40</v>
      </c>
      <c r="I214" s="13" t="s">
        <v>10</v>
      </c>
      <c r="J214" s="19" t="s">
        <v>83</v>
      </c>
      <c r="K214" s="13" t="s">
        <v>41</v>
      </c>
      <c r="L214" s="3" t="s">
        <v>43</v>
      </c>
    </row>
    <row r="215" spans="1:88" ht="18" x14ac:dyDescent="0.25">
      <c r="B215" s="61" t="s">
        <v>456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32</v>
      </c>
      <c r="G215" s="3">
        <v>1</v>
      </c>
      <c r="H215" s="227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34</v>
      </c>
      <c r="M215" s="3">
        <f>12*G215</f>
        <v>12</v>
      </c>
    </row>
    <row r="216" spans="1:88" ht="18" x14ac:dyDescent="0.25">
      <c r="B216" s="223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33</v>
      </c>
      <c r="G216" s="3">
        <f>((2*M215)+M216)/2</f>
        <v>17.75</v>
      </c>
      <c r="H216" s="13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35</v>
      </c>
      <c r="M216" s="3">
        <f>(23/2)*G215</f>
        <v>11.5</v>
      </c>
      <c r="BK216" s="368"/>
      <c r="BL216" s="368"/>
      <c r="BM216" s="368"/>
      <c r="BN216" s="368"/>
    </row>
    <row r="217" spans="1:88" ht="18" customHeight="1" x14ac:dyDescent="0.25">
      <c r="B217" s="20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203</v>
      </c>
      <c r="G217" s="3">
        <v>3.76</v>
      </c>
      <c r="H217" s="20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36</v>
      </c>
      <c r="M217" s="3">
        <f>G216*G217</f>
        <v>66.739999999999995</v>
      </c>
      <c r="BK217" s="368"/>
      <c r="BL217" s="368"/>
      <c r="BM217" s="368"/>
      <c r="BN217" s="368"/>
      <c r="CJ217" s="368"/>
    </row>
    <row r="218" spans="1:88" ht="22" customHeight="1" x14ac:dyDescent="0.2">
      <c r="B218" s="3" t="s">
        <v>18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68"/>
      <c r="BQ218" s="3" t="e">
        <f>BS218*BT218</f>
        <v>#DIV/0!</v>
      </c>
      <c r="BT218" s="3" t="e">
        <f>O2_Naturalgas_molcoeff*BT230</f>
        <v>#DIV/0!</v>
      </c>
      <c r="CJ218" s="368"/>
    </row>
    <row r="219" spans="1:88" x14ac:dyDescent="0.2">
      <c r="BO219" s="368"/>
      <c r="BQ219" s="3">
        <f>N2_for_coke_oven_comb</f>
        <v>0</v>
      </c>
      <c r="CJ219" s="368"/>
    </row>
    <row r="220" spans="1:88" x14ac:dyDescent="0.2">
      <c r="CJ220" s="368"/>
    </row>
    <row r="221" spans="1:88" x14ac:dyDescent="0.2">
      <c r="C221" s="3" t="s">
        <v>351</v>
      </c>
      <c r="E221" s="3" t="s">
        <v>351</v>
      </c>
      <c r="G221" s="3" t="s">
        <v>351</v>
      </c>
      <c r="J221" s="131" t="s">
        <v>560</v>
      </c>
      <c r="K221" s="131" t="s">
        <v>563</v>
      </c>
      <c r="L221" s="3" t="s">
        <v>373</v>
      </c>
      <c r="M221" s="3" t="s">
        <v>39</v>
      </c>
      <c r="N221" s="4" t="s">
        <v>34</v>
      </c>
      <c r="O221" s="131" t="s">
        <v>561</v>
      </c>
      <c r="P221" s="131" t="s">
        <v>562</v>
      </c>
      <c r="CJ221" s="368"/>
    </row>
    <row r="222" spans="1:88" x14ac:dyDescent="0.2">
      <c r="C222" s="3" t="s">
        <v>12</v>
      </c>
      <c r="E222" s="3" t="s">
        <v>12</v>
      </c>
      <c r="G222" s="3" t="s">
        <v>12</v>
      </c>
      <c r="J222" s="13" t="s">
        <v>97</v>
      </c>
      <c r="K222" s="13" t="s">
        <v>97</v>
      </c>
      <c r="L222" s="13" t="s">
        <v>338</v>
      </c>
      <c r="M222" s="13" t="s">
        <v>237</v>
      </c>
      <c r="N222" s="13" t="s">
        <v>237</v>
      </c>
      <c r="O222" s="13" t="s">
        <v>97</v>
      </c>
      <c r="P222" s="13" t="s">
        <v>338</v>
      </c>
    </row>
    <row r="223" spans="1:88" ht="18" x14ac:dyDescent="0.25">
      <c r="A223" s="371" t="s">
        <v>680</v>
      </c>
      <c r="B223" s="13" t="s">
        <v>181</v>
      </c>
      <c r="C223" s="3">
        <f>23*C225</f>
        <v>70.433751352617833</v>
      </c>
      <c r="D223" s="19" t="s">
        <v>299</v>
      </c>
      <c r="E223" s="3">
        <f>E225</f>
        <v>36.748044183974521</v>
      </c>
      <c r="F223" s="19" t="s">
        <v>299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371"/>
      <c r="B224" s="13" t="s">
        <v>17</v>
      </c>
      <c r="C224" s="3">
        <f>12*C225</f>
        <v>36.748044183974521</v>
      </c>
      <c r="D224" s="13" t="s">
        <v>17</v>
      </c>
      <c r="E224" s="3">
        <f>E225</f>
        <v>36.748044183974521</v>
      </c>
      <c r="F224" s="13" t="s">
        <v>28</v>
      </c>
      <c r="G224" s="3">
        <f>G225</f>
        <v>35.216875676308916</v>
      </c>
    </row>
    <row r="225" spans="1:94" ht="18" x14ac:dyDescent="0.25">
      <c r="A225" s="371"/>
      <c r="B225" s="61" t="s">
        <v>456</v>
      </c>
      <c r="C225" s="3">
        <f>E215</f>
        <v>3.0623370153312099</v>
      </c>
      <c r="D225" s="227" t="s">
        <v>63</v>
      </c>
      <c r="E225" s="3">
        <f>C224</f>
        <v>36.748044183974521</v>
      </c>
      <c r="F225" s="13" t="s">
        <v>67</v>
      </c>
      <c r="G225" s="3">
        <f>C223/2</f>
        <v>35.216875676308916</v>
      </c>
    </row>
    <row r="227" spans="1:94" x14ac:dyDescent="0.2">
      <c r="C227" s="3" t="s">
        <v>1</v>
      </c>
      <c r="N227" s="361" t="s">
        <v>675</v>
      </c>
    </row>
    <row r="228" spans="1:94" x14ac:dyDescent="0.2">
      <c r="C228" s="3" t="s">
        <v>10</v>
      </c>
      <c r="BI228"/>
      <c r="BJ228"/>
      <c r="BK228" s="368" t="s">
        <v>443</v>
      </c>
      <c r="BL228" s="368"/>
      <c r="BM228" s="368"/>
      <c r="BN228" s="368"/>
      <c r="BO228"/>
    </row>
    <row r="229" spans="1:94" x14ac:dyDescent="0.2">
      <c r="A229" s="371" t="s">
        <v>680</v>
      </c>
      <c r="B229" s="13" t="s">
        <v>181</v>
      </c>
      <c r="C229" s="3">
        <f>C223*MW_H</f>
        <v>7.0992995338357623E-2</v>
      </c>
      <c r="BI229"/>
      <c r="BJ229"/>
      <c r="BK229" s="368"/>
      <c r="BL229" s="368"/>
      <c r="BM229" s="368"/>
      <c r="BN229" s="368"/>
      <c r="BO229"/>
    </row>
    <row r="230" spans="1:94" x14ac:dyDescent="0.2">
      <c r="A230" s="371"/>
      <c r="B230" s="13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378"/>
      <c r="B231" s="360" t="s">
        <v>456</v>
      </c>
      <c r="C231" s="97">
        <f>SUM(C229:C230)</f>
        <v>0.51237375403207563</v>
      </c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</row>
    <row r="233" spans="1:94" x14ac:dyDescent="0.2">
      <c r="B233" s="376" t="s">
        <v>466</v>
      </c>
      <c r="C233" s="376"/>
      <c r="D233" s="376"/>
      <c r="E233" s="376"/>
      <c r="J233" s="374" t="s">
        <v>69</v>
      </c>
      <c r="K233" s="374"/>
      <c r="L233" s="374"/>
      <c r="M233" s="374"/>
      <c r="N233" s="374"/>
      <c r="O233" s="374"/>
    </row>
    <row r="234" spans="1:94" ht="22" customHeight="1" x14ac:dyDescent="0.25">
      <c r="B234" s="376"/>
      <c r="C234" s="376"/>
      <c r="D234" s="376"/>
      <c r="E234" s="376"/>
      <c r="J234" s="374" t="s">
        <v>468</v>
      </c>
      <c r="K234" s="374"/>
      <c r="L234" s="374"/>
      <c r="M234" s="13"/>
      <c r="N234" s="372" t="s">
        <v>74</v>
      </c>
      <c r="O234" s="373"/>
      <c r="CJ234" s="368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76"/>
      <c r="C235" s="376"/>
      <c r="D235" s="376"/>
      <c r="E235" s="376"/>
      <c r="J235" s="37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74"/>
      <c r="L235" s="374"/>
      <c r="M235" s="374"/>
      <c r="N235" s="374"/>
      <c r="O235" s="374"/>
      <c r="CJ235" s="368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68" t="s">
        <v>574</v>
      </c>
      <c r="C236" s="368"/>
      <c r="D236" s="368"/>
      <c r="E236" s="368"/>
      <c r="CJ236" s="368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94" t="s">
        <v>386</v>
      </c>
      <c r="H238" s="165" t="s">
        <v>370</v>
      </c>
      <c r="I238" s="3" t="s">
        <v>1</v>
      </c>
      <c r="J238" s="3" t="s">
        <v>5</v>
      </c>
      <c r="K238" s="194" t="s">
        <v>386</v>
      </c>
    </row>
    <row r="239" spans="1:94" ht="18" x14ac:dyDescent="0.25">
      <c r="B239" s="165" t="s">
        <v>467</v>
      </c>
      <c r="C239" s="13" t="s">
        <v>10</v>
      </c>
      <c r="D239" s="19" t="s">
        <v>83</v>
      </c>
      <c r="E239" s="13" t="s">
        <v>41</v>
      </c>
      <c r="F239" s="3" t="s">
        <v>43</v>
      </c>
      <c r="H239" s="13" t="s">
        <v>40</v>
      </c>
      <c r="I239" s="13" t="s">
        <v>10</v>
      </c>
      <c r="J239" s="19" t="s">
        <v>83</v>
      </c>
      <c r="K239" s="13" t="s">
        <v>41</v>
      </c>
      <c r="L239" s="3" t="s">
        <v>43</v>
      </c>
    </row>
    <row r="240" spans="1:94" ht="18" x14ac:dyDescent="0.25">
      <c r="B240" s="61" t="s">
        <v>455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32</v>
      </c>
      <c r="G240" s="3">
        <v>1</v>
      </c>
      <c r="H240" s="227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34</v>
      </c>
      <c r="M240" s="3">
        <f>8*G240</f>
        <v>8</v>
      </c>
    </row>
    <row r="241" spans="1:88" ht="18" x14ac:dyDescent="0.25">
      <c r="B241" s="223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33</v>
      </c>
      <c r="G241" s="3">
        <f>((2*M240)+(M241))/2</f>
        <v>12.5</v>
      </c>
      <c r="H241" s="13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35</v>
      </c>
      <c r="M241" s="3">
        <f>9*G240</f>
        <v>9</v>
      </c>
    </row>
    <row r="242" spans="1:88" ht="18" x14ac:dyDescent="0.25">
      <c r="B242" s="20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203</v>
      </c>
      <c r="G242" s="3">
        <v>3.76</v>
      </c>
      <c r="H242" s="20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36</v>
      </c>
      <c r="M242" s="3">
        <f>G242*G241</f>
        <v>47</v>
      </c>
    </row>
    <row r="243" spans="1:88" x14ac:dyDescent="0.2">
      <c r="B243" s="3" t="s">
        <v>18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1:88" x14ac:dyDescent="0.2">
      <c r="B245" s="131" t="s">
        <v>560</v>
      </c>
      <c r="C245" s="131" t="s">
        <v>563</v>
      </c>
      <c r="D245" s="3" t="s">
        <v>373</v>
      </c>
      <c r="E245" s="3" t="s">
        <v>39</v>
      </c>
      <c r="F245" s="4" t="s">
        <v>34</v>
      </c>
      <c r="G245" s="131" t="s">
        <v>561</v>
      </c>
      <c r="H245" s="131" t="s">
        <v>564</v>
      </c>
    </row>
    <row r="246" spans="1:88" x14ac:dyDescent="0.2">
      <c r="B246" s="13" t="s">
        <v>97</v>
      </c>
      <c r="C246" s="13" t="s">
        <v>97</v>
      </c>
      <c r="D246" s="13" t="s">
        <v>338</v>
      </c>
      <c r="E246" s="13" t="s">
        <v>237</v>
      </c>
      <c r="F246" s="13" t="s">
        <v>237</v>
      </c>
      <c r="G246" s="13" t="s">
        <v>97</v>
      </c>
      <c r="H246" s="13" t="s">
        <v>338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</row>
    <row r="250" spans="1:88" ht="18" customHeight="1" x14ac:dyDescent="0.2">
      <c r="B250" s="376" t="s">
        <v>471</v>
      </c>
      <c r="C250" s="376"/>
      <c r="D250" s="376"/>
      <c r="E250" s="376"/>
      <c r="J250" s="374" t="s">
        <v>69</v>
      </c>
      <c r="K250" s="374"/>
      <c r="L250" s="374"/>
      <c r="M250" s="374"/>
      <c r="N250" s="374"/>
      <c r="O250" s="374"/>
      <c r="CJ250" s="368"/>
    </row>
    <row r="251" spans="1:88" ht="18" x14ac:dyDescent="0.25">
      <c r="B251" s="376"/>
      <c r="C251" s="376"/>
      <c r="D251" s="376"/>
      <c r="E251" s="376"/>
      <c r="J251" s="374" t="s">
        <v>473</v>
      </c>
      <c r="K251" s="374"/>
      <c r="L251" s="374"/>
      <c r="M251" s="13"/>
      <c r="N251" s="372" t="s">
        <v>74</v>
      </c>
      <c r="O251" s="373"/>
      <c r="CJ251" s="368"/>
    </row>
    <row r="252" spans="1:88" x14ac:dyDescent="0.2">
      <c r="B252" s="376"/>
      <c r="C252" s="376"/>
      <c r="D252" s="376"/>
      <c r="E252" s="376"/>
      <c r="J252" s="37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74"/>
      <c r="L252" s="374"/>
      <c r="M252" s="374"/>
      <c r="N252" s="374"/>
      <c r="O252" s="374"/>
      <c r="CJ252" s="368"/>
    </row>
    <row r="253" spans="1:88" x14ac:dyDescent="0.2">
      <c r="B253" s="368" t="s">
        <v>574</v>
      </c>
      <c r="C253" s="368"/>
      <c r="D253" s="368"/>
      <c r="E253" s="368"/>
      <c r="CJ253" s="368"/>
    </row>
    <row r="254" spans="1:88" x14ac:dyDescent="0.2">
      <c r="CJ254" s="368"/>
    </row>
    <row r="255" spans="1:88" ht="17" x14ac:dyDescent="0.25">
      <c r="C255" s="3" t="s">
        <v>1</v>
      </c>
      <c r="D255" s="3" t="s">
        <v>5</v>
      </c>
      <c r="E255" s="194" t="s">
        <v>386</v>
      </c>
      <c r="H255" s="165" t="s">
        <v>370</v>
      </c>
      <c r="I255" s="3" t="s">
        <v>1</v>
      </c>
      <c r="J255" s="3" t="s">
        <v>5</v>
      </c>
      <c r="K255" s="194" t="s">
        <v>386</v>
      </c>
      <c r="CJ255" s="368"/>
    </row>
    <row r="256" spans="1:88" ht="18" x14ac:dyDescent="0.25">
      <c r="B256" s="165" t="s">
        <v>344</v>
      </c>
      <c r="C256" s="13" t="s">
        <v>10</v>
      </c>
      <c r="D256" s="19" t="s">
        <v>83</v>
      </c>
      <c r="E256" s="13" t="s">
        <v>41</v>
      </c>
      <c r="F256" s="3" t="s">
        <v>43</v>
      </c>
      <c r="H256" s="13" t="s">
        <v>40</v>
      </c>
      <c r="I256" s="13" t="s">
        <v>10</v>
      </c>
      <c r="J256" s="19" t="s">
        <v>83</v>
      </c>
      <c r="K256" s="13" t="s">
        <v>41</v>
      </c>
      <c r="L256" s="3" t="s">
        <v>43</v>
      </c>
      <c r="CJ256" s="368"/>
    </row>
    <row r="257" spans="1:88" ht="18" x14ac:dyDescent="0.25">
      <c r="B257" s="61" t="s">
        <v>469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32</v>
      </c>
      <c r="G257" s="3">
        <v>1</v>
      </c>
      <c r="H257" s="227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34</v>
      </c>
      <c r="M257" s="3">
        <v>10</v>
      </c>
      <c r="CJ257" s="368"/>
    </row>
    <row r="258" spans="1:88" ht="18" x14ac:dyDescent="0.25">
      <c r="B258" s="223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33</v>
      </c>
      <c r="G258" s="3">
        <f>((2*M257)+(M258))/2</f>
        <v>15</v>
      </c>
      <c r="H258" s="13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35</v>
      </c>
      <c r="M258" s="3">
        <v>10</v>
      </c>
      <c r="CJ258" s="368"/>
    </row>
    <row r="259" spans="1:88" ht="18" x14ac:dyDescent="0.25">
      <c r="B259" s="20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203</v>
      </c>
      <c r="G259" s="3">
        <v>3.76</v>
      </c>
      <c r="H259" s="20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36</v>
      </c>
      <c r="M259" s="3">
        <f>G259*G258</f>
        <v>56.4</v>
      </c>
      <c r="CJ259" s="368"/>
    </row>
    <row r="260" spans="1:88" x14ac:dyDescent="0.2">
      <c r="B260" s="3" t="s">
        <v>18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68"/>
    </row>
    <row r="262" spans="1:88" x14ac:dyDescent="0.2">
      <c r="B262" s="131" t="s">
        <v>560</v>
      </c>
      <c r="C262" s="131" t="s">
        <v>563</v>
      </c>
      <c r="D262" s="3" t="s">
        <v>373</v>
      </c>
      <c r="E262" s="3" t="s">
        <v>39</v>
      </c>
      <c r="F262" s="4" t="s">
        <v>34</v>
      </c>
      <c r="G262" s="131" t="s">
        <v>561</v>
      </c>
      <c r="H262" s="131" t="s">
        <v>565</v>
      </c>
    </row>
    <row r="263" spans="1:88" x14ac:dyDescent="0.2">
      <c r="B263" s="13" t="s">
        <v>97</v>
      </c>
      <c r="C263" s="13" t="s">
        <v>97</v>
      </c>
      <c r="D263" s="13" t="s">
        <v>338</v>
      </c>
      <c r="E263" s="13" t="s">
        <v>237</v>
      </c>
      <c r="F263" s="13" t="s">
        <v>237</v>
      </c>
      <c r="G263" s="13" t="s">
        <v>97</v>
      </c>
      <c r="H263" s="13" t="s">
        <v>338</v>
      </c>
    </row>
    <row r="264" spans="1:88" ht="16" thickBot="1" x14ac:dyDescent="0.25">
      <c r="A264" s="97"/>
      <c r="B264" s="282">
        <v>1.0401</v>
      </c>
      <c r="C264" s="282">
        <v>0.17280000000000001</v>
      </c>
      <c r="D264" s="282">
        <f>LHV_Oil</f>
        <v>39500</v>
      </c>
      <c r="E264" s="282">
        <f>(MW_H*20)/(MW_Oil)</f>
        <v>0.14371549482137158</v>
      </c>
      <c r="F264" s="282">
        <f>1-E264</f>
        <v>0.85628450517862842</v>
      </c>
      <c r="G264" s="282">
        <f>B264+(0.1728*(E264/F264))</f>
        <v>1.069102086753809</v>
      </c>
      <c r="H264" s="282">
        <f>G264*D264</f>
        <v>42229.532426775455</v>
      </c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</row>
    <row r="266" spans="1:88" x14ac:dyDescent="0.2">
      <c r="B266" s="376" t="s">
        <v>470</v>
      </c>
      <c r="C266" s="376"/>
      <c r="D266" s="376"/>
      <c r="E266" s="376"/>
      <c r="J266" s="374" t="s">
        <v>69</v>
      </c>
      <c r="K266" s="374"/>
      <c r="L266" s="374"/>
      <c r="M266" s="374"/>
      <c r="N266" s="374"/>
      <c r="O266" s="374"/>
    </row>
    <row r="267" spans="1:88" ht="18" x14ac:dyDescent="0.25">
      <c r="B267" s="376"/>
      <c r="C267" s="376"/>
      <c r="D267" s="376"/>
      <c r="E267" s="376"/>
      <c r="J267" s="374" t="s">
        <v>73</v>
      </c>
      <c r="K267" s="374"/>
      <c r="L267" s="374"/>
      <c r="M267" s="13"/>
      <c r="N267" s="372" t="s">
        <v>74</v>
      </c>
      <c r="O267" s="373"/>
    </row>
    <row r="268" spans="1:88" x14ac:dyDescent="0.2">
      <c r="B268" s="376"/>
      <c r="C268" s="376"/>
      <c r="D268" s="376"/>
      <c r="E268" s="376"/>
      <c r="J268" s="37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74"/>
      <c r="L268" s="374"/>
      <c r="M268" s="374"/>
      <c r="N268" s="374"/>
      <c r="O268" s="374"/>
    </row>
    <row r="269" spans="1:88" x14ac:dyDescent="0.2">
      <c r="B269" s="368" t="s">
        <v>574</v>
      </c>
      <c r="C269" s="368"/>
      <c r="D269" s="368"/>
      <c r="E269" s="368"/>
    </row>
    <row r="271" spans="1:88" ht="17" x14ac:dyDescent="0.25">
      <c r="C271" s="3" t="s">
        <v>1</v>
      </c>
      <c r="D271" s="3" t="s">
        <v>5</v>
      </c>
      <c r="E271" s="194" t="s">
        <v>386</v>
      </c>
      <c r="H271" s="165" t="s">
        <v>370</v>
      </c>
      <c r="I271" s="3" t="s">
        <v>1</v>
      </c>
      <c r="J271" s="3" t="s">
        <v>5</v>
      </c>
      <c r="K271" s="194" t="s">
        <v>386</v>
      </c>
    </row>
    <row r="272" spans="1:88" ht="18" x14ac:dyDescent="0.25">
      <c r="B272" s="165" t="s">
        <v>472</v>
      </c>
      <c r="C272" s="13" t="s">
        <v>10</v>
      </c>
      <c r="D272" s="19" t="s">
        <v>83</v>
      </c>
      <c r="E272" s="13" t="s">
        <v>41</v>
      </c>
      <c r="F272" s="3" t="s">
        <v>43</v>
      </c>
      <c r="H272" s="13" t="s">
        <v>40</v>
      </c>
      <c r="I272" s="13" t="s">
        <v>10</v>
      </c>
      <c r="J272" s="19" t="s">
        <v>83</v>
      </c>
      <c r="K272" s="13" t="s">
        <v>41</v>
      </c>
      <c r="L272" s="3" t="s">
        <v>43</v>
      </c>
    </row>
    <row r="273" spans="1:13" ht="18" x14ac:dyDescent="0.25">
      <c r="B273" s="13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32</v>
      </c>
      <c r="G273" s="3">
        <v>1</v>
      </c>
      <c r="H273" s="227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34</v>
      </c>
      <c r="M273" s="3">
        <v>1</v>
      </c>
    </row>
    <row r="274" spans="1:13" ht="18" x14ac:dyDescent="0.25">
      <c r="B274" s="223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33</v>
      </c>
      <c r="G274" s="3">
        <f>E274/E273</f>
        <v>2</v>
      </c>
      <c r="H274" s="13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35</v>
      </c>
      <c r="M274" s="3">
        <v>2</v>
      </c>
    </row>
    <row r="275" spans="1:13" ht="18" x14ac:dyDescent="0.25">
      <c r="B275" s="20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203</v>
      </c>
      <c r="G275" s="3">
        <v>3.76</v>
      </c>
      <c r="H275" s="20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36</v>
      </c>
      <c r="M275" s="3">
        <f>G275*G274</f>
        <v>7.52</v>
      </c>
    </row>
    <row r="276" spans="1:13" x14ac:dyDescent="0.2">
      <c r="B276" s="3" t="s">
        <v>18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31" t="s">
        <v>316</v>
      </c>
      <c r="F278" s="3" t="s">
        <v>373</v>
      </c>
      <c r="G278" s="3" t="s">
        <v>549</v>
      </c>
      <c r="H278" s="3" t="s">
        <v>549</v>
      </c>
    </row>
    <row r="279" spans="1:13" ht="18" x14ac:dyDescent="0.25">
      <c r="C279" s="13" t="s">
        <v>10</v>
      </c>
      <c r="D279" s="19" t="s">
        <v>83</v>
      </c>
      <c r="E279" s="13" t="s">
        <v>97</v>
      </c>
      <c r="F279" s="13" t="s">
        <v>338</v>
      </c>
      <c r="G279" s="13" t="s">
        <v>338</v>
      </c>
      <c r="H279" s="13" t="s">
        <v>57</v>
      </c>
    </row>
    <row r="280" spans="1:13" x14ac:dyDescent="0.2">
      <c r="B280" s="13" t="s">
        <v>181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13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371" t="s">
        <v>681</v>
      </c>
      <c r="B283" s="13" t="s">
        <v>547</v>
      </c>
      <c r="C283" s="3">
        <f>C280/C281</f>
        <v>0.33567230039130802</v>
      </c>
    </row>
    <row r="284" spans="1:13" x14ac:dyDescent="0.2">
      <c r="A284" s="371"/>
      <c r="B284" s="31" t="s">
        <v>548</v>
      </c>
      <c r="C284" s="3">
        <f>(1-C283)</f>
        <v>0.66432769960869198</v>
      </c>
    </row>
    <row r="285" spans="1:13" x14ac:dyDescent="0.2">
      <c r="A285" s="362"/>
      <c r="B285" s="17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DT132" zoomScale="163" zoomScaleNormal="120" workbookViewId="0">
      <selection activeCell="EJ161" sqref="EJ16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3" spans="14:66" ht="15" customHeight="1" x14ac:dyDescent="0.2">
      <c r="P23" s="424" t="s">
        <v>352</v>
      </c>
      <c r="Q23" s="424"/>
      <c r="AQ23" s="16" t="s">
        <v>190</v>
      </c>
      <c r="AR23" s="3" t="s">
        <v>192</v>
      </c>
      <c r="AS23" s="3" t="s">
        <v>191</v>
      </c>
      <c r="BJ23" s="16" t="s">
        <v>188</v>
      </c>
      <c r="BK23" s="3" t="s">
        <v>296</v>
      </c>
      <c r="BL23" s="3" t="s">
        <v>297</v>
      </c>
    </row>
    <row r="24" spans="14:66" ht="16" customHeight="1" thickBot="1" x14ac:dyDescent="0.25">
      <c r="P24" s="425"/>
      <c r="Q24" s="425"/>
    </row>
    <row r="25" spans="14:66" ht="16" x14ac:dyDescent="0.2">
      <c r="P25" s="402" t="s">
        <v>336</v>
      </c>
      <c r="Q25" s="137" t="s">
        <v>311</v>
      </c>
      <c r="AO25" s="412" t="s">
        <v>413</v>
      </c>
      <c r="AP25" s="412"/>
      <c r="AQ25" s="412"/>
      <c r="AR25" s="412"/>
      <c r="AS25" s="412"/>
      <c r="AT25" s="412"/>
      <c r="AU25" s="412"/>
      <c r="BH25" s="412" t="s">
        <v>417</v>
      </c>
      <c r="BI25" s="412"/>
      <c r="BJ25" s="412"/>
      <c r="BK25" s="412"/>
      <c r="BL25" s="412"/>
      <c r="BM25" s="412"/>
      <c r="BN25" s="412"/>
    </row>
    <row r="26" spans="14:66" x14ac:dyDescent="0.2">
      <c r="P26" s="403"/>
      <c r="Q26" s="135" t="s">
        <v>47</v>
      </c>
      <c r="AO26" s="13" t="s">
        <v>285</v>
      </c>
      <c r="AP26" s="13" t="s">
        <v>263</v>
      </c>
      <c r="AQ26" s="13" t="s">
        <v>232</v>
      </c>
      <c r="AR26" s="13" t="s">
        <v>35</v>
      </c>
      <c r="AS26" s="13" t="s">
        <v>232</v>
      </c>
      <c r="AT26" s="104" t="s">
        <v>316</v>
      </c>
      <c r="AU26" s="13" t="s">
        <v>310</v>
      </c>
      <c r="BH26" s="13" t="s">
        <v>261</v>
      </c>
      <c r="BI26" s="13" t="s">
        <v>263</v>
      </c>
      <c r="BJ26" s="13" t="s">
        <v>232</v>
      </c>
      <c r="BK26" s="13" t="s">
        <v>232</v>
      </c>
      <c r="BL26" s="13" t="s">
        <v>232</v>
      </c>
      <c r="BM26" s="104" t="s">
        <v>316</v>
      </c>
      <c r="BN26" s="13" t="s">
        <v>310</v>
      </c>
    </row>
    <row r="27" spans="14:66" ht="17" x14ac:dyDescent="0.25">
      <c r="P27" s="138" t="s">
        <v>333</v>
      </c>
      <c r="Q27" s="135">
        <f>(($AG$46*($AN$46-0))/$H$72)</f>
        <v>0.7073466118498688</v>
      </c>
      <c r="AO27" s="13" t="s">
        <v>97</v>
      </c>
      <c r="AP27" s="13" t="s">
        <v>97</v>
      </c>
      <c r="AQ27" s="13" t="s">
        <v>234</v>
      </c>
      <c r="AR27" s="13" t="s">
        <v>233</v>
      </c>
      <c r="AS27" s="13" t="s">
        <v>47</v>
      </c>
      <c r="AT27" s="34" t="s">
        <v>97</v>
      </c>
      <c r="AU27" s="13" t="s">
        <v>47</v>
      </c>
      <c r="BH27" s="13" t="s">
        <v>97</v>
      </c>
      <c r="BI27" s="13" t="s">
        <v>97</v>
      </c>
      <c r="BJ27" s="13" t="s">
        <v>228</v>
      </c>
      <c r="BK27" s="13" t="s">
        <v>231</v>
      </c>
      <c r="BL27" s="13" t="s">
        <v>47</v>
      </c>
      <c r="BM27" s="34" t="s">
        <v>97</v>
      </c>
      <c r="BN27" s="13" t="s">
        <v>47</v>
      </c>
    </row>
    <row r="28" spans="14:66" x14ac:dyDescent="0.2">
      <c r="N28" s="4"/>
      <c r="O28" s="4"/>
      <c r="P28" s="138" t="s">
        <v>556</v>
      </c>
      <c r="Q28" s="135">
        <f>V42/V59</f>
        <v>1.1491154339468286</v>
      </c>
      <c r="AO28" s="13" t="s">
        <v>262</v>
      </c>
      <c r="AP28" s="13" t="s">
        <v>289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262</v>
      </c>
      <c r="BI28" s="13" t="s">
        <v>290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39" t="s">
        <v>335</v>
      </c>
      <c r="Q29" s="136">
        <f>V46/V59</f>
        <v>0.97030529353160899</v>
      </c>
      <c r="BH29" s="13" t="s">
        <v>262</v>
      </c>
      <c r="BI29" s="13" t="s">
        <v>291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262</v>
      </c>
      <c r="BI30" s="13" t="s">
        <v>292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262</v>
      </c>
      <c r="BI31" s="13" t="s">
        <v>246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262</v>
      </c>
      <c r="BI32" s="13" t="s">
        <v>293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262</v>
      </c>
      <c r="BI33" s="13" t="s">
        <v>294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262</v>
      </c>
      <c r="BI34" s="13" t="s">
        <v>295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18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57"/>
      <c r="R41" s="257"/>
      <c r="S41" s="4"/>
      <c r="T41" s="4"/>
      <c r="U41" s="65" t="s">
        <v>88</v>
      </c>
      <c r="V41" s="64" t="s">
        <v>92</v>
      </c>
      <c r="W41" s="4"/>
      <c r="X41" s="4"/>
      <c r="Y41" s="4" t="s">
        <v>174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88</v>
      </c>
      <c r="AO41" s="64" t="s">
        <v>92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88</v>
      </c>
      <c r="BH41" s="64" t="s">
        <v>92</v>
      </c>
      <c r="BI41" s="4"/>
      <c r="BZ41" s="65" t="s">
        <v>88</v>
      </c>
      <c r="CA41" s="64" t="s">
        <v>92</v>
      </c>
    </row>
    <row r="42" spans="5:80" ht="16" customHeight="1" thickBot="1" x14ac:dyDescent="0.25">
      <c r="E42" s="419" t="s">
        <v>399</v>
      </c>
      <c r="F42" s="419"/>
      <c r="G42" s="419"/>
      <c r="H42" s="419"/>
      <c r="J42" s="4"/>
      <c r="K42" s="4"/>
      <c r="L42" s="4"/>
      <c r="M42" s="4"/>
      <c r="N42" s="4"/>
      <c r="O42" s="4"/>
      <c r="P42" s="257"/>
      <c r="Q42" s="257" t="s">
        <v>400</v>
      </c>
      <c r="R42" s="257"/>
      <c r="S42" s="4"/>
      <c r="T42" s="4"/>
      <c r="U42" s="50">
        <f>K52</f>
        <v>1011.7674660019052</v>
      </c>
      <c r="V42" s="48">
        <f>V52</f>
        <v>108184.8596728804</v>
      </c>
      <c r="W42" s="429" t="s">
        <v>392</v>
      </c>
      <c r="X42" s="429"/>
      <c r="Y42" s="429"/>
      <c r="Z42" s="429"/>
      <c r="AA42" s="429"/>
      <c r="AB42" s="4"/>
      <c r="AC42" s="4"/>
      <c r="AD42" s="4"/>
      <c r="AE42" s="4"/>
      <c r="AF42" s="4"/>
      <c r="AG42" s="4"/>
      <c r="AH42" s="4"/>
      <c r="AI42" s="96"/>
      <c r="AJ42" s="4" t="s">
        <v>509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429" t="s">
        <v>522</v>
      </c>
      <c r="AQ42" s="429"/>
      <c r="AR42" s="429"/>
      <c r="AS42" s="429"/>
      <c r="AT42" s="429"/>
      <c r="AV42" s="4"/>
      <c r="AW42" s="4"/>
      <c r="AX42" s="4"/>
      <c r="AY42" s="4"/>
      <c r="AZ42" s="4"/>
      <c r="BA42" s="4"/>
      <c r="BB42" s="4"/>
      <c r="BC42" s="4" t="s">
        <v>508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429" t="s">
        <v>418</v>
      </c>
      <c r="BJ42" s="429"/>
      <c r="BK42" s="429"/>
      <c r="BL42" s="429"/>
      <c r="BM42" s="429"/>
      <c r="BV42" s="3" t="s">
        <v>506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419"/>
      <c r="F43" s="419"/>
      <c r="G43" s="419"/>
      <c r="H43" s="419"/>
      <c r="J43" s="4"/>
      <c r="K43" s="4"/>
      <c r="L43" s="4"/>
      <c r="M43" s="4"/>
      <c r="N43" s="4"/>
      <c r="O43" s="4"/>
      <c r="P43" s="4"/>
      <c r="Q43" s="4"/>
      <c r="R43" s="4"/>
      <c r="S43" s="4"/>
      <c r="W43" s="436"/>
      <c r="X43" s="436"/>
      <c r="Y43" s="436"/>
      <c r="Z43" s="436"/>
      <c r="AA43" s="43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29"/>
      <c r="AQ43" s="429"/>
      <c r="AR43" s="429"/>
      <c r="AS43" s="429"/>
      <c r="AT43" s="429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29"/>
      <c r="BJ43" s="429"/>
      <c r="BK43" s="429"/>
      <c r="BL43" s="429"/>
      <c r="BM43" s="429"/>
    </row>
    <row r="44" spans="5:80" ht="19.25" customHeight="1" x14ac:dyDescent="0.25">
      <c r="J44" s="4"/>
      <c r="K44" s="1" t="s">
        <v>516</v>
      </c>
      <c r="L44" s="1" t="s">
        <v>517</v>
      </c>
      <c r="M44" s="1" t="s">
        <v>646</v>
      </c>
      <c r="N44" s="1" t="s">
        <v>84</v>
      </c>
      <c r="O44" s="1" t="s">
        <v>576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518</v>
      </c>
      <c r="V44" s="1" t="s">
        <v>49</v>
      </c>
      <c r="W44" s="22" t="s">
        <v>406</v>
      </c>
      <c r="X44" s="99" t="s">
        <v>446</v>
      </c>
      <c r="Y44" s="185" t="s">
        <v>331</v>
      </c>
      <c r="Z44" s="433" t="s">
        <v>336</v>
      </c>
      <c r="AA44" s="137" t="s">
        <v>311</v>
      </c>
      <c r="AB44" s="4"/>
      <c r="AC44" s="4"/>
      <c r="AD44" s="1" t="s">
        <v>516</v>
      </c>
      <c r="AE44" s="1" t="s">
        <v>517</v>
      </c>
      <c r="AF44" s="1" t="s">
        <v>646</v>
      </c>
      <c r="AG44" s="1" t="s">
        <v>84</v>
      </c>
      <c r="AH44" s="1" t="s">
        <v>576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518</v>
      </c>
      <c r="AO44" s="1" t="s">
        <v>49</v>
      </c>
      <c r="AP44" s="22" t="s">
        <v>406</v>
      </c>
      <c r="AQ44" s="22" t="s">
        <v>446</v>
      </c>
      <c r="AR44" s="158" t="s">
        <v>331</v>
      </c>
      <c r="AS44" s="402" t="s">
        <v>336</v>
      </c>
      <c r="AT44" s="137" t="s">
        <v>311</v>
      </c>
      <c r="AU44" s="4"/>
      <c r="AV44" s="4"/>
      <c r="AW44" s="1" t="s">
        <v>516</v>
      </c>
      <c r="AX44" s="1" t="s">
        <v>517</v>
      </c>
      <c r="AY44" s="1" t="s">
        <v>646</v>
      </c>
      <c r="AZ44" s="1" t="s">
        <v>84</v>
      </c>
      <c r="BA44" s="1" t="s">
        <v>576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518</v>
      </c>
      <c r="BH44" s="1" t="s">
        <v>49</v>
      </c>
      <c r="BI44" s="22" t="s">
        <v>406</v>
      </c>
      <c r="BJ44" s="22" t="s">
        <v>446</v>
      </c>
      <c r="BK44" s="185" t="s">
        <v>331</v>
      </c>
      <c r="BL44" s="402" t="s">
        <v>336</v>
      </c>
      <c r="BM44" s="137" t="s">
        <v>311</v>
      </c>
      <c r="BN44" s="1"/>
      <c r="BO44" s="4"/>
      <c r="BP44" s="1" t="s">
        <v>516</v>
      </c>
      <c r="BQ44" s="1" t="s">
        <v>517</v>
      </c>
      <c r="BR44" s="1" t="s">
        <v>646</v>
      </c>
      <c r="BS44" s="1" t="s">
        <v>84</v>
      </c>
      <c r="BT44" s="1" t="s">
        <v>576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518</v>
      </c>
      <c r="CA44" s="1" t="s">
        <v>49</v>
      </c>
      <c r="CB44" s="1"/>
    </row>
    <row r="45" spans="5:80" ht="18" x14ac:dyDescent="0.25">
      <c r="J45" s="4"/>
      <c r="K45" s="1" t="s">
        <v>87</v>
      </c>
      <c r="L45" s="4" t="s">
        <v>279</v>
      </c>
      <c r="M45" s="1" t="s">
        <v>89</v>
      </c>
      <c r="N45" s="1" t="s">
        <v>85</v>
      </c>
      <c r="O45" s="1" t="s">
        <v>94</v>
      </c>
      <c r="P45" s="1" t="s">
        <v>94</v>
      </c>
      <c r="Q45" s="1" t="s">
        <v>24</v>
      </c>
      <c r="R45" s="1" t="s">
        <v>97</v>
      </c>
      <c r="S45" s="1" t="s">
        <v>94</v>
      </c>
      <c r="T45" s="1" t="s">
        <v>94</v>
      </c>
      <c r="U45" s="1" t="s">
        <v>93</v>
      </c>
      <c r="V45" s="1" t="s">
        <v>91</v>
      </c>
      <c r="W45" s="204" t="s">
        <v>47</v>
      </c>
      <c r="X45" s="74" t="s">
        <v>47</v>
      </c>
      <c r="Y45" s="186" t="s">
        <v>88</v>
      </c>
      <c r="Z45" s="434"/>
      <c r="AA45" s="135" t="s">
        <v>81</v>
      </c>
      <c r="AB45" s="4"/>
      <c r="AC45" s="4"/>
      <c r="AD45" s="1" t="s">
        <v>87</v>
      </c>
      <c r="AE45" s="4" t="s">
        <v>279</v>
      </c>
      <c r="AF45" s="1" t="s">
        <v>89</v>
      </c>
      <c r="AG45" s="1" t="s">
        <v>85</v>
      </c>
      <c r="AH45" s="1" t="s">
        <v>94</v>
      </c>
      <c r="AI45" s="1" t="s">
        <v>94</v>
      </c>
      <c r="AJ45" s="1" t="s">
        <v>24</v>
      </c>
      <c r="AK45" s="1" t="s">
        <v>97</v>
      </c>
      <c r="AL45" s="1" t="s">
        <v>94</v>
      </c>
      <c r="AM45" s="1" t="s">
        <v>94</v>
      </c>
      <c r="AN45" s="1" t="s">
        <v>93</v>
      </c>
      <c r="AO45" s="1" t="s">
        <v>91</v>
      </c>
      <c r="AP45" s="204" t="s">
        <v>47</v>
      </c>
      <c r="AQ45" s="9" t="s">
        <v>47</v>
      </c>
      <c r="AR45" s="1" t="s">
        <v>88</v>
      </c>
      <c r="AS45" s="403"/>
      <c r="AT45" s="135" t="s">
        <v>81</v>
      </c>
      <c r="AU45" s="4"/>
      <c r="AV45" s="4"/>
      <c r="AW45" s="1" t="s">
        <v>87</v>
      </c>
      <c r="AX45" s="4" t="s">
        <v>279</v>
      </c>
      <c r="AY45" s="1" t="s">
        <v>89</v>
      </c>
      <c r="AZ45" s="1" t="s">
        <v>85</v>
      </c>
      <c r="BA45" s="1" t="s">
        <v>94</v>
      </c>
      <c r="BB45" s="1" t="s">
        <v>94</v>
      </c>
      <c r="BC45" s="1" t="s">
        <v>24</v>
      </c>
      <c r="BD45" s="1" t="s">
        <v>97</v>
      </c>
      <c r="BE45" s="1" t="s">
        <v>94</v>
      </c>
      <c r="BF45" s="1" t="s">
        <v>94</v>
      </c>
      <c r="BG45" s="1" t="s">
        <v>93</v>
      </c>
      <c r="BH45" s="1" t="s">
        <v>91</v>
      </c>
      <c r="BI45" s="204" t="s">
        <v>47</v>
      </c>
      <c r="BJ45" s="9" t="s">
        <v>47</v>
      </c>
      <c r="BK45" s="9" t="s">
        <v>88</v>
      </c>
      <c r="BL45" s="403"/>
      <c r="BM45" s="135" t="s">
        <v>81</v>
      </c>
      <c r="BN45" s="4"/>
      <c r="BO45" s="4" t="s">
        <v>40</v>
      </c>
      <c r="BP45" s="1" t="s">
        <v>87</v>
      </c>
      <c r="BQ45" s="4" t="s">
        <v>279</v>
      </c>
      <c r="BR45" s="2" t="s">
        <v>89</v>
      </c>
      <c r="BS45" s="2" t="s">
        <v>85</v>
      </c>
      <c r="BT45" s="1" t="s">
        <v>94</v>
      </c>
      <c r="BU45" s="2" t="s">
        <v>94</v>
      </c>
      <c r="BV45" s="2" t="s">
        <v>24</v>
      </c>
      <c r="BW45" s="2" t="s">
        <v>97</v>
      </c>
      <c r="BX45" s="2" t="s">
        <v>94</v>
      </c>
      <c r="BY45" s="2" t="s">
        <v>94</v>
      </c>
      <c r="BZ45" s="2" t="s">
        <v>93</v>
      </c>
      <c r="CA45" s="2" t="s">
        <v>91</v>
      </c>
      <c r="CB45" s="1"/>
    </row>
    <row r="46" spans="5:80" ht="19" customHeight="1" thickBot="1" x14ac:dyDescent="0.3">
      <c r="I46" s="400" t="s">
        <v>400</v>
      </c>
      <c r="J46" s="8" t="s">
        <v>14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3">
        <f>AO63</f>
        <v>2244.7960862667505</v>
      </c>
      <c r="X46" s="100">
        <f>SUM(V42,V59,V72) -AO63-AO42</f>
        <v>92026.437429115918</v>
      </c>
      <c r="Y46" s="187">
        <f>ROUND(U42+U59+U72-AN42-AN63, 10)</f>
        <v>0</v>
      </c>
      <c r="Z46" s="184" t="s">
        <v>333</v>
      </c>
      <c r="AA46" s="135">
        <f>(($AG$46*($AN$46-$U$46))/V59)</f>
        <v>0</v>
      </c>
      <c r="AB46" s="400" t="s">
        <v>509</v>
      </c>
      <c r="AC46" s="8" t="s">
        <v>14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3">
        <f>0</f>
        <v>0</v>
      </c>
      <c r="AQ46" s="98">
        <f>(AO42+AU28)-BH42</f>
        <v>609792.2517593482</v>
      </c>
      <c r="AR46" s="140">
        <f>BG42-AN42</f>
        <v>0</v>
      </c>
      <c r="AS46" s="138" t="s">
        <v>333</v>
      </c>
      <c r="AT46" s="135">
        <f>((AZ46*(BG46-AN46))/AU28)</f>
        <v>0</v>
      </c>
      <c r="AU46" s="400" t="s">
        <v>508</v>
      </c>
      <c r="AV46" s="8" t="s">
        <v>14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3">
        <f>CA55</f>
        <v>21722.892325740406</v>
      </c>
      <c r="BJ46" s="103">
        <f>BH42+BN35-CA42-CA55</f>
        <v>11016.359928324211</v>
      </c>
      <c r="BK46" s="187">
        <f>BZ42+BZ55-BG42</f>
        <v>0</v>
      </c>
      <c r="BL46" s="138" t="s">
        <v>333</v>
      </c>
      <c r="BM46" s="135">
        <f>((BS46*(BZ46-BG46))/BN35)</f>
        <v>0.10280653813967069</v>
      </c>
      <c r="BN46" s="400" t="s">
        <v>506</v>
      </c>
      <c r="BO46" s="1" t="s">
        <v>14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400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8" t="s">
        <v>556</v>
      </c>
      <c r="AA47" s="135">
        <f>($AO$42+AO63)/(V59+V72+$V$42)</f>
        <v>0.54544989987759507</v>
      </c>
      <c r="AB47" s="400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8" t="s">
        <v>556</v>
      </c>
      <c r="AT47" s="135">
        <f>BH42/(AU28+AO42)</f>
        <v>0.15068009543796188</v>
      </c>
      <c r="AU47" s="400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8" t="s">
        <v>556</v>
      </c>
      <c r="BM47" s="135">
        <f>(CA42+CA55)/(BN35+BH42)</f>
        <v>0.90881323958376325</v>
      </c>
      <c r="BN47" s="400"/>
      <c r="BO47" s="1" t="s">
        <v>16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400" t="s">
        <v>511</v>
      </c>
      <c r="J48" s="4" t="s">
        <v>309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39" t="s">
        <v>385</v>
      </c>
      <c r="AA48" s="136">
        <f>$AO$46/(V59+V72+$V$42)</f>
        <v>0.45121172554462574</v>
      </c>
      <c r="AB48" s="400" t="s">
        <v>510</v>
      </c>
      <c r="AC48" s="4" t="s">
        <v>309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39" t="s">
        <v>385</v>
      </c>
      <c r="AT48" s="136">
        <f>BH46/(AU28+AO42)</f>
        <v>0.12723325256465715</v>
      </c>
      <c r="AU48" s="400" t="s">
        <v>507</v>
      </c>
      <c r="AV48" s="4" t="s">
        <v>309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39" t="s">
        <v>385</v>
      </c>
      <c r="BM48" s="136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400"/>
      <c r="J49" s="4" t="s">
        <v>303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400"/>
      <c r="AC49" s="4" t="s">
        <v>303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400"/>
      <c r="AV49" s="4" t="s">
        <v>303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88</v>
      </c>
      <c r="BR49" s="3" t="s">
        <v>90</v>
      </c>
      <c r="BS49" s="3" t="s">
        <v>86</v>
      </c>
      <c r="BT49" s="1" t="s">
        <v>577</v>
      </c>
      <c r="BU49" s="4"/>
      <c r="BV49" s="4"/>
      <c r="BZ49" s="3" t="s">
        <v>95</v>
      </c>
      <c r="CA49" s="1" t="s">
        <v>92</v>
      </c>
    </row>
    <row r="50" spans="2:86" x14ac:dyDescent="0.2">
      <c r="I50" s="400"/>
      <c r="J50" s="4" t="s">
        <v>180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400"/>
      <c r="AC50" s="4" t="s">
        <v>180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400"/>
      <c r="AV50" s="4" t="s">
        <v>180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400"/>
      <c r="J51" s="4" t="s">
        <v>179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400"/>
      <c r="AC51" s="4" t="s">
        <v>179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400"/>
      <c r="AV51" s="4" t="s">
        <v>179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18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1" t="s">
        <v>542</v>
      </c>
      <c r="AB52" s="4"/>
      <c r="AC52" s="62" t="s">
        <v>18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1" t="s">
        <v>542</v>
      </c>
      <c r="AU52" s="4"/>
      <c r="AV52" s="62" t="s">
        <v>18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1" t="s">
        <v>542</v>
      </c>
    </row>
    <row r="53" spans="2:86" ht="18" x14ac:dyDescent="0.25">
      <c r="J53" s="4"/>
      <c r="K53" s="1" t="s">
        <v>88</v>
      </c>
      <c r="L53" s="4"/>
      <c r="M53" s="3" t="s">
        <v>90</v>
      </c>
      <c r="N53" s="3" t="s">
        <v>86</v>
      </c>
      <c r="O53" s="1" t="s">
        <v>577</v>
      </c>
      <c r="P53" s="4"/>
      <c r="Q53" s="4"/>
      <c r="R53" s="4"/>
      <c r="S53" s="4"/>
      <c r="T53" s="4"/>
      <c r="U53" s="3" t="s">
        <v>95</v>
      </c>
      <c r="V53" s="1" t="s">
        <v>92</v>
      </c>
      <c r="X53" s="4"/>
      <c r="Y53" s="1" t="s">
        <v>544</v>
      </c>
      <c r="Z53" s="1" t="s">
        <v>544</v>
      </c>
      <c r="AA53" s="1" t="s">
        <v>544</v>
      </c>
      <c r="AB53" s="4"/>
      <c r="AC53" s="4"/>
      <c r="AD53" s="1" t="s">
        <v>88</v>
      </c>
      <c r="AE53" s="4"/>
      <c r="AF53" s="3" t="s">
        <v>90</v>
      </c>
      <c r="AG53" s="3" t="s">
        <v>86</v>
      </c>
      <c r="AH53" s="1" t="s">
        <v>577</v>
      </c>
      <c r="AI53" s="4"/>
      <c r="AJ53" s="4"/>
      <c r="AK53" s="4"/>
      <c r="AL53" s="4"/>
      <c r="AM53" s="4"/>
      <c r="AN53" s="3" t="s">
        <v>95</v>
      </c>
      <c r="AO53" s="1" t="s">
        <v>92</v>
      </c>
      <c r="AP53" s="4"/>
      <c r="AQ53" s="4"/>
      <c r="AR53" s="1" t="s">
        <v>544</v>
      </c>
      <c r="AS53" s="1" t="s">
        <v>544</v>
      </c>
      <c r="AT53" s="1" t="s">
        <v>544</v>
      </c>
      <c r="AU53" s="4"/>
      <c r="AV53" s="4"/>
      <c r="AW53" s="1" t="s">
        <v>88</v>
      </c>
      <c r="AX53" s="4"/>
      <c r="AY53" s="3" t="s">
        <v>90</v>
      </c>
      <c r="AZ53" s="3" t="s">
        <v>86</v>
      </c>
      <c r="BA53" s="1" t="s">
        <v>577</v>
      </c>
      <c r="BB53" s="4"/>
      <c r="BC53" s="4"/>
      <c r="BD53" s="4"/>
      <c r="BE53" s="4"/>
      <c r="BF53" s="4"/>
      <c r="BG53" s="3" t="s">
        <v>95</v>
      </c>
      <c r="BH53" s="1" t="s">
        <v>92</v>
      </c>
      <c r="BI53" s="4"/>
      <c r="BJ53" s="1" t="s">
        <v>544</v>
      </c>
      <c r="BK53" s="1" t="s">
        <v>544</v>
      </c>
      <c r="BL53" s="1" t="s">
        <v>544</v>
      </c>
      <c r="BZ53" s="63" t="s">
        <v>1</v>
      </c>
      <c r="CA53" s="58" t="s">
        <v>0</v>
      </c>
    </row>
    <row r="54" spans="2:86" ht="18" x14ac:dyDescent="0.25">
      <c r="T54" s="4"/>
      <c r="X54" s="4" t="s">
        <v>59</v>
      </c>
      <c r="Y54" s="3" t="s">
        <v>543</v>
      </c>
      <c r="Z54" s="3" t="s">
        <v>543</v>
      </c>
      <c r="AA54" s="3" t="s">
        <v>543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543</v>
      </c>
      <c r="AS54" s="3" t="s">
        <v>543</v>
      </c>
      <c r="AT54" s="3" t="s">
        <v>543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543</v>
      </c>
      <c r="BK54" s="3" t="s">
        <v>543</v>
      </c>
      <c r="BL54" s="3" t="s">
        <v>543</v>
      </c>
      <c r="BZ54" s="65" t="s">
        <v>88</v>
      </c>
      <c r="CA54" s="64" t="s">
        <v>92</v>
      </c>
    </row>
    <row r="55" spans="2:86" ht="17" thickBot="1" x14ac:dyDescent="0.25">
      <c r="T55" s="4"/>
      <c r="X55" s="3" t="s">
        <v>15</v>
      </c>
      <c r="Y55" s="82">
        <f>2*N46</f>
        <v>11034.753976812313</v>
      </c>
      <c r="Z55" s="82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82">
        <f>2*AG46</f>
        <v>11034.753976812313</v>
      </c>
      <c r="AS55" s="82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82">
        <f>2*AZ46</f>
        <v>11034.753976812313</v>
      </c>
      <c r="BK55" s="82">
        <f>2*BS46</f>
        <v>11034.753976812313</v>
      </c>
      <c r="BL55" s="3">
        <f>BJ55-BK55</f>
        <v>0</v>
      </c>
      <c r="BV55" s="3" t="s">
        <v>505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29</v>
      </c>
      <c r="Y56" s="272">
        <f>N47</f>
        <v>1979.5520626852608</v>
      </c>
      <c r="Z56" s="27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72">
        <f>AG47</f>
        <v>1979.5520626852608</v>
      </c>
      <c r="AS56" s="27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82">
        <f>AZ47</f>
        <v>1979.5520626852608</v>
      </c>
      <c r="BK56" s="82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312</v>
      </c>
      <c r="Y57" s="272">
        <f>2*N48</f>
        <v>26.539522960691897</v>
      </c>
      <c r="Z57" s="27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312</v>
      </c>
      <c r="AR57" s="272">
        <f>2*AG48</f>
        <v>26.539522960691897</v>
      </c>
      <c r="AS57" s="27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312</v>
      </c>
      <c r="BJ57" s="82">
        <f>2*AZ48</f>
        <v>26.539522960691897</v>
      </c>
      <c r="BK57" s="82">
        <f>2*BS59</f>
        <v>26.539522960691897</v>
      </c>
      <c r="BL57" s="3">
        <f t="shared" si="30"/>
        <v>0</v>
      </c>
      <c r="BO57" s="4"/>
      <c r="BP57" s="1" t="s">
        <v>516</v>
      </c>
      <c r="BQ57" s="1" t="s">
        <v>517</v>
      </c>
      <c r="BR57" s="1" t="s">
        <v>646</v>
      </c>
      <c r="BS57" s="1" t="s">
        <v>84</v>
      </c>
      <c r="BT57" s="1" t="s">
        <v>576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518</v>
      </c>
      <c r="CA57" s="1" t="s">
        <v>49</v>
      </c>
      <c r="CG57" s="131"/>
      <c r="CH57" s="131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88</v>
      </c>
      <c r="V58" s="64" t="s">
        <v>92</v>
      </c>
      <c r="X58" s="4" t="s">
        <v>305</v>
      </c>
      <c r="Y58" s="272">
        <f>2*N49</f>
        <v>196.14637665136635</v>
      </c>
      <c r="Z58" s="27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305</v>
      </c>
      <c r="AR58" s="272">
        <f>2*AG49</f>
        <v>196.14637665136635</v>
      </c>
      <c r="AS58" s="27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305</v>
      </c>
      <c r="BJ58" s="82">
        <f>2*AZ49</f>
        <v>196.14637665136635</v>
      </c>
      <c r="BK58" s="82">
        <f>2*BS60</f>
        <v>196.14637665136635</v>
      </c>
      <c r="BL58" s="3">
        <f t="shared" si="30"/>
        <v>0</v>
      </c>
      <c r="BN58" s="237"/>
      <c r="BO58" s="4" t="s">
        <v>40</v>
      </c>
      <c r="BP58" s="1" t="s">
        <v>87</v>
      </c>
      <c r="BQ58" s="4" t="s">
        <v>279</v>
      </c>
      <c r="BR58" s="2" t="s">
        <v>89</v>
      </c>
      <c r="BS58" s="2" t="s">
        <v>85</v>
      </c>
      <c r="BT58" s="1" t="s">
        <v>94</v>
      </c>
      <c r="BU58" s="2" t="s">
        <v>94</v>
      </c>
      <c r="BV58" s="2" t="s">
        <v>24</v>
      </c>
      <c r="BW58" s="2" t="s">
        <v>97</v>
      </c>
      <c r="BX58" s="2" t="s">
        <v>94</v>
      </c>
      <c r="BY58" s="2" t="s">
        <v>94</v>
      </c>
      <c r="BZ58" s="2" t="s">
        <v>93</v>
      </c>
      <c r="CA58" s="2" t="s">
        <v>91</v>
      </c>
    </row>
    <row r="59" spans="2:86" ht="24" customHeight="1" thickBot="1" x14ac:dyDescent="0.3">
      <c r="D59" s="16" t="s">
        <v>188</v>
      </c>
      <c r="E59" s="3" t="s">
        <v>186</v>
      </c>
      <c r="F59" s="3" t="s">
        <v>193</v>
      </c>
      <c r="G59" s="3" t="s">
        <v>187</v>
      </c>
      <c r="J59" s="4"/>
      <c r="K59" s="4"/>
      <c r="L59" s="4"/>
      <c r="M59" s="4"/>
      <c r="N59" s="4"/>
      <c r="O59" s="4"/>
      <c r="P59" s="4"/>
      <c r="Q59" s="269" t="s">
        <v>533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180</v>
      </c>
      <c r="Y59" s="272">
        <f>N50</f>
        <v>12.394871839617645</v>
      </c>
      <c r="Z59" s="27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180</v>
      </c>
      <c r="AR59" s="272">
        <f>AG50</f>
        <v>12.394871839617645</v>
      </c>
      <c r="AS59" s="27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180</v>
      </c>
      <c r="BJ59" s="272">
        <f>AZ50</f>
        <v>12.394871839617645</v>
      </c>
      <c r="BK59" s="82">
        <f>BS61</f>
        <v>12.394871839617645</v>
      </c>
      <c r="BL59" s="3">
        <f t="shared" si="30"/>
        <v>0</v>
      </c>
      <c r="BM59" s="4"/>
      <c r="BN59" s="400" t="s">
        <v>505</v>
      </c>
      <c r="BO59" s="62" t="s">
        <v>309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313</v>
      </c>
      <c r="F60" s="3" t="s">
        <v>314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179</v>
      </c>
      <c r="Y60" s="272">
        <f>N51</f>
        <v>4.1765146853454036</v>
      </c>
      <c r="Z60" s="27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179</v>
      </c>
      <c r="AR60" s="272">
        <f>AG51</f>
        <v>4.1765146853454036</v>
      </c>
      <c r="AS60" s="27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179</v>
      </c>
      <c r="BJ60" s="272">
        <f>AZ51</f>
        <v>4.1765146853454036</v>
      </c>
      <c r="BK60" s="272">
        <f>BS62</f>
        <v>4.1765146853454036</v>
      </c>
      <c r="BL60" s="3">
        <f t="shared" si="30"/>
        <v>0</v>
      </c>
      <c r="BM60" s="4"/>
      <c r="BN60" s="400"/>
      <c r="BO60" s="4" t="s">
        <v>303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405" t="s">
        <v>453</v>
      </c>
      <c r="C61" s="405"/>
      <c r="D61" s="405"/>
      <c r="E61" s="405"/>
      <c r="F61" s="405"/>
      <c r="G61" s="405"/>
      <c r="H61" s="405"/>
      <c r="J61" s="4"/>
      <c r="K61" s="3" t="s">
        <v>521</v>
      </c>
      <c r="L61" s="1" t="s">
        <v>516</v>
      </c>
      <c r="M61" s="1" t="s">
        <v>646</v>
      </c>
      <c r="N61" s="1" t="s">
        <v>84</v>
      </c>
      <c r="O61" s="1" t="s">
        <v>576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518</v>
      </c>
      <c r="V61" s="1" t="s">
        <v>49</v>
      </c>
      <c r="X61" s="4" t="s">
        <v>17</v>
      </c>
      <c r="Y61" s="272">
        <f>12*N63</f>
        <v>148.42688499366969</v>
      </c>
      <c r="Z61" s="27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28</v>
      </c>
      <c r="AR61" s="272">
        <f>(3*AG46)+(2*AG47)+AG48+(3*AG49)</f>
        <v>20818.724417046393</v>
      </c>
      <c r="AS61" s="27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72">
        <f>(3*AZ46)+(2*AZ47)+AZ48+(3*AZ49)</f>
        <v>20818.724417046393</v>
      </c>
      <c r="BK61" s="272">
        <f>(3*BS46)+(2*BS47)+BS59+(3*BS60)</f>
        <v>20818.724417046393</v>
      </c>
      <c r="BL61" s="3">
        <f t="shared" si="30"/>
        <v>0</v>
      </c>
      <c r="BM61" s="4"/>
      <c r="BN61" s="400"/>
      <c r="BO61" s="4" t="s">
        <v>180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418"/>
      <c r="C62" s="418"/>
      <c r="D62" s="418"/>
      <c r="E62" s="418"/>
      <c r="F62" s="418"/>
      <c r="G62" s="418"/>
      <c r="H62" s="418"/>
      <c r="J62" s="4" t="s">
        <v>40</v>
      </c>
      <c r="K62" s="3" t="s">
        <v>520</v>
      </c>
      <c r="L62" s="1" t="s">
        <v>87</v>
      </c>
      <c r="M62" s="1" t="s">
        <v>89</v>
      </c>
      <c r="N62" s="1" t="s">
        <v>85</v>
      </c>
      <c r="O62" s="1" t="s">
        <v>94</v>
      </c>
      <c r="P62" s="1" t="s">
        <v>567</v>
      </c>
      <c r="Q62" s="1" t="s">
        <v>24</v>
      </c>
      <c r="R62" s="1" t="s">
        <v>97</v>
      </c>
      <c r="S62" s="1" t="s">
        <v>94</v>
      </c>
      <c r="T62" s="1" t="s">
        <v>94</v>
      </c>
      <c r="U62" s="1" t="s">
        <v>93</v>
      </c>
      <c r="V62" s="1" t="s">
        <v>91</v>
      </c>
      <c r="X62" s="4" t="s">
        <v>181</v>
      </c>
      <c r="Y62" s="272">
        <f>23*N63</f>
        <v>284.48486290453354</v>
      </c>
      <c r="Z62" s="272">
        <f>2*AG68</f>
        <v>284.48486290453354</v>
      </c>
      <c r="AA62" s="3">
        <f t="shared" si="28"/>
        <v>0</v>
      </c>
      <c r="AD62" s="4"/>
      <c r="AE62" s="4"/>
      <c r="AN62" s="65" t="s">
        <v>88</v>
      </c>
      <c r="AO62" s="64" t="s">
        <v>92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00"/>
      <c r="BO62" s="4" t="s">
        <v>179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261</v>
      </c>
      <c r="C63" s="13" t="s">
        <v>263</v>
      </c>
      <c r="D63" s="13" t="s">
        <v>232</v>
      </c>
      <c r="E63" s="13" t="s">
        <v>232</v>
      </c>
      <c r="F63" s="13" t="s">
        <v>232</v>
      </c>
      <c r="G63" s="104" t="s">
        <v>316</v>
      </c>
      <c r="H63" s="13" t="s">
        <v>310</v>
      </c>
      <c r="I63" s="268" t="s">
        <v>533</v>
      </c>
      <c r="J63" s="62" t="s">
        <v>456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28</v>
      </c>
      <c r="Y63" s="272">
        <f>(3*N46)+(2*N47)+N48+(3*N49)+(2*N76)</f>
        <v>21257.820618485999</v>
      </c>
      <c r="Z63" s="27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476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37"/>
      <c r="BO63" s="62" t="s">
        <v>18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97</v>
      </c>
      <c r="C64" s="13" t="s">
        <v>97</v>
      </c>
      <c r="D64" s="13" t="s">
        <v>228</v>
      </c>
      <c r="E64" s="13" t="s">
        <v>231</v>
      </c>
      <c r="F64" s="13" t="s">
        <v>47</v>
      </c>
      <c r="G64" s="34" t="s">
        <v>97</v>
      </c>
      <c r="H64" s="13" t="s">
        <v>47</v>
      </c>
      <c r="J64" s="17" t="s">
        <v>18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351</v>
      </c>
      <c r="Y64" s="272">
        <f>2*N77</f>
        <v>1651.0017174129191</v>
      </c>
      <c r="Z64" s="27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88</v>
      </c>
      <c r="BQ64" s="4"/>
      <c r="BR64" s="3" t="s">
        <v>90</v>
      </c>
      <c r="BS64" s="3" t="s">
        <v>86</v>
      </c>
      <c r="BT64" s="1" t="s">
        <v>577</v>
      </c>
      <c r="BU64" s="4"/>
      <c r="BV64" s="4"/>
      <c r="BW64" s="4"/>
      <c r="BX64" s="4"/>
      <c r="BY64" s="4"/>
      <c r="BZ64" s="3" t="s">
        <v>95</v>
      </c>
      <c r="CA64" s="1" t="s">
        <v>92</v>
      </c>
    </row>
    <row r="65" spans="2:78" ht="18" x14ac:dyDescent="0.25">
      <c r="B65" s="13" t="s">
        <v>275</v>
      </c>
      <c r="C65" s="61" t="s">
        <v>249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47</v>
      </c>
      <c r="L65" s="1" t="s">
        <v>88</v>
      </c>
      <c r="M65" s="3" t="s">
        <v>90</v>
      </c>
      <c r="N65" s="3" t="s">
        <v>86</v>
      </c>
      <c r="O65" s="1" t="s">
        <v>577</v>
      </c>
      <c r="P65" s="4"/>
      <c r="Q65" s="4"/>
      <c r="U65" s="3" t="s">
        <v>95</v>
      </c>
      <c r="V65" s="1" t="s">
        <v>92</v>
      </c>
      <c r="X65" s="4"/>
      <c r="Y65" s="4"/>
      <c r="Z65" s="4"/>
      <c r="AA65" s="4"/>
      <c r="AC65" s="1"/>
      <c r="AD65" s="1" t="s">
        <v>516</v>
      </c>
      <c r="AE65" s="1" t="s">
        <v>517</v>
      </c>
      <c r="AF65" s="1" t="s">
        <v>646</v>
      </c>
      <c r="AG65" s="1" t="s">
        <v>84</v>
      </c>
      <c r="AH65" s="1" t="s">
        <v>576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518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275</v>
      </c>
      <c r="C66" s="61" t="s">
        <v>269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5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279</v>
      </c>
      <c r="AF66" s="2" t="s">
        <v>11</v>
      </c>
      <c r="AG66" s="2" t="s">
        <v>12</v>
      </c>
      <c r="AH66" s="1" t="s">
        <v>94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275</v>
      </c>
      <c r="C67" s="61" t="s">
        <v>250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5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400" t="s">
        <v>476</v>
      </c>
      <c r="AC67" s="3" t="s">
        <v>22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275</v>
      </c>
      <c r="C68" s="61" t="s">
        <v>286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5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400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275</v>
      </c>
      <c r="C69" s="61" t="s">
        <v>287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5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400"/>
      <c r="AC69" s="7" t="s">
        <v>66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275</v>
      </c>
      <c r="C70" s="61" t="s">
        <v>288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5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400"/>
      <c r="AC70" s="17" t="s">
        <v>18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275</v>
      </c>
      <c r="C71" s="61" t="s">
        <v>273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5">
        <v>1.06</v>
      </c>
      <c r="H71" s="13">
        <f t="shared" si="38"/>
        <v>949.34855683260469</v>
      </c>
      <c r="U71" s="65" t="s">
        <v>88</v>
      </c>
      <c r="V71" s="64" t="s">
        <v>92</v>
      </c>
      <c r="X71" s="4"/>
      <c r="Y71" s="4"/>
      <c r="Z71" s="4"/>
      <c r="AA71" s="4"/>
      <c r="AD71" s="1" t="s">
        <v>88</v>
      </c>
      <c r="AE71" s="1"/>
      <c r="AF71" s="3" t="s">
        <v>90</v>
      </c>
      <c r="AG71" s="3" t="s">
        <v>86</v>
      </c>
      <c r="AH71" s="1" t="s">
        <v>577</v>
      </c>
      <c r="AI71" s="4"/>
      <c r="AJ71" s="4"/>
      <c r="AN71" s="3" t="s">
        <v>95</v>
      </c>
      <c r="AO71" s="1" t="s">
        <v>92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18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487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405" t="s">
        <v>481</v>
      </c>
      <c r="F74" s="405"/>
      <c r="G74" s="405"/>
      <c r="H74" s="405"/>
      <c r="K74" s="1" t="s">
        <v>516</v>
      </c>
      <c r="L74" s="1" t="s">
        <v>517</v>
      </c>
      <c r="M74" s="1" t="s">
        <v>646</v>
      </c>
      <c r="N74" s="1" t="s">
        <v>84</v>
      </c>
      <c r="O74" s="1" t="s">
        <v>576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518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405"/>
      <c r="F75" s="405"/>
      <c r="G75" s="405"/>
      <c r="H75" s="405"/>
      <c r="J75" s="93" t="s">
        <v>40</v>
      </c>
      <c r="K75" s="3" t="s">
        <v>10</v>
      </c>
      <c r="L75" s="3" t="s">
        <v>237</v>
      </c>
      <c r="M75" s="2" t="s">
        <v>89</v>
      </c>
      <c r="N75" s="2" t="s">
        <v>85</v>
      </c>
      <c r="O75" s="1" t="s">
        <v>94</v>
      </c>
      <c r="P75" s="2" t="s">
        <v>94</v>
      </c>
      <c r="Q75" s="2" t="s">
        <v>24</v>
      </c>
      <c r="R75" s="2" t="s">
        <v>97</v>
      </c>
      <c r="S75" s="2" t="s">
        <v>94</v>
      </c>
      <c r="T75" s="2" t="s">
        <v>94</v>
      </c>
      <c r="U75" s="2" t="s">
        <v>93</v>
      </c>
      <c r="V75" s="2" t="s">
        <v>91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400" t="s">
        <v>487</v>
      </c>
      <c r="J76" s="1" t="s">
        <v>299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400"/>
      <c r="J77" s="60" t="s">
        <v>66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90</v>
      </c>
      <c r="N79" s="3" t="s">
        <v>86</v>
      </c>
      <c r="O79" s="1" t="s">
        <v>577</v>
      </c>
      <c r="P79" s="4"/>
      <c r="Q79" s="4"/>
      <c r="U79" s="3" t="s">
        <v>95</v>
      </c>
      <c r="V79" s="1" t="s">
        <v>92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97"/>
      <c r="BV81" s="97"/>
      <c r="BW81" s="89"/>
      <c r="BX81" s="89"/>
      <c r="BY81" s="97"/>
      <c r="BZ81" s="97"/>
      <c r="CA81" s="97"/>
      <c r="CB81" s="97"/>
      <c r="CC81" s="97"/>
      <c r="CD81" s="97"/>
      <c r="CE81" s="97"/>
      <c r="CF81" s="97"/>
      <c r="CG81" s="97"/>
      <c r="CH81" s="97"/>
      <c r="CI81" s="97"/>
      <c r="CJ81" s="97"/>
      <c r="CK81" s="97"/>
      <c r="CL81" s="97"/>
      <c r="CM81" s="97"/>
      <c r="CN81" s="97"/>
      <c r="CO81" s="97"/>
      <c r="CP81" s="97"/>
      <c r="CQ81" s="97"/>
      <c r="CR81" s="97"/>
      <c r="CS81" s="97"/>
      <c r="CT81" s="97"/>
      <c r="CU81" s="97"/>
      <c r="CV81" s="97"/>
      <c r="CW81" s="97"/>
      <c r="CX81" s="97"/>
      <c r="CY81" s="97"/>
      <c r="CZ81" s="97"/>
      <c r="DA81" s="97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88</v>
      </c>
      <c r="EM100" s="64" t="s">
        <v>92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478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3"/>
      <c r="AI102" s="183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405" t="s">
        <v>477</v>
      </c>
      <c r="DU103" s="405"/>
      <c r="DV103" s="405"/>
      <c r="DW103" s="405"/>
      <c r="DX103" s="405"/>
      <c r="DY103" s="405"/>
      <c r="EA103" s="4"/>
      <c r="EB103" s="3" t="s">
        <v>521</v>
      </c>
      <c r="EC103" s="1" t="s">
        <v>516</v>
      </c>
      <c r="ED103" s="3" t="s">
        <v>5</v>
      </c>
      <c r="EE103" s="1" t="s">
        <v>84</v>
      </c>
      <c r="EF103" s="1" t="s">
        <v>576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518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65" t="s">
        <v>88</v>
      </c>
      <c r="FM103" s="64" t="s">
        <v>92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418"/>
      <c r="DU104" s="418"/>
      <c r="DV104" s="418"/>
      <c r="DW104" s="418"/>
      <c r="DX104" s="418"/>
      <c r="DY104" s="418"/>
      <c r="EA104" s="4" t="s">
        <v>40</v>
      </c>
      <c r="EB104" s="3" t="s">
        <v>520</v>
      </c>
      <c r="EC104" s="1" t="s">
        <v>87</v>
      </c>
      <c r="ED104" s="1" t="s">
        <v>89</v>
      </c>
      <c r="EE104" s="1" t="s">
        <v>85</v>
      </c>
      <c r="EF104" s="1" t="s">
        <v>94</v>
      </c>
      <c r="EG104" s="1" t="s">
        <v>338</v>
      </c>
      <c r="EH104" s="1" t="s">
        <v>24</v>
      </c>
      <c r="EI104" s="1" t="s">
        <v>97</v>
      </c>
      <c r="EJ104" s="1" t="s">
        <v>94</v>
      </c>
      <c r="EK104" s="1" t="s">
        <v>94</v>
      </c>
      <c r="EL104" s="1" t="s">
        <v>94</v>
      </c>
      <c r="EM104" s="1" t="s">
        <v>91</v>
      </c>
      <c r="EZ104" s="1"/>
      <c r="FA104" s="1"/>
      <c r="FB104" s="1"/>
      <c r="FC104" s="1"/>
      <c r="FD104" s="1"/>
      <c r="FE104" s="1"/>
      <c r="FF104" s="1"/>
      <c r="FG104" s="3" t="s">
        <v>524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261</v>
      </c>
      <c r="DU105" s="113" t="s">
        <v>232</v>
      </c>
      <c r="DV105" s="113" t="s">
        <v>232</v>
      </c>
      <c r="DW105" s="113" t="s">
        <v>232</v>
      </c>
      <c r="DX105" s="114" t="s">
        <v>316</v>
      </c>
      <c r="DY105" s="113" t="s">
        <v>310</v>
      </c>
      <c r="DZ105" s="213" t="s">
        <v>478</v>
      </c>
      <c r="EA105" s="95" t="s">
        <v>469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97</v>
      </c>
      <c r="DU106" s="113" t="s">
        <v>227</v>
      </c>
      <c r="DV106" s="113" t="s">
        <v>323</v>
      </c>
      <c r="DW106" s="113" t="s">
        <v>47</v>
      </c>
      <c r="DX106" s="114" t="s">
        <v>97</v>
      </c>
      <c r="DY106" s="113" t="s">
        <v>47</v>
      </c>
      <c r="EA106" s="3" t="s">
        <v>18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517</v>
      </c>
      <c r="FD106" s="1" t="s">
        <v>646</v>
      </c>
      <c r="FE106" s="1" t="s">
        <v>84</v>
      </c>
      <c r="FF106" s="1" t="s">
        <v>576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518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515</v>
      </c>
      <c r="DU107" s="113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55">
        <f>DW107*DX107</f>
        <v>205779.24986083046</v>
      </c>
      <c r="EB107" s="3" t="s">
        <v>47</v>
      </c>
      <c r="EC107" s="1" t="s">
        <v>88</v>
      </c>
      <c r="ED107" s="3" t="s">
        <v>90</v>
      </c>
      <c r="EE107" s="3" t="s">
        <v>86</v>
      </c>
      <c r="EF107" s="1" t="s">
        <v>577</v>
      </c>
      <c r="EG107" s="4"/>
      <c r="EH107" s="4"/>
      <c r="EL107" s="3" t="s">
        <v>95</v>
      </c>
      <c r="EM107" s="1" t="s">
        <v>92</v>
      </c>
      <c r="FA107" s="2" t="s">
        <v>40</v>
      </c>
      <c r="FB107" s="2" t="s">
        <v>10</v>
      </c>
      <c r="FC107" s="1" t="s">
        <v>519</v>
      </c>
      <c r="FD107" s="2" t="s">
        <v>11</v>
      </c>
      <c r="FE107" s="2" t="s">
        <v>12</v>
      </c>
      <c r="FF107" s="1" t="s">
        <v>94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6" t="s">
        <v>276</v>
      </c>
      <c r="BJ108" s="4" t="s">
        <v>280</v>
      </c>
      <c r="BK108" s="4" t="s">
        <v>281</v>
      </c>
      <c r="BN108" s="4"/>
      <c r="BO108" s="4"/>
      <c r="BP108" s="4"/>
      <c r="BQ108" s="4"/>
      <c r="BR108" s="4"/>
      <c r="BS108" s="4"/>
      <c r="EZ108" s="213" t="s">
        <v>524</v>
      </c>
      <c r="FA108" s="1" t="s">
        <v>21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18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2"/>
      <c r="AG110" s="112"/>
      <c r="AH110" s="112"/>
      <c r="AI110" s="112"/>
      <c r="AJ110" s="112"/>
      <c r="AK110" s="6"/>
      <c r="AL110" s="6"/>
      <c r="AM110" s="6"/>
      <c r="AN110" s="6"/>
      <c r="AO110" s="430" t="s">
        <v>413</v>
      </c>
      <c r="AP110" s="426"/>
      <c r="AQ110" s="426"/>
      <c r="AR110" s="426"/>
      <c r="AS110" s="426"/>
      <c r="AT110" s="426"/>
      <c r="AU110" s="42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426" t="s">
        <v>417</v>
      </c>
      <c r="BH110" s="426"/>
      <c r="BI110" s="426"/>
      <c r="BJ110" s="426"/>
      <c r="BK110" s="426"/>
      <c r="BL110" s="426"/>
      <c r="BM110" s="42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FA110" s="1"/>
      <c r="FB110" s="1" t="s">
        <v>88</v>
      </c>
      <c r="FC110" s="1"/>
      <c r="FD110" s="3" t="s">
        <v>90</v>
      </c>
      <c r="FE110" s="3" t="s">
        <v>86</v>
      </c>
      <c r="FF110" s="1" t="s">
        <v>577</v>
      </c>
      <c r="FG110" s="4"/>
      <c r="FH110" s="4"/>
      <c r="FL110" s="3" t="s">
        <v>95</v>
      </c>
      <c r="FM110" s="1" t="s">
        <v>92</v>
      </c>
    </row>
    <row r="111" spans="16:169" ht="20" customHeight="1" thickBot="1" x14ac:dyDescent="0.25">
      <c r="P111" s="431" t="s">
        <v>352</v>
      </c>
      <c r="Q111" s="431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2"/>
      <c r="AL111" s="112"/>
      <c r="AM111" s="112"/>
      <c r="AN111" s="112"/>
      <c r="AO111" s="15" t="s">
        <v>261</v>
      </c>
      <c r="AP111" s="113" t="s">
        <v>260</v>
      </c>
      <c r="AQ111" s="113" t="s">
        <v>232</v>
      </c>
      <c r="AR111" s="113" t="s">
        <v>35</v>
      </c>
      <c r="AS111" s="113" t="s">
        <v>232</v>
      </c>
      <c r="AT111" s="114" t="s">
        <v>316</v>
      </c>
      <c r="AU111" s="113" t="s">
        <v>310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261</v>
      </c>
      <c r="BH111" s="113" t="s">
        <v>260</v>
      </c>
      <c r="BI111" s="113" t="s">
        <v>232</v>
      </c>
      <c r="BJ111" s="113" t="s">
        <v>232</v>
      </c>
      <c r="BK111" s="113" t="s">
        <v>232</v>
      </c>
      <c r="BL111" s="114" t="s">
        <v>316</v>
      </c>
      <c r="BM111" s="113" t="s">
        <v>310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R111" s="16" t="s">
        <v>341</v>
      </c>
      <c r="EV111" s="1"/>
      <c r="EW111" s="1"/>
      <c r="EX111" s="1"/>
      <c r="EY111" s="1"/>
      <c r="EZ111" s="1"/>
    </row>
    <row r="112" spans="16:169" ht="19" customHeight="1" thickBot="1" x14ac:dyDescent="0.3">
      <c r="P112" s="432"/>
      <c r="Q112" s="432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2"/>
      <c r="AL112" s="112"/>
      <c r="AM112" s="112"/>
      <c r="AN112" s="112"/>
      <c r="AO112" s="15" t="s">
        <v>97</v>
      </c>
      <c r="AP112" s="15" t="s">
        <v>97</v>
      </c>
      <c r="AQ112" s="113" t="s">
        <v>234</v>
      </c>
      <c r="AR112" s="113" t="s">
        <v>233</v>
      </c>
      <c r="AS112" s="113" t="s">
        <v>47</v>
      </c>
      <c r="AT112" s="114" t="s">
        <v>97</v>
      </c>
      <c r="AU112" s="113" t="s">
        <v>47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97</v>
      </c>
      <c r="BH112" s="15" t="s">
        <v>97</v>
      </c>
      <c r="BI112" s="113" t="s">
        <v>227</v>
      </c>
      <c r="BJ112" s="113" t="s">
        <v>323</v>
      </c>
      <c r="BK112" s="113" t="s">
        <v>47</v>
      </c>
      <c r="BL112" s="114" t="s">
        <v>97</v>
      </c>
      <c r="BM112" s="113" t="s">
        <v>47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2"/>
      <c r="CP112" s="112"/>
      <c r="CQ112" s="112"/>
      <c r="CR112" s="112"/>
      <c r="CS112" s="112"/>
      <c r="CT112" s="112"/>
      <c r="CU112" s="6"/>
      <c r="CV112" s="117" t="s">
        <v>1</v>
      </c>
      <c r="CW112" s="118" t="s">
        <v>0</v>
      </c>
      <c r="CX112" s="191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402" t="s">
        <v>336</v>
      </c>
      <c r="Q113" s="137" t="s">
        <v>311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2"/>
      <c r="AL113" s="112"/>
      <c r="AM113" s="112"/>
      <c r="AN113" s="112"/>
      <c r="AO113" s="113" t="s">
        <v>262</v>
      </c>
      <c r="AP113" s="113" t="s">
        <v>298</v>
      </c>
      <c r="AQ113" s="113">
        <v>700</v>
      </c>
      <c r="AR113" s="113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262</v>
      </c>
      <c r="BH113" s="113" t="s">
        <v>176</v>
      </c>
      <c r="BI113" s="113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2"/>
      <c r="CS113" s="112"/>
      <c r="CT113" s="112"/>
      <c r="CU113" s="6"/>
      <c r="CV113" s="106" t="s">
        <v>318</v>
      </c>
      <c r="CW113" s="107" t="s">
        <v>319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88</v>
      </c>
      <c r="EM113" s="64" t="s">
        <v>92</v>
      </c>
    </row>
    <row r="114" spans="5:176" ht="17" thickBot="1" x14ac:dyDescent="0.25">
      <c r="P114" s="403"/>
      <c r="Q114" s="135" t="s">
        <v>47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262</v>
      </c>
      <c r="BH114" s="113" t="s">
        <v>246</v>
      </c>
      <c r="BI114" s="113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2" t="s">
        <v>494</v>
      </c>
      <c r="CS114" s="112"/>
      <c r="CT114" s="112"/>
      <c r="CU114" s="6"/>
      <c r="CV114" s="121">
        <f>CL119</f>
        <v>4.9847525450981189</v>
      </c>
      <c r="CW114" s="122">
        <f>CW119</f>
        <v>7739.2511800711582</v>
      </c>
      <c r="CX114" s="112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444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426" t="s">
        <v>419</v>
      </c>
      <c r="EQ114" s="426"/>
      <c r="ER114" s="426"/>
      <c r="ES114" s="426"/>
      <c r="ET114" s="426"/>
      <c r="EU114" s="426"/>
    </row>
    <row r="115" spans="5:176" ht="16" x14ac:dyDescent="0.2">
      <c r="P115" s="138" t="s">
        <v>333</v>
      </c>
      <c r="Q115" s="135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262</v>
      </c>
      <c r="BH115" s="113" t="s">
        <v>256</v>
      </c>
      <c r="BI115" s="113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2"/>
      <c r="CS115" s="112"/>
      <c r="CT115" s="6"/>
      <c r="CU115" s="6"/>
      <c r="CV115" s="112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261</v>
      </c>
      <c r="EQ115" s="113" t="s">
        <v>232</v>
      </c>
      <c r="ER115" s="113" t="s">
        <v>232</v>
      </c>
      <c r="ES115" s="113" t="s">
        <v>232</v>
      </c>
      <c r="ET115" s="114" t="s">
        <v>316</v>
      </c>
      <c r="EU115" s="113" t="s">
        <v>310</v>
      </c>
    </row>
    <row r="116" spans="5:176" ht="19.25" customHeight="1" thickBot="1" x14ac:dyDescent="0.3">
      <c r="N116" s="6"/>
      <c r="O116" s="6"/>
      <c r="P116" s="138" t="s">
        <v>556</v>
      </c>
      <c r="Q116" s="135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3" t="s">
        <v>18</v>
      </c>
      <c r="BI116" s="113">
        <f>SUM(BI113:BI115)</f>
        <v>3152</v>
      </c>
      <c r="BJ116" s="113">
        <f>SUM(BJ113:BJ115)</f>
        <v>3325.5491200000001</v>
      </c>
      <c r="BK116" s="113">
        <f>SUM(BK113:BK115)</f>
        <v>34.678095164114971</v>
      </c>
      <c r="BL116" s="113"/>
      <c r="BM116" s="113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516</v>
      </c>
      <c r="CM116" s="1" t="s">
        <v>517</v>
      </c>
      <c r="CN116" s="1" t="s">
        <v>646</v>
      </c>
      <c r="CO116" s="1" t="s">
        <v>84</v>
      </c>
      <c r="CP116" s="1" t="s">
        <v>576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518</v>
      </c>
      <c r="CW116" s="1" t="s">
        <v>49</v>
      </c>
      <c r="CX116" s="6"/>
      <c r="CY116" s="4"/>
      <c r="DB116" s="4"/>
      <c r="DC116" s="4"/>
      <c r="DT116" s="405" t="s">
        <v>443</v>
      </c>
      <c r="DU116" s="405"/>
      <c r="DV116" s="405"/>
      <c r="DW116" s="405"/>
      <c r="DX116" s="405"/>
      <c r="DY116" s="405"/>
      <c r="EA116" s="4"/>
      <c r="EB116" s="3" t="s">
        <v>521</v>
      </c>
      <c r="EC116" s="1" t="s">
        <v>516</v>
      </c>
      <c r="ED116" s="1" t="s">
        <v>646</v>
      </c>
      <c r="EE116" s="1" t="s">
        <v>84</v>
      </c>
      <c r="EF116" s="1" t="s">
        <v>576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518</v>
      </c>
      <c r="EM116" s="1" t="s">
        <v>49</v>
      </c>
      <c r="EP116" s="15" t="s">
        <v>97</v>
      </c>
      <c r="EQ116" s="113" t="s">
        <v>227</v>
      </c>
      <c r="ER116" s="113" t="s">
        <v>323</v>
      </c>
      <c r="ES116" s="113" t="s">
        <v>47</v>
      </c>
      <c r="ET116" s="114" t="s">
        <v>97</v>
      </c>
      <c r="EU116" s="113" t="s">
        <v>47</v>
      </c>
    </row>
    <row r="117" spans="5:176" ht="19" thickBot="1" x14ac:dyDescent="0.3">
      <c r="N117" s="6"/>
      <c r="O117" s="6"/>
      <c r="P117" s="139" t="s">
        <v>335</v>
      </c>
      <c r="Q117" s="136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40</v>
      </c>
      <c r="CL117" s="1" t="s">
        <v>87</v>
      </c>
      <c r="CM117" s="4" t="s">
        <v>279</v>
      </c>
      <c r="CN117" s="2" t="s">
        <v>89</v>
      </c>
      <c r="CO117" s="2" t="s">
        <v>85</v>
      </c>
      <c r="CP117" s="1" t="s">
        <v>94</v>
      </c>
      <c r="CQ117" s="2" t="s">
        <v>94</v>
      </c>
      <c r="CR117" s="2" t="s">
        <v>24</v>
      </c>
      <c r="CS117" s="2" t="s">
        <v>97</v>
      </c>
      <c r="CT117" s="2" t="s">
        <v>94</v>
      </c>
      <c r="CU117" s="2" t="s">
        <v>94</v>
      </c>
      <c r="CV117" s="2" t="s">
        <v>93</v>
      </c>
      <c r="CW117" s="2" t="s">
        <v>91</v>
      </c>
      <c r="CX117" s="6"/>
      <c r="CY117" s="4"/>
      <c r="CZ117" s="4"/>
      <c r="DA117" s="4"/>
      <c r="DD117" s="4"/>
      <c r="DE117" s="4"/>
      <c r="DT117" s="418"/>
      <c r="DU117" s="418"/>
      <c r="DV117" s="418"/>
      <c r="DW117" s="418"/>
      <c r="DX117" s="418"/>
      <c r="DY117" s="418"/>
      <c r="EA117" s="4" t="s">
        <v>40</v>
      </c>
      <c r="EB117" s="3" t="s">
        <v>520</v>
      </c>
      <c r="EC117" s="1" t="s">
        <v>87</v>
      </c>
      <c r="ED117" s="1" t="s">
        <v>89</v>
      </c>
      <c r="EE117" s="1" t="s">
        <v>85</v>
      </c>
      <c r="EF117" s="1" t="s">
        <v>94</v>
      </c>
      <c r="EG117" s="1" t="s">
        <v>94</v>
      </c>
      <c r="EH117" s="1" t="s">
        <v>24</v>
      </c>
      <c r="EI117" s="1" t="s">
        <v>97</v>
      </c>
      <c r="EJ117" s="1" t="s">
        <v>94</v>
      </c>
      <c r="EK117" s="1" t="s">
        <v>94</v>
      </c>
      <c r="EL117" s="1" t="s">
        <v>93</v>
      </c>
      <c r="EM117" s="1" t="s">
        <v>91</v>
      </c>
      <c r="EP117" s="15" t="s">
        <v>262</v>
      </c>
      <c r="EQ117" s="113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54">
        <v>1</v>
      </c>
      <c r="EU117" s="25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41" t="s">
        <v>494</v>
      </c>
      <c r="CK118" s="111" t="s">
        <v>178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4">
        <f>CO118/CO119</f>
        <v>1</v>
      </c>
      <c r="CS118" s="124">
        <f>LN(CR118)</f>
        <v>0</v>
      </c>
      <c r="CT118" s="124">
        <f>RT0*CS118</f>
        <v>0</v>
      </c>
      <c r="CU118" s="33">
        <f>CT118+CQ118</f>
        <v>62.576000000000022</v>
      </c>
      <c r="CV118" s="33">
        <f>CU118*CR118</f>
        <v>62.576000000000022</v>
      </c>
      <c r="CW118" s="124">
        <f>CV118*CO119</f>
        <v>7739.2511800711582</v>
      </c>
      <c r="CX118" s="112"/>
      <c r="CY118" s="4"/>
      <c r="CZ118" s="4"/>
      <c r="DA118" s="4"/>
      <c r="DB118" s="4"/>
      <c r="DE118" s="4"/>
      <c r="DF118" s="4"/>
      <c r="DT118" s="15" t="s">
        <v>261</v>
      </c>
      <c r="DU118" s="113" t="s">
        <v>232</v>
      </c>
      <c r="DV118" s="113" t="s">
        <v>232</v>
      </c>
      <c r="DW118" s="113" t="s">
        <v>232</v>
      </c>
      <c r="DX118" s="114" t="s">
        <v>316</v>
      </c>
      <c r="DY118" s="113" t="s">
        <v>310</v>
      </c>
      <c r="DZ118" s="213" t="s">
        <v>444</v>
      </c>
      <c r="EA118" s="94" t="s">
        <v>64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2"/>
      <c r="BF119" s="112"/>
      <c r="BG119" s="112"/>
      <c r="BH119" s="112"/>
      <c r="BI119" s="112"/>
      <c r="BJ119" s="112"/>
      <c r="BK119" s="112"/>
      <c r="BL119" s="112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2"/>
      <c r="CK119" s="6" t="s">
        <v>18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2"/>
      <c r="CT119" s="112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97</v>
      </c>
      <c r="DU119" s="113" t="s">
        <v>227</v>
      </c>
      <c r="DV119" s="113" t="s">
        <v>323</v>
      </c>
      <c r="DW119" s="113" t="s">
        <v>47</v>
      </c>
      <c r="DX119" s="114" t="s">
        <v>97</v>
      </c>
      <c r="DY119" s="113" t="s">
        <v>47</v>
      </c>
      <c r="EA119" s="17" t="s">
        <v>18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E120" s="3" t="s">
        <v>383</v>
      </c>
      <c r="CI120" s="6"/>
      <c r="CJ120" s="6"/>
      <c r="CK120" s="6"/>
      <c r="CL120" s="6" t="s">
        <v>318</v>
      </c>
      <c r="CM120" s="6"/>
      <c r="CN120" s="112" t="s">
        <v>325</v>
      </c>
      <c r="CO120" s="112" t="s">
        <v>326</v>
      </c>
      <c r="CP120" s="1" t="s">
        <v>577</v>
      </c>
      <c r="CQ120" s="6"/>
      <c r="CR120" s="6"/>
      <c r="CS120" s="112"/>
      <c r="CT120" s="112"/>
      <c r="CU120" s="112"/>
      <c r="CV120" s="112" t="s">
        <v>327</v>
      </c>
      <c r="CW120" s="6" t="s">
        <v>319</v>
      </c>
      <c r="CX120" s="6"/>
      <c r="CY120" s="4"/>
      <c r="CZ120" s="4"/>
      <c r="DA120" s="4"/>
      <c r="DB120" s="4"/>
      <c r="DE120" s="4"/>
      <c r="DF120" s="4"/>
      <c r="DT120" s="15" t="s">
        <v>284</v>
      </c>
      <c r="DU120" s="113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47</v>
      </c>
      <c r="EC120" s="1" t="s">
        <v>88</v>
      </c>
      <c r="ED120" s="3" t="s">
        <v>90</v>
      </c>
      <c r="EE120" s="3" t="s">
        <v>86</v>
      </c>
      <c r="EF120" s="1" t="s">
        <v>577</v>
      </c>
      <c r="EG120" s="4"/>
      <c r="EH120" s="4"/>
      <c r="EL120" s="3" t="s">
        <v>95</v>
      </c>
      <c r="EM120" s="1" t="s">
        <v>92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16" t="s">
        <v>384</v>
      </c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2"/>
      <c r="X123" s="6"/>
      <c r="Y123" s="112"/>
      <c r="Z123" s="112"/>
      <c r="AA123" s="112"/>
      <c r="AB123" s="112"/>
      <c r="AC123" s="112"/>
      <c r="AD123" s="6"/>
      <c r="AE123" s="6"/>
      <c r="AF123" s="6"/>
      <c r="AG123" s="6"/>
      <c r="AH123" s="6"/>
      <c r="AI123" s="6"/>
      <c r="AJ123" s="115" t="s">
        <v>315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09" t="s">
        <v>332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5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7" t="s">
        <v>1</v>
      </c>
      <c r="V124" s="118" t="s">
        <v>0</v>
      </c>
      <c r="W124" s="6"/>
      <c r="X124" s="3" t="s">
        <v>264</v>
      </c>
      <c r="Y124" s="4"/>
      <c r="Z124" s="6"/>
      <c r="AA124" s="6"/>
      <c r="AB124" s="6"/>
      <c r="AC124" s="6"/>
      <c r="AD124" s="115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7" t="s">
        <v>1</v>
      </c>
      <c r="AP124" s="118" t="s">
        <v>0</v>
      </c>
      <c r="AQ124" s="6"/>
      <c r="AR124" s="6"/>
      <c r="AS124" s="6"/>
      <c r="AT124" s="6"/>
      <c r="AU124" s="6"/>
      <c r="AV124" s="6"/>
      <c r="AW124" s="115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7" t="s">
        <v>1</v>
      </c>
      <c r="BI124" s="118" t="s">
        <v>0</v>
      </c>
      <c r="BJ124" s="6"/>
      <c r="BK124" s="6"/>
      <c r="BL124" s="6"/>
      <c r="BM124" s="6"/>
      <c r="BN124" s="6"/>
      <c r="BO124" s="6"/>
      <c r="BP124" s="115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7" t="s">
        <v>1</v>
      </c>
      <c r="CB124" s="118" t="s">
        <v>0</v>
      </c>
      <c r="CC124" s="112"/>
      <c r="CD124" s="112"/>
      <c r="CE124" s="132" t="s">
        <v>62</v>
      </c>
      <c r="CF124" s="112"/>
      <c r="CG124" s="112"/>
      <c r="CH124" s="112"/>
      <c r="CI124" s="112"/>
      <c r="CJ124" s="112"/>
      <c r="CK124" s="6"/>
      <c r="CL124" s="6"/>
      <c r="CM124" s="6"/>
      <c r="CN124" s="6"/>
      <c r="CO124" s="6"/>
      <c r="CP124" s="6"/>
      <c r="CQ124" s="6"/>
      <c r="CR124" s="6"/>
      <c r="CS124" s="112"/>
      <c r="CT124" s="112"/>
      <c r="CU124" s="6"/>
      <c r="CV124" s="117" t="s">
        <v>1</v>
      </c>
      <c r="CW124" s="118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19"/>
      <c r="L125" s="6"/>
      <c r="M125" s="6"/>
      <c r="N125" s="6"/>
      <c r="O125" s="6"/>
      <c r="P125" s="6"/>
      <c r="Q125" s="6"/>
      <c r="R125" s="6"/>
      <c r="S125" s="6"/>
      <c r="T125" s="6"/>
      <c r="U125" s="106" t="s">
        <v>318</v>
      </c>
      <c r="V125" s="107" t="s">
        <v>319</v>
      </c>
      <c r="W125" s="6"/>
      <c r="X125" s="16" t="s">
        <v>265</v>
      </c>
      <c r="Y125" s="4" t="s">
        <v>266</v>
      </c>
      <c r="Z125" s="6"/>
      <c r="AA125" s="6"/>
      <c r="AB125" s="6"/>
      <c r="AC125" s="6"/>
      <c r="AD125" s="6"/>
      <c r="AE125" s="119"/>
      <c r="AF125" s="6"/>
      <c r="AG125" s="6"/>
      <c r="AH125" s="6"/>
      <c r="AI125" s="6"/>
      <c r="AJ125" s="6"/>
      <c r="AK125" s="6"/>
      <c r="AL125" s="6"/>
      <c r="AM125" s="6"/>
      <c r="AN125" s="6"/>
      <c r="AO125" s="106" t="s">
        <v>318</v>
      </c>
      <c r="AP125" s="107" t="s">
        <v>319</v>
      </c>
      <c r="AQ125" s="6"/>
      <c r="AR125" s="6"/>
      <c r="AS125" s="6"/>
      <c r="AT125" s="6"/>
      <c r="AU125" s="6"/>
      <c r="AV125" s="6"/>
      <c r="AW125" s="6"/>
      <c r="AX125" s="119"/>
      <c r="AY125" s="6"/>
      <c r="AZ125" s="6"/>
      <c r="BA125" s="6"/>
      <c r="BB125" s="6"/>
      <c r="BC125" s="6"/>
      <c r="BD125" s="6"/>
      <c r="BE125" s="6"/>
      <c r="BF125" s="6"/>
      <c r="BG125" s="6"/>
      <c r="BH125" s="106" t="s">
        <v>318</v>
      </c>
      <c r="BI125" s="107" t="s">
        <v>319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6" t="s">
        <v>318</v>
      </c>
      <c r="CB125" s="107" t="s">
        <v>319</v>
      </c>
      <c r="CC125" s="112"/>
      <c r="CD125" s="112"/>
      <c r="CE125" s="133">
        <v>1173.1500000000001</v>
      </c>
      <c r="CF125" s="112"/>
      <c r="CG125" s="112"/>
      <c r="CH125" s="112"/>
      <c r="CI125" s="112"/>
      <c r="CJ125" s="112"/>
      <c r="CK125" s="6"/>
      <c r="CL125" s="6"/>
      <c r="CM125" s="6"/>
      <c r="CN125" s="6"/>
      <c r="CO125" s="6"/>
      <c r="CP125" s="6"/>
      <c r="CQ125" s="6"/>
      <c r="CR125" s="6" t="s">
        <v>492</v>
      </c>
      <c r="CS125" s="112"/>
      <c r="CT125" s="112"/>
      <c r="CU125" s="6"/>
      <c r="CV125" s="106" t="s">
        <v>318</v>
      </c>
      <c r="CW125" s="107" t="s">
        <v>319</v>
      </c>
      <c r="EL125" s="65" t="s">
        <v>88</v>
      </c>
      <c r="EM125" s="64" t="s">
        <v>92</v>
      </c>
      <c r="EY125" s="1"/>
      <c r="EZ125" s="1"/>
      <c r="FA125" s="1"/>
      <c r="FB125" s="1"/>
      <c r="FC125" s="1"/>
      <c r="FL125" s="65" t="s">
        <v>88</v>
      </c>
      <c r="FM125" s="64" t="s">
        <v>92</v>
      </c>
    </row>
    <row r="126" spans="5:176" ht="16.25" customHeight="1" thickBot="1" x14ac:dyDescent="0.25">
      <c r="E126" s="419" t="s">
        <v>480</v>
      </c>
      <c r="F126" s="419"/>
      <c r="G126" s="419"/>
      <c r="H126" s="419"/>
      <c r="J126" s="6"/>
      <c r="K126" s="120"/>
      <c r="L126" s="6"/>
      <c r="M126" s="6"/>
      <c r="N126" s="6"/>
      <c r="O126" s="6"/>
      <c r="P126" s="6"/>
      <c r="Q126" s="6" t="s">
        <v>402</v>
      </c>
      <c r="R126" s="6"/>
      <c r="S126" s="6"/>
      <c r="T126" s="6"/>
      <c r="U126" s="121">
        <f>K132</f>
        <v>208.55560337725498</v>
      </c>
      <c r="V126" s="122">
        <f>V132</f>
        <v>25297.051877142174</v>
      </c>
      <c r="W126" s="427" t="s">
        <v>393</v>
      </c>
      <c r="X126" s="427"/>
      <c r="Y126" s="427"/>
      <c r="Z126" s="427"/>
      <c r="AA126" s="427"/>
      <c r="AB126" s="6"/>
      <c r="AC126" s="6"/>
      <c r="AD126" s="6"/>
      <c r="AE126" s="120"/>
      <c r="AF126" s="6"/>
      <c r="AG126" s="6"/>
      <c r="AH126" s="6"/>
      <c r="AI126" s="6"/>
      <c r="AJ126" s="6"/>
      <c r="AK126" s="6" t="s">
        <v>479</v>
      </c>
      <c r="AL126" s="6"/>
      <c r="AM126" s="6"/>
      <c r="AN126" s="6"/>
      <c r="AO126" s="121">
        <f>AE132</f>
        <v>208.55560337725498</v>
      </c>
      <c r="AP126" s="122">
        <f>AP132</f>
        <v>25297.051877142174</v>
      </c>
      <c r="AQ126" s="427" t="s">
        <v>502</v>
      </c>
      <c r="AR126" s="427"/>
      <c r="AS126" s="427"/>
      <c r="AT126" s="427"/>
      <c r="AU126" s="427"/>
      <c r="AV126" s="6"/>
      <c r="AW126" s="6"/>
      <c r="AX126" s="120"/>
      <c r="AY126" s="6"/>
      <c r="AZ126" s="6"/>
      <c r="BA126" s="6"/>
      <c r="BB126" s="6"/>
      <c r="BC126" s="6"/>
      <c r="BD126" s="6" t="s">
        <v>503</v>
      </c>
      <c r="BE126" s="6"/>
      <c r="BF126" s="6"/>
      <c r="BG126" s="6"/>
      <c r="BH126" s="121">
        <f>AX132</f>
        <v>208.55560337725498</v>
      </c>
      <c r="BI126" s="122">
        <f>BI132</f>
        <v>25297.051877142174</v>
      </c>
      <c r="BJ126" s="427" t="s">
        <v>415</v>
      </c>
      <c r="BK126" s="427"/>
      <c r="BL126" s="427"/>
      <c r="BM126" s="427"/>
      <c r="BN126" s="427"/>
      <c r="BO126" s="6"/>
      <c r="BP126" s="6"/>
      <c r="BQ126" s="120"/>
      <c r="BR126" s="6"/>
      <c r="BS126" s="6"/>
      <c r="BT126" s="6"/>
      <c r="BU126" s="6"/>
      <c r="BV126" s="6"/>
      <c r="BW126" s="6" t="s">
        <v>449</v>
      </c>
      <c r="BX126" s="6"/>
      <c r="BY126" s="6"/>
      <c r="BZ126" s="6"/>
      <c r="CA126" s="121">
        <f>BQ132</f>
        <v>208.55560337725498</v>
      </c>
      <c r="CB126" s="122">
        <f>CB132</f>
        <v>25297.051877142174</v>
      </c>
      <c r="CC126" s="427" t="s">
        <v>416</v>
      </c>
      <c r="CD126" s="427"/>
      <c r="CE126" s="427"/>
      <c r="CF126" s="427"/>
      <c r="CG126" s="427"/>
      <c r="CH126" s="6"/>
      <c r="CI126" s="6"/>
      <c r="CJ126" s="112"/>
      <c r="CK126" s="6"/>
      <c r="CL126" s="6"/>
      <c r="CM126" s="6"/>
      <c r="CN126" s="6"/>
      <c r="CO126" s="6"/>
      <c r="CP126" s="6"/>
      <c r="CQ126" s="6"/>
      <c r="CR126" s="6"/>
      <c r="CS126" s="112"/>
      <c r="CT126" s="112"/>
      <c r="CU126" s="6"/>
      <c r="CV126" s="121">
        <f>CL131</f>
        <v>111.00813284002646</v>
      </c>
      <c r="CW126" s="122">
        <f>CW131</f>
        <v>242016.07607977447</v>
      </c>
      <c r="DS126" s="414" t="s">
        <v>80</v>
      </c>
      <c r="DT126" s="414"/>
      <c r="DU126" s="414"/>
      <c r="DV126" s="414"/>
      <c r="DW126" s="414"/>
      <c r="DX126" s="414"/>
      <c r="DY126" s="414"/>
      <c r="EG126" s="3" t="s">
        <v>512</v>
      </c>
      <c r="EL126" s="166">
        <f>EB134</f>
        <v>1314.2879334772852</v>
      </c>
      <c r="EM126" s="167">
        <f>EM134</f>
        <v>6682782.3361421349</v>
      </c>
      <c r="EN126" s="404" t="s">
        <v>404</v>
      </c>
      <c r="EO126" s="404"/>
      <c r="EP126" s="404"/>
      <c r="EQ126" s="404"/>
      <c r="ER126" s="404"/>
      <c r="ES126" s="404"/>
      <c r="ET126" s="404"/>
      <c r="EY126" s="1"/>
      <c r="EZ126" s="1"/>
      <c r="FA126" s="1"/>
      <c r="FB126" s="1"/>
      <c r="FC126" s="1"/>
      <c r="FD126" s="1"/>
      <c r="FE126" s="3" t="s">
        <v>513</v>
      </c>
      <c r="FL126" s="50">
        <f>FB131</f>
        <v>616.23583583508366</v>
      </c>
      <c r="FM126" s="48">
        <f>FM131</f>
        <v>4157895.2984628798</v>
      </c>
      <c r="FN126" s="404" t="s">
        <v>398</v>
      </c>
      <c r="FO126" s="404"/>
      <c r="FP126" s="404"/>
      <c r="FQ126" s="404"/>
      <c r="FR126" s="404"/>
      <c r="FS126" s="404"/>
      <c r="FT126" s="404"/>
    </row>
    <row r="127" spans="5:176" ht="16.25" customHeight="1" thickBot="1" x14ac:dyDescent="0.25">
      <c r="E127" s="419"/>
      <c r="F127" s="419"/>
      <c r="G127" s="419"/>
      <c r="H127" s="419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428"/>
      <c r="X127" s="428"/>
      <c r="Y127" s="428"/>
      <c r="Z127" s="428"/>
      <c r="AA127" s="428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427"/>
      <c r="AR127" s="427"/>
      <c r="AS127" s="427"/>
      <c r="AT127" s="427"/>
      <c r="AU127" s="42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427"/>
      <c r="BK127" s="427"/>
      <c r="BL127" s="427"/>
      <c r="BM127" s="427"/>
      <c r="BN127" s="42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427"/>
      <c r="CD127" s="427"/>
      <c r="CE127" s="427"/>
      <c r="CF127" s="427"/>
      <c r="CG127" s="427"/>
      <c r="CH127" s="112"/>
      <c r="CI127" s="112"/>
      <c r="CJ127" s="112"/>
      <c r="CK127" s="6"/>
      <c r="CL127" s="6"/>
      <c r="CM127" s="6"/>
      <c r="CN127" s="6"/>
      <c r="CO127" s="6"/>
      <c r="CP127" s="6"/>
      <c r="CQ127" s="6"/>
      <c r="CR127" s="6"/>
      <c r="CS127" s="112"/>
      <c r="CT127" s="112"/>
      <c r="CU127" s="6"/>
      <c r="CV127" s="6"/>
      <c r="CW127" s="112"/>
      <c r="DS127" s="414"/>
      <c r="DT127" s="414"/>
      <c r="DU127" s="414"/>
      <c r="DV127" s="414"/>
      <c r="DW127" s="414"/>
      <c r="DX127" s="414"/>
      <c r="DY127" s="414"/>
      <c r="EN127" s="404"/>
      <c r="EO127" s="404"/>
      <c r="EP127" s="404"/>
      <c r="EQ127" s="404"/>
      <c r="ER127" s="404"/>
      <c r="ES127" s="404"/>
      <c r="ET127" s="404"/>
      <c r="EY127" s="1"/>
      <c r="EZ127" s="1"/>
      <c r="FA127" s="1"/>
      <c r="FB127" s="1"/>
      <c r="FC127" s="1"/>
      <c r="FD127" s="1"/>
      <c r="FE127" s="1"/>
      <c r="FF127" s="1"/>
      <c r="FG127" s="1"/>
      <c r="FN127" s="404"/>
      <c r="FO127" s="404"/>
      <c r="FP127" s="404"/>
      <c r="FQ127" s="404"/>
      <c r="FR127" s="404"/>
      <c r="FS127" s="404"/>
      <c r="FT127" s="404"/>
    </row>
    <row r="128" spans="5:176" ht="19.75" customHeight="1" thickBot="1" x14ac:dyDescent="0.3">
      <c r="J128" s="4"/>
      <c r="K128" s="1" t="s">
        <v>516</v>
      </c>
      <c r="L128" s="1" t="s">
        <v>517</v>
      </c>
      <c r="M128" s="1" t="s">
        <v>646</v>
      </c>
      <c r="N128" s="1" t="s">
        <v>84</v>
      </c>
      <c r="O128" s="1" t="s">
        <v>576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518</v>
      </c>
      <c r="V128" s="1" t="s">
        <v>49</v>
      </c>
      <c r="W128" s="22" t="s">
        <v>406</v>
      </c>
      <c r="X128" s="99" t="s">
        <v>446</v>
      </c>
      <c r="Y128" s="134" t="s">
        <v>340</v>
      </c>
      <c r="Z128" s="402" t="s">
        <v>336</v>
      </c>
      <c r="AA128" s="137" t="s">
        <v>311</v>
      </c>
      <c r="AB128" s="1"/>
      <c r="AC128" s="6"/>
      <c r="AD128" s="4"/>
      <c r="AE128" s="1" t="s">
        <v>516</v>
      </c>
      <c r="AF128" s="1" t="s">
        <v>517</v>
      </c>
      <c r="AG128" s="1" t="s">
        <v>646</v>
      </c>
      <c r="AH128" s="1" t="s">
        <v>84</v>
      </c>
      <c r="AI128" s="1" t="s">
        <v>576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518</v>
      </c>
      <c r="AP128" s="1" t="s">
        <v>49</v>
      </c>
      <c r="AQ128" s="22" t="s">
        <v>406</v>
      </c>
      <c r="AR128" s="99" t="s">
        <v>446</v>
      </c>
      <c r="AS128" s="134" t="s">
        <v>340</v>
      </c>
      <c r="AT128" s="402" t="s">
        <v>336</v>
      </c>
      <c r="AU128" s="137" t="s">
        <v>311</v>
      </c>
      <c r="AV128" s="1"/>
      <c r="AW128" s="4"/>
      <c r="AX128" s="1" t="s">
        <v>516</v>
      </c>
      <c r="AY128" s="1" t="s">
        <v>517</v>
      </c>
      <c r="AZ128" s="1" t="s">
        <v>646</v>
      </c>
      <c r="BA128" s="1" t="s">
        <v>84</v>
      </c>
      <c r="BB128" s="1" t="s">
        <v>576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518</v>
      </c>
      <c r="BI128" s="1" t="s">
        <v>49</v>
      </c>
      <c r="BJ128" s="22" t="s">
        <v>406</v>
      </c>
      <c r="BK128" s="99" t="s">
        <v>446</v>
      </c>
      <c r="BL128" s="134" t="s">
        <v>340</v>
      </c>
      <c r="BM128" s="402" t="s">
        <v>336</v>
      </c>
      <c r="BN128" s="137" t="s">
        <v>311</v>
      </c>
      <c r="BO128" s="1"/>
      <c r="BP128" s="4"/>
      <c r="BQ128" s="1" t="s">
        <v>516</v>
      </c>
      <c r="BR128" s="1" t="s">
        <v>517</v>
      </c>
      <c r="BS128" s="1" t="s">
        <v>646</v>
      </c>
      <c r="BT128" s="1" t="s">
        <v>84</v>
      </c>
      <c r="BU128" s="1" t="s">
        <v>576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518</v>
      </c>
      <c r="CB128" s="1" t="s">
        <v>49</v>
      </c>
      <c r="CC128" s="22" t="s">
        <v>406</v>
      </c>
      <c r="CD128" s="99" t="s">
        <v>446</v>
      </c>
      <c r="CE128" s="134" t="s">
        <v>340</v>
      </c>
      <c r="CF128" s="402" t="s">
        <v>336</v>
      </c>
      <c r="CG128" s="137" t="s">
        <v>311</v>
      </c>
      <c r="CH128" s="112"/>
      <c r="CI128" s="112"/>
      <c r="CJ128" s="112"/>
      <c r="CK128" s="4"/>
      <c r="CL128" s="1" t="s">
        <v>516</v>
      </c>
      <c r="CM128" s="1" t="s">
        <v>517</v>
      </c>
      <c r="CN128" s="1" t="s">
        <v>646</v>
      </c>
      <c r="CO128" s="1" t="s">
        <v>84</v>
      </c>
      <c r="CP128" s="1" t="s">
        <v>576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518</v>
      </c>
      <c r="CW128" s="1" t="s">
        <v>49</v>
      </c>
      <c r="DS128" s="414"/>
      <c r="DT128" s="414"/>
      <c r="DU128" s="414"/>
      <c r="DV128" s="414"/>
      <c r="DW128" s="414"/>
      <c r="DX128" s="414"/>
      <c r="DY128" s="414"/>
      <c r="EA128" s="4"/>
      <c r="EB128" s="1" t="s">
        <v>516</v>
      </c>
      <c r="EC128" s="1" t="s">
        <v>517</v>
      </c>
      <c r="ED128" s="1" t="s">
        <v>646</v>
      </c>
      <c r="EE128" s="1" t="s">
        <v>84</v>
      </c>
      <c r="EF128" s="1" t="s">
        <v>576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518</v>
      </c>
      <c r="EM128" s="1" t="s">
        <v>49</v>
      </c>
      <c r="EN128" s="404"/>
      <c r="EO128" s="404"/>
      <c r="EP128" s="404"/>
      <c r="EQ128" s="404"/>
      <c r="ER128" s="404"/>
      <c r="ES128" s="404"/>
      <c r="ET128" s="404"/>
      <c r="EZ128" s="1"/>
      <c r="FA128" s="1"/>
      <c r="FB128" s="1" t="s">
        <v>516</v>
      </c>
      <c r="FC128" s="1" t="s">
        <v>517</v>
      </c>
      <c r="FD128" s="1" t="s">
        <v>646</v>
      </c>
      <c r="FE128" s="1" t="s">
        <v>84</v>
      </c>
      <c r="FF128" s="1" t="s">
        <v>576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518</v>
      </c>
      <c r="FM128" s="1" t="s">
        <v>49</v>
      </c>
      <c r="FN128" s="404"/>
      <c r="FO128" s="404"/>
      <c r="FP128" s="404"/>
      <c r="FQ128" s="404"/>
      <c r="FR128" s="404"/>
      <c r="FS128" s="404"/>
      <c r="FT128" s="404"/>
    </row>
    <row r="129" spans="2:171" ht="19.25" customHeight="1" x14ac:dyDescent="0.25">
      <c r="J129" s="4" t="s">
        <v>40</v>
      </c>
      <c r="K129" s="1" t="s">
        <v>87</v>
      </c>
      <c r="L129" s="4" t="s">
        <v>279</v>
      </c>
      <c r="M129" s="2" t="s">
        <v>89</v>
      </c>
      <c r="N129" s="2" t="s">
        <v>85</v>
      </c>
      <c r="O129" s="1" t="s">
        <v>94</v>
      </c>
      <c r="P129" s="2" t="s">
        <v>94</v>
      </c>
      <c r="Q129" s="2" t="s">
        <v>24</v>
      </c>
      <c r="R129" s="2" t="s">
        <v>97</v>
      </c>
      <c r="S129" s="2" t="s">
        <v>94</v>
      </c>
      <c r="T129" s="2" t="s">
        <v>94</v>
      </c>
      <c r="U129" s="2" t="s">
        <v>93</v>
      </c>
      <c r="V129" s="2" t="s">
        <v>91</v>
      </c>
      <c r="W129" s="204" t="s">
        <v>47</v>
      </c>
      <c r="X129" s="110" t="s">
        <v>47</v>
      </c>
      <c r="Y129" s="110" t="s">
        <v>318</v>
      </c>
      <c r="Z129" s="403"/>
      <c r="AA129" s="135" t="s">
        <v>81</v>
      </c>
      <c r="AB129" s="4"/>
      <c r="AC129" s="6"/>
      <c r="AD129" s="4" t="s">
        <v>40</v>
      </c>
      <c r="AE129" s="1" t="s">
        <v>87</v>
      </c>
      <c r="AF129" s="4" t="s">
        <v>279</v>
      </c>
      <c r="AG129" s="2" t="s">
        <v>89</v>
      </c>
      <c r="AH129" s="2" t="s">
        <v>85</v>
      </c>
      <c r="AI129" s="1" t="s">
        <v>94</v>
      </c>
      <c r="AJ129" s="2" t="s">
        <v>94</v>
      </c>
      <c r="AK129" s="2" t="s">
        <v>24</v>
      </c>
      <c r="AL129" s="2" t="s">
        <v>97</v>
      </c>
      <c r="AM129" s="2" t="s">
        <v>94</v>
      </c>
      <c r="AN129" s="2" t="s">
        <v>94</v>
      </c>
      <c r="AO129" s="2" t="s">
        <v>93</v>
      </c>
      <c r="AP129" s="2" t="s">
        <v>91</v>
      </c>
      <c r="AQ129" s="204" t="s">
        <v>47</v>
      </c>
      <c r="AR129" s="110" t="s">
        <v>47</v>
      </c>
      <c r="AS129" s="110" t="s">
        <v>318</v>
      </c>
      <c r="AT129" s="403"/>
      <c r="AU129" s="135" t="s">
        <v>81</v>
      </c>
      <c r="AV129" s="4"/>
      <c r="AW129" s="4" t="s">
        <v>40</v>
      </c>
      <c r="AX129" s="1" t="s">
        <v>87</v>
      </c>
      <c r="AY129" s="4" t="s">
        <v>279</v>
      </c>
      <c r="AZ129" s="2" t="s">
        <v>89</v>
      </c>
      <c r="BA129" s="2" t="s">
        <v>85</v>
      </c>
      <c r="BB129" s="1" t="s">
        <v>94</v>
      </c>
      <c r="BC129" s="2" t="s">
        <v>94</v>
      </c>
      <c r="BD129" s="2" t="s">
        <v>24</v>
      </c>
      <c r="BE129" s="2" t="s">
        <v>97</v>
      </c>
      <c r="BF129" s="2" t="s">
        <v>94</v>
      </c>
      <c r="BG129" s="2" t="s">
        <v>94</v>
      </c>
      <c r="BH129" s="2" t="s">
        <v>93</v>
      </c>
      <c r="BI129" s="2" t="s">
        <v>91</v>
      </c>
      <c r="BJ129" s="204" t="s">
        <v>47</v>
      </c>
      <c r="BK129" s="110" t="s">
        <v>47</v>
      </c>
      <c r="BL129" s="110" t="s">
        <v>318</v>
      </c>
      <c r="BM129" s="403"/>
      <c r="BN129" s="135" t="s">
        <v>81</v>
      </c>
      <c r="BO129" s="4"/>
      <c r="BP129" s="4" t="s">
        <v>40</v>
      </c>
      <c r="BQ129" s="1" t="s">
        <v>87</v>
      </c>
      <c r="BR129" s="4" t="s">
        <v>279</v>
      </c>
      <c r="BS129" s="2" t="s">
        <v>89</v>
      </c>
      <c r="BT129" s="2" t="s">
        <v>85</v>
      </c>
      <c r="BU129" s="1" t="s">
        <v>94</v>
      </c>
      <c r="BV129" s="2" t="s">
        <v>94</v>
      </c>
      <c r="BW129" s="2" t="s">
        <v>24</v>
      </c>
      <c r="BX129" s="2" t="s">
        <v>97</v>
      </c>
      <c r="BY129" s="2" t="s">
        <v>94</v>
      </c>
      <c r="BZ129" s="2" t="s">
        <v>94</v>
      </c>
      <c r="CA129" s="2" t="s">
        <v>93</v>
      </c>
      <c r="CB129" s="2" t="s">
        <v>91</v>
      </c>
      <c r="CC129" s="204" t="s">
        <v>47</v>
      </c>
      <c r="CD129" s="110" t="s">
        <v>47</v>
      </c>
      <c r="CE129" s="110" t="s">
        <v>318</v>
      </c>
      <c r="CF129" s="403"/>
      <c r="CG129" s="135" t="s">
        <v>81</v>
      </c>
      <c r="CH129" s="112"/>
      <c r="CI129" s="112"/>
      <c r="CK129" s="4" t="s">
        <v>40</v>
      </c>
      <c r="CL129" s="1" t="s">
        <v>87</v>
      </c>
      <c r="CM129" s="4" t="s">
        <v>279</v>
      </c>
      <c r="CN129" s="2" t="s">
        <v>89</v>
      </c>
      <c r="CO129" s="2" t="s">
        <v>85</v>
      </c>
      <c r="CP129" s="1" t="s">
        <v>94</v>
      </c>
      <c r="CQ129" s="2" t="s">
        <v>94</v>
      </c>
      <c r="CR129" s="2" t="s">
        <v>24</v>
      </c>
      <c r="CS129" s="2" t="s">
        <v>97</v>
      </c>
      <c r="CT129" s="2" t="s">
        <v>94</v>
      </c>
      <c r="CU129" s="2" t="s">
        <v>94</v>
      </c>
      <c r="CV129" s="2" t="s">
        <v>93</v>
      </c>
      <c r="CW129" s="2" t="s">
        <v>91</v>
      </c>
      <c r="DT129" s="22" t="s">
        <v>406</v>
      </c>
      <c r="DU129" s="22" t="s">
        <v>446</v>
      </c>
      <c r="DV129" s="158" t="s">
        <v>331</v>
      </c>
      <c r="DW129" s="415" t="s">
        <v>336</v>
      </c>
      <c r="DX129" s="101" t="s">
        <v>311</v>
      </c>
      <c r="DY129" s="1"/>
      <c r="EA129" s="4" t="s">
        <v>40</v>
      </c>
      <c r="EB129" s="1" t="s">
        <v>87</v>
      </c>
      <c r="EC129" s="1" t="s">
        <v>519</v>
      </c>
      <c r="ED129" s="1" t="s">
        <v>89</v>
      </c>
      <c r="EE129" s="1" t="s">
        <v>85</v>
      </c>
      <c r="EF129" s="1" t="s">
        <v>94</v>
      </c>
      <c r="EG129" s="1" t="s">
        <v>94</v>
      </c>
      <c r="EH129" s="1" t="s">
        <v>24</v>
      </c>
      <c r="EI129" s="1" t="s">
        <v>97</v>
      </c>
      <c r="EJ129" s="1" t="s">
        <v>94</v>
      </c>
      <c r="EK129" s="1" t="s">
        <v>94</v>
      </c>
      <c r="EL129" s="1" t="s">
        <v>93</v>
      </c>
      <c r="EM129" s="1" t="s">
        <v>91</v>
      </c>
      <c r="EO129" s="22" t="s">
        <v>406</v>
      </c>
      <c r="EP129" s="22" t="s">
        <v>446</v>
      </c>
      <c r="EQ129" s="185" t="s">
        <v>331</v>
      </c>
      <c r="ER129" s="406" t="s">
        <v>336</v>
      </c>
      <c r="ES129" s="101" t="s">
        <v>311</v>
      </c>
      <c r="FA129" s="2" t="s">
        <v>40</v>
      </c>
      <c r="FB129" s="1" t="s">
        <v>87</v>
      </c>
      <c r="FC129" s="1" t="s">
        <v>519</v>
      </c>
      <c r="FD129" s="1" t="s">
        <v>89</v>
      </c>
      <c r="FE129" s="1" t="s">
        <v>85</v>
      </c>
      <c r="FF129" s="1" t="s">
        <v>94</v>
      </c>
      <c r="FG129" s="1" t="s">
        <v>94</v>
      </c>
      <c r="FH129" s="1" t="s">
        <v>24</v>
      </c>
      <c r="FI129" s="1" t="s">
        <v>97</v>
      </c>
      <c r="FJ129" s="1" t="s">
        <v>94</v>
      </c>
      <c r="FK129" s="1" t="s">
        <v>94</v>
      </c>
      <c r="FL129" s="1" t="s">
        <v>93</v>
      </c>
      <c r="FM129" s="1" t="s">
        <v>91</v>
      </c>
    </row>
    <row r="130" spans="2:171" ht="19" thickBot="1" x14ac:dyDescent="0.3">
      <c r="I130" s="408" t="s">
        <v>402</v>
      </c>
      <c r="J130" s="27" t="s">
        <v>321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3">
        <f>AP142</f>
        <v>6.7177820097776806</v>
      </c>
      <c r="X130" s="123">
        <f>SUM(V126,V140,V163,V151)-$AP$126-AP142</f>
        <v>275.72728743553762</v>
      </c>
      <c r="Y130" s="187">
        <f>SUM(U126,U140,U151,U163) - SUM(AO126,AO142)</f>
        <v>0</v>
      </c>
      <c r="Z130" s="138" t="s">
        <v>333</v>
      </c>
      <c r="AA130" s="135">
        <f>(($AH$130*($AO$130-U130))/(V140+V151))</f>
        <v>0</v>
      </c>
      <c r="AB130" s="4"/>
      <c r="AC130" s="408" t="s">
        <v>479</v>
      </c>
      <c r="AD130" s="27" t="s">
        <v>321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3">
        <f>0</f>
        <v>0</v>
      </c>
      <c r="AR130" s="123">
        <f>AP126+AU113-BI126</f>
        <v>2824.885647744919</v>
      </c>
      <c r="AS130" s="187">
        <f>BH126-AO126</f>
        <v>0</v>
      </c>
      <c r="AT130" s="138" t="s">
        <v>333</v>
      </c>
      <c r="AU130" s="135">
        <f>((BA130*(BH130-AO130)/AU113))</f>
        <v>0</v>
      </c>
      <c r="AV130" s="408" t="s">
        <v>503</v>
      </c>
      <c r="AW130" s="27" t="s">
        <v>321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3">
        <v>0</v>
      </c>
      <c r="BK130" s="123">
        <f>BI126+BM116-CB126</f>
        <v>34.678095164115803</v>
      </c>
      <c r="BL130" s="187">
        <f>CA126-BH126</f>
        <v>0</v>
      </c>
      <c r="BM130" s="138" t="s">
        <v>333</v>
      </c>
      <c r="BN130" s="135">
        <f>((BT130*(CA130-BH130)/BM116))</f>
        <v>0</v>
      </c>
      <c r="BO130" s="408" t="s">
        <v>491</v>
      </c>
      <c r="BP130" s="27" t="s">
        <v>321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3">
        <f>CW114+CW138</f>
        <v>94961.386511485034</v>
      </c>
      <c r="CD130" s="123">
        <f>CB126+CB140+CB152-CW114-CW126-CW138</f>
        <v>1642067.5780806448</v>
      </c>
      <c r="CE130" s="187">
        <f>SUM(CV138,CV126,CV114) - SUM(CA126,CA140,CA152)</f>
        <v>0</v>
      </c>
      <c r="CF130" s="138" t="s">
        <v>333</v>
      </c>
      <c r="CG130" s="135" t="s">
        <v>97</v>
      </c>
      <c r="CH130" s="112"/>
      <c r="CI130" s="112"/>
      <c r="CJ130" s="213" t="s">
        <v>492</v>
      </c>
      <c r="CK130" s="111" t="s">
        <v>122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4">
        <f>CO130/CO131</f>
        <v>1</v>
      </c>
      <c r="CS130" s="124">
        <f>LN(CR130)</f>
        <v>0</v>
      </c>
      <c r="CT130" s="124">
        <f>RT0*CS130</f>
        <v>0</v>
      </c>
      <c r="CU130" s="33">
        <f>CT130+CQ130</f>
        <v>122.25799999999992</v>
      </c>
      <c r="CV130" s="33">
        <f>CU130*CR130</f>
        <v>122.25799999999992</v>
      </c>
      <c r="CW130" s="124">
        <f>CV130*CO131</f>
        <v>242016.07607977447</v>
      </c>
      <c r="DT130" s="204" t="s">
        <v>47</v>
      </c>
      <c r="DU130" s="9" t="s">
        <v>47</v>
      </c>
      <c r="DV130" s="1" t="s">
        <v>88</v>
      </c>
      <c r="DW130" s="416"/>
      <c r="DX130" s="135" t="s">
        <v>81</v>
      </c>
      <c r="DY130" s="4"/>
      <c r="DZ130" s="408" t="s">
        <v>512</v>
      </c>
      <c r="EA130" s="8" t="s">
        <v>14</v>
      </c>
      <c r="EB130" s="168">
        <f>Fe2O3_BF_in</f>
        <v>881.06000000000006</v>
      </c>
      <c r="EC130" s="168">
        <f>EB130/$EB$134</f>
        <v>0.67037060719939068</v>
      </c>
      <c r="ED130" s="169">
        <f>MW_Fe2O3</f>
        <v>0.1596882</v>
      </c>
      <c r="EE130" s="169">
        <f>EB130/ED130</f>
        <v>5517.3769884061567</v>
      </c>
      <c r="EF130" s="169">
        <f>h_Fe2O3</f>
        <v>-824.2</v>
      </c>
      <c r="EG130" s="169">
        <f>b_ch_Fe2O3</f>
        <v>17.358400000000074</v>
      </c>
      <c r="EH130" s="169">
        <f>EE130/$EE$134</f>
        <v>0.20286330971780439</v>
      </c>
      <c r="EI130" s="170">
        <f>LN(EH130)</f>
        <v>-1.5952228778868696</v>
      </c>
      <c r="EJ130" s="170">
        <f>RT0*EI130</f>
        <v>-3.9522795360119272</v>
      </c>
      <c r="EK130" s="170">
        <f>EG130+EJ130</f>
        <v>13.406120463988147</v>
      </c>
      <c r="EL130" s="170">
        <f>EK130*EH130</f>
        <v>2.7196099678002228</v>
      </c>
      <c r="EM130" s="170">
        <f>$EE$134*EL130</f>
        <v>73966.620551809072</v>
      </c>
      <c r="EO130" s="204" t="s">
        <v>47</v>
      </c>
      <c r="EP130" s="9" t="s">
        <v>47</v>
      </c>
      <c r="EQ130" s="9" t="s">
        <v>88</v>
      </c>
      <c r="ER130" s="407"/>
      <c r="ES130" s="135" t="s">
        <v>81</v>
      </c>
      <c r="EZ130" s="213" t="s">
        <v>513</v>
      </c>
      <c r="FA130" s="1" t="s">
        <v>15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5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408"/>
      <c r="J131" s="6" t="s">
        <v>324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8" t="s">
        <v>556</v>
      </c>
      <c r="AA131" s="135">
        <f>($AP$126+AP142)/(SUM(V126,V140,V163,V151))</f>
        <v>0.98922076974338935</v>
      </c>
      <c r="AB131" s="4"/>
      <c r="AC131" s="408"/>
      <c r="AD131" s="6" t="s">
        <v>324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8" t="s">
        <v>556</v>
      </c>
      <c r="AU131" s="135">
        <f>BI126/(AU113+AP126)</f>
        <v>0.89954868347015648</v>
      </c>
      <c r="AV131" s="408"/>
      <c r="AW131" s="6" t="s">
        <v>324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8" t="s">
        <v>556</v>
      </c>
      <c r="BN131" s="135">
        <f>CB126/(BM113+BI126)</f>
        <v>0.99884664645418608</v>
      </c>
      <c r="BO131" s="408"/>
      <c r="BP131" s="6" t="s">
        <v>324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2"/>
      <c r="CD131" s="6"/>
      <c r="CF131" s="138" t="s">
        <v>556</v>
      </c>
      <c r="CG131" s="135">
        <f>(CW138+CW126+CW114)/(CB140+CB126+CB152)</f>
        <v>0.17027276068302746</v>
      </c>
      <c r="CH131" s="112"/>
      <c r="CI131" s="112"/>
      <c r="CK131" s="6" t="s">
        <v>18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2"/>
      <c r="CT131" s="112"/>
      <c r="CU131" s="6"/>
      <c r="CV131" s="6">
        <f>SUM(CV130)</f>
        <v>122.25799999999992</v>
      </c>
      <c r="CW131" s="6">
        <f>SUM(CW130)</f>
        <v>242016.07607977447</v>
      </c>
      <c r="DT131" s="103">
        <f>0</f>
        <v>0</v>
      </c>
      <c r="DU131" s="98">
        <f>(CW126+CA42+CW206)-(EM126)</f>
        <v>55594.067320963368</v>
      </c>
      <c r="DV131" s="140">
        <f>EL126-CV126-CV206-BZ42</f>
        <v>0</v>
      </c>
      <c r="DW131" s="138" t="s">
        <v>333</v>
      </c>
      <c r="DX131" s="102" t="s">
        <v>97</v>
      </c>
      <c r="DY131" s="4"/>
      <c r="DZ131" s="408"/>
      <c r="EA131" s="1" t="s">
        <v>16</v>
      </c>
      <c r="EB131" s="171">
        <f>SiO2_BF_in</f>
        <v>118.94000000000001</v>
      </c>
      <c r="EC131" s="171">
        <f t="shared" ref="EC131:EC133" si="46">EB131/$EB$134</f>
        <v>9.0497673280248256E-2</v>
      </c>
      <c r="ED131" s="161">
        <f>MW_SIO2</f>
        <v>6.00843E-2</v>
      </c>
      <c r="EE131" s="161">
        <f>EB131/ED131</f>
        <v>1979.5520626852608</v>
      </c>
      <c r="EF131" s="161">
        <f>h_SiO2</f>
        <v>-910.7</v>
      </c>
      <c r="EG131" s="161">
        <f>b_ch_SiO2</f>
        <v>1.5260000000000673</v>
      </c>
      <c r="EH131" s="161">
        <f>EE131/$EE$134</f>
        <v>7.2784311102701241E-2</v>
      </c>
      <c r="EI131" s="172">
        <f t="shared" ref="EI131:EI133" si="47">LN(EH131)</f>
        <v>-2.6202548538354575</v>
      </c>
      <c r="EJ131" s="172">
        <f>RT0*EI131</f>
        <v>-6.4918700587268221</v>
      </c>
      <c r="EK131" s="172">
        <f t="shared" ref="EK131:EK133" si="48">EG131+EJ131</f>
        <v>-4.9658700587267548</v>
      </c>
      <c r="EL131" s="172">
        <f t="shared" ref="EL131:EL133" si="49">EK131*EH131</f>
        <v>-0.36143743124995742</v>
      </c>
      <c r="EM131" s="172">
        <f>$EE$134*EL131</f>
        <v>-9830.1983177795246</v>
      </c>
      <c r="EO131" s="103">
        <f>FM141+FM104</f>
        <v>472084.51440660493</v>
      </c>
      <c r="EP131" s="267">
        <f>SUM(EM101,EM114,EM126,EM140,EM152)-(FM126+FM141+FM104)</f>
        <v>7253543.9652409712</v>
      </c>
      <c r="EQ131" s="266">
        <f>(SUM(BF_SolidWaste,FL126,FL141))-SUM(EL101,EL114,EL126,EL140,EL152)</f>
        <v>0</v>
      </c>
      <c r="ER131" s="138" t="s">
        <v>333</v>
      </c>
      <c r="ES131" s="102" t="s">
        <v>97</v>
      </c>
      <c r="FA131" s="8" t="s">
        <v>18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18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5"/>
      <c r="S132" s="125"/>
      <c r="T132" s="125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39" t="s">
        <v>385</v>
      </c>
      <c r="AA132" s="136">
        <f>$AP$130/(SUM(V126,V140,V163,V151))</f>
        <v>0.85952404667389759</v>
      </c>
      <c r="AB132" s="4"/>
      <c r="AC132" s="6"/>
      <c r="AD132" s="27" t="s">
        <v>18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5"/>
      <c r="AM132" s="125"/>
      <c r="AN132" s="125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39" t="s">
        <v>385</v>
      </c>
      <c r="AU132" s="136">
        <f>BI130/(AU113+AP126)</f>
        <v>0.78181642740498758</v>
      </c>
      <c r="AV132" s="4"/>
      <c r="AW132" s="27" t="s">
        <v>18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5"/>
      <c r="BF132" s="125"/>
      <c r="BG132" s="125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39" t="s">
        <v>385</v>
      </c>
      <c r="BN132" s="136">
        <f>CB130/(BM113+BI126)</f>
        <v>0.86811834757376105</v>
      </c>
      <c r="BO132" s="4"/>
      <c r="BP132" s="27" t="s">
        <v>18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5"/>
      <c r="BY132" s="125"/>
      <c r="BZ132" s="125"/>
      <c r="CA132" s="27">
        <f>SUM(CA130:CA131)</f>
        <v>12.027717183038042</v>
      </c>
      <c r="CB132" s="27">
        <f>SUM(CB130:CB131)</f>
        <v>25297.051877142174</v>
      </c>
      <c r="CC132" s="112"/>
      <c r="CD132" s="112"/>
      <c r="CF132" s="139" t="s">
        <v>385</v>
      </c>
      <c r="CG132" s="136">
        <f>CW130/(CB126+CB152+CB140)</f>
        <v>0.1222893219234706</v>
      </c>
      <c r="CH132" s="112"/>
      <c r="CI132" s="112"/>
      <c r="CK132" s="6"/>
      <c r="CL132" s="6" t="s">
        <v>318</v>
      </c>
      <c r="CM132" s="6"/>
      <c r="CN132" s="112" t="s">
        <v>325</v>
      </c>
      <c r="CO132" s="112" t="s">
        <v>326</v>
      </c>
      <c r="CP132" s="1" t="s">
        <v>577</v>
      </c>
      <c r="CQ132" s="6"/>
      <c r="CR132" s="6"/>
      <c r="CS132" s="112"/>
      <c r="CT132" s="112"/>
      <c r="CU132" s="112"/>
      <c r="CV132" s="112" t="s">
        <v>327</v>
      </c>
      <c r="CW132" s="6" t="s">
        <v>319</v>
      </c>
      <c r="DU132" s="4"/>
      <c r="DV132" s="4"/>
      <c r="DW132" s="138" t="s">
        <v>556</v>
      </c>
      <c r="DX132" s="102">
        <f>EM126/(CW126+CW206+CA42)</f>
        <v>0.99174963463121601</v>
      </c>
      <c r="DY132" s="4"/>
      <c r="DZ132" s="408"/>
      <c r="EA132" s="1" t="s">
        <v>122</v>
      </c>
      <c r="EB132" s="171">
        <f>CV126</f>
        <v>111.00813284002646</v>
      </c>
      <c r="EC132" s="171">
        <f t="shared" si="46"/>
        <v>8.4462567153246265E-2</v>
      </c>
      <c r="ED132" s="161">
        <f>MW_CaO</f>
        <v>5.6077400000000006E-2</v>
      </c>
      <c r="EE132" s="161">
        <f>EB132/ED132</f>
        <v>1979.5520626852608</v>
      </c>
      <c r="EF132" s="161">
        <f>h_CaO</f>
        <v>-634.9</v>
      </c>
      <c r="EG132" s="161">
        <f>b_ch_CaO</f>
        <v>122.25799999999992</v>
      </c>
      <c r="EH132" s="161">
        <f>EE132/$EE$134</f>
        <v>7.2784311102701241E-2</v>
      </c>
      <c r="EI132" s="172">
        <f t="shared" si="47"/>
        <v>-2.6202548538354575</v>
      </c>
      <c r="EJ132" s="172">
        <f>RT0*EI132</f>
        <v>-6.4918700587268221</v>
      </c>
      <c r="EK132" s="172">
        <f t="shared" si="48"/>
        <v>115.76612994127311</v>
      </c>
      <c r="EL132" s="172">
        <f t="shared" si="49"/>
        <v>8.4259580168013581</v>
      </c>
      <c r="EM132" s="172">
        <f>$EE$134*EL132</f>
        <v>229165.08131433709</v>
      </c>
      <c r="EP132" s="4"/>
      <c r="EQ132" s="4"/>
      <c r="ER132" s="138" t="s">
        <v>556</v>
      </c>
      <c r="ES132" s="102">
        <f>SUM(FM104,FM126,FM141)/SUM(EU117,EM101,EM114,EM126,EM140,EM152)</f>
        <v>0.37943022424115741</v>
      </c>
      <c r="FA132" s="1"/>
      <c r="FB132" s="1" t="s">
        <v>88</v>
      </c>
      <c r="FC132" s="1"/>
      <c r="FD132" s="3" t="s">
        <v>90</v>
      </c>
      <c r="FE132" s="3" t="s">
        <v>86</v>
      </c>
      <c r="FF132" s="1" t="s">
        <v>577</v>
      </c>
      <c r="FG132" s="4"/>
      <c r="FH132" s="4"/>
      <c r="FL132" s="3" t="s">
        <v>95</v>
      </c>
      <c r="FM132" s="1" t="s">
        <v>92</v>
      </c>
    </row>
    <row r="133" spans="2:171" ht="19" thickBot="1" x14ac:dyDescent="0.3">
      <c r="J133" s="6"/>
      <c r="K133" s="6" t="s">
        <v>318</v>
      </c>
      <c r="L133" s="6"/>
      <c r="M133" s="112" t="s">
        <v>325</v>
      </c>
      <c r="N133" s="112" t="s">
        <v>326</v>
      </c>
      <c r="O133" s="1" t="s">
        <v>577</v>
      </c>
      <c r="P133" s="6"/>
      <c r="Q133" s="6"/>
      <c r="R133" s="112"/>
      <c r="S133" s="112"/>
      <c r="T133" s="112"/>
      <c r="U133" s="112" t="s">
        <v>327</v>
      </c>
      <c r="V133" s="6" t="s">
        <v>319</v>
      </c>
      <c r="W133" s="6"/>
      <c r="X133" s="6"/>
      <c r="Y133" s="6"/>
      <c r="Z133" s="6"/>
      <c r="AA133" s="6"/>
      <c r="AB133" s="6"/>
      <c r="AC133" s="6"/>
      <c r="AD133" s="6"/>
      <c r="AE133" s="6" t="s">
        <v>318</v>
      </c>
      <c r="AF133" s="6"/>
      <c r="AG133" s="112" t="s">
        <v>325</v>
      </c>
      <c r="AH133" s="112" t="s">
        <v>326</v>
      </c>
      <c r="AI133" s="1" t="s">
        <v>577</v>
      </c>
      <c r="AJ133" s="6"/>
      <c r="AK133" s="6"/>
      <c r="AL133" s="112"/>
      <c r="AM133" s="112"/>
      <c r="AN133" s="112"/>
      <c r="AO133" s="112" t="s">
        <v>327</v>
      </c>
      <c r="AP133" s="6" t="s">
        <v>319</v>
      </c>
      <c r="AQ133" s="6"/>
      <c r="AR133" s="6"/>
      <c r="AS133" s="4"/>
      <c r="AT133" s="6"/>
      <c r="AU133" s="6"/>
      <c r="AV133" s="6"/>
      <c r="AW133" s="6"/>
      <c r="AX133" s="6" t="s">
        <v>318</v>
      </c>
      <c r="AY133" s="6"/>
      <c r="AZ133" s="112" t="s">
        <v>325</v>
      </c>
      <c r="BA133" s="112" t="s">
        <v>326</v>
      </c>
      <c r="BB133" s="1" t="s">
        <v>577</v>
      </c>
      <c r="BC133" s="6"/>
      <c r="BD133" s="6"/>
      <c r="BE133" s="112"/>
      <c r="BF133" s="112"/>
      <c r="BG133" s="112"/>
      <c r="BH133" s="112" t="s">
        <v>327</v>
      </c>
      <c r="BI133" s="6" t="s">
        <v>319</v>
      </c>
      <c r="BJ133" s="6"/>
      <c r="BK133" s="6"/>
      <c r="BL133" s="4"/>
      <c r="BM133" s="6"/>
      <c r="BN133" s="6"/>
      <c r="BO133" s="6"/>
      <c r="BP133" s="6"/>
      <c r="BQ133" s="6" t="s">
        <v>318</v>
      </c>
      <c r="BR133" s="6"/>
      <c r="BS133" s="112" t="s">
        <v>325</v>
      </c>
      <c r="BT133" s="112" t="s">
        <v>326</v>
      </c>
      <c r="BU133" s="1" t="s">
        <v>577</v>
      </c>
      <c r="BV133" s="6"/>
      <c r="BW133" s="6"/>
      <c r="BX133" s="112"/>
      <c r="BY133" s="112"/>
      <c r="BZ133" s="112"/>
      <c r="CA133" s="112" t="s">
        <v>327</v>
      </c>
      <c r="CB133" s="6" t="s">
        <v>319</v>
      </c>
      <c r="CC133" s="112"/>
      <c r="CD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DW133" s="139" t="s">
        <v>385</v>
      </c>
      <c r="DX133" s="98">
        <f>EM130/(CW126+CW206+CA42)</f>
        <v>1.0976920273227081E-2</v>
      </c>
      <c r="DY133" s="4"/>
      <c r="DZ133" s="408"/>
      <c r="EA133" s="302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1">
        <f>CV206</f>
        <v>203.27980063725872</v>
      </c>
      <c r="EC133" s="171">
        <f t="shared" si="46"/>
        <v>0.15466915236711484</v>
      </c>
      <c r="ED133" s="161">
        <f>MW_Coke</f>
        <v>217.63525920401193</v>
      </c>
      <c r="EE133" s="161">
        <f>mol_C_to_BF</f>
        <v>17721.029348224434</v>
      </c>
      <c r="EF133" s="161">
        <f>NCV_dry_anthrocite</f>
        <v>30080</v>
      </c>
      <c r="EG133" s="161">
        <f>(b_ch_coke*EB133)/EE133</f>
        <v>361.62056363730647</v>
      </c>
      <c r="EH133" s="161">
        <f>EE133/$EE$134</f>
        <v>0.65156806807679313</v>
      </c>
      <c r="EI133" s="172">
        <f t="shared" si="47"/>
        <v>-0.42837340886205988</v>
      </c>
      <c r="EJ133" s="172">
        <f>RT0*EI133</f>
        <v>-1.0613259633411913</v>
      </c>
      <c r="EK133" s="172">
        <f t="shared" si="48"/>
        <v>360.5592376739653</v>
      </c>
      <c r="EL133" s="172">
        <f t="shared" si="49"/>
        <v>234.92888591846685</v>
      </c>
      <c r="EM133" s="172">
        <f>$EE$134*EL133</f>
        <v>6389480.8325937679</v>
      </c>
      <c r="ER133" s="139" t="s">
        <v>385</v>
      </c>
      <c r="ES133" s="98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1" t="s">
        <v>542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1" t="s">
        <v>542</v>
      </c>
      <c r="BN134" s="4"/>
      <c r="BO134" s="4"/>
      <c r="BP134" s="4"/>
      <c r="BQ134" s="4"/>
      <c r="BR134" s="4"/>
      <c r="BS134" s="4"/>
      <c r="BW134" s="4"/>
      <c r="BX134" s="4"/>
      <c r="CB134" s="112"/>
      <c r="DT134" s="4"/>
      <c r="DU134" s="4"/>
      <c r="DV134" s="4"/>
      <c r="DW134" s="4"/>
      <c r="DX134" s="4"/>
      <c r="DY134" s="4"/>
      <c r="EA134" s="1" t="s">
        <v>18</v>
      </c>
      <c r="EB134" s="168">
        <f>SUM(EB130:EB133)</f>
        <v>1314.2879334772852</v>
      </c>
      <c r="EC134" s="168"/>
      <c r="ED134" s="169">
        <f>SUM(ED130:ED133)</f>
        <v>217.91110910401193</v>
      </c>
      <c r="EE134" s="169">
        <f>SUM(EE130:EE133)</f>
        <v>27197.510462001112</v>
      </c>
      <c r="EF134" s="17" cm="1">
        <f t="array" ref="EF134">SUM(EB130:EB133*EF130:EF133) / EB134</f>
        <v>3963.8871338071585</v>
      </c>
      <c r="EG134" s="169"/>
      <c r="EH134" s="169">
        <f>SUM(EH130:EH133)</f>
        <v>1</v>
      </c>
      <c r="EI134" s="169"/>
      <c r="EJ134" s="169"/>
      <c r="EK134" s="169"/>
      <c r="EL134" s="169"/>
      <c r="EM134" s="169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1" t="s">
        <v>542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544</v>
      </c>
      <c r="AS135" s="1" t="s">
        <v>544</v>
      </c>
      <c r="AT135" s="1" t="s">
        <v>544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544</v>
      </c>
      <c r="BL135" s="1" t="s">
        <v>544</v>
      </c>
      <c r="BM135" s="1" t="s">
        <v>544</v>
      </c>
      <c r="BN135" s="4"/>
      <c r="BO135" s="4"/>
      <c r="BP135" s="4"/>
      <c r="BQ135" s="4"/>
      <c r="BR135" s="4"/>
      <c r="BS135" s="4"/>
      <c r="BW135" s="4"/>
      <c r="BX135" s="4"/>
      <c r="EB135" s="173" t="s">
        <v>88</v>
      </c>
      <c r="EC135" s="173"/>
      <c r="ED135" s="161" t="s">
        <v>90</v>
      </c>
      <c r="EE135" s="161" t="s">
        <v>86</v>
      </c>
      <c r="EF135" s="1" t="s">
        <v>577</v>
      </c>
      <c r="EG135" s="174"/>
      <c r="EH135" s="174"/>
      <c r="EI135" s="161"/>
      <c r="EJ135" s="161"/>
      <c r="EK135" s="161"/>
      <c r="EL135" s="161" t="s">
        <v>95</v>
      </c>
      <c r="EM135" s="172" t="s">
        <v>92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544</v>
      </c>
      <c r="Z136" s="1" t="s">
        <v>544</v>
      </c>
      <c r="AA136" s="1" t="s">
        <v>544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543</v>
      </c>
      <c r="AS136" s="3" t="s">
        <v>543</v>
      </c>
      <c r="AT136" s="3" t="s">
        <v>543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543</v>
      </c>
      <c r="BL136" s="3" t="s">
        <v>543</v>
      </c>
      <c r="BM136" s="3" t="s">
        <v>543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1" t="s">
        <v>542</v>
      </c>
      <c r="CH136" s="1"/>
      <c r="CI136" s="1"/>
      <c r="CL136" s="4"/>
      <c r="CM136" s="4"/>
      <c r="CV136" s="63" t="s">
        <v>1</v>
      </c>
      <c r="CW136" s="58" t="s">
        <v>0</v>
      </c>
      <c r="EG136" s="171"/>
      <c r="EH136" s="161"/>
      <c r="EI136" s="161"/>
      <c r="EJ136" s="161"/>
      <c r="EK136" s="161"/>
      <c r="EL136" s="161"/>
      <c r="EM136" s="161"/>
      <c r="EN136" s="161"/>
      <c r="EO136" s="161"/>
      <c r="EP136" s="161"/>
      <c r="FC136" s="4"/>
      <c r="FD136" s="1"/>
      <c r="FE136" s="1"/>
      <c r="FF136" s="1"/>
      <c r="FI136" s="4"/>
      <c r="FJ136" s="4"/>
    </row>
    <row r="137" spans="2:171" ht="19" thickBot="1" x14ac:dyDescent="0.3">
      <c r="B137" s="405" t="s">
        <v>453</v>
      </c>
      <c r="C137" s="405"/>
      <c r="D137" s="405"/>
      <c r="E137" s="405"/>
      <c r="F137" s="405"/>
      <c r="G137" s="405"/>
      <c r="H137" s="405"/>
      <c r="T137" s="4"/>
      <c r="U137" s="4"/>
      <c r="V137" s="4"/>
      <c r="W137" s="4"/>
      <c r="X137" s="4" t="s">
        <v>59</v>
      </c>
      <c r="Y137" s="3" t="s">
        <v>543</v>
      </c>
      <c r="Z137" s="3" t="s">
        <v>543</v>
      </c>
      <c r="AA137" s="3" t="s">
        <v>543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82">
        <f>AH130</f>
        <v>1979.5520626852608</v>
      </c>
      <c r="AS137" s="82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82">
        <f>BA130</f>
        <v>1979.5520626852608</v>
      </c>
      <c r="BL137" s="82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544</v>
      </c>
      <c r="CF137" s="1" t="s">
        <v>544</v>
      </c>
      <c r="CG137" s="1" t="s">
        <v>544</v>
      </c>
      <c r="CH137" s="1"/>
      <c r="CI137" s="1"/>
      <c r="CL137" s="4"/>
      <c r="CM137" s="4"/>
      <c r="CV137" s="65" t="s">
        <v>88</v>
      </c>
      <c r="CW137" s="64" t="s">
        <v>92</v>
      </c>
      <c r="EB137" s="171"/>
      <c r="EC137" s="171"/>
      <c r="ED137" s="161"/>
      <c r="EE137" s="161"/>
      <c r="EF137" s="161"/>
      <c r="EG137" s="161"/>
      <c r="EH137" s="161"/>
      <c r="EI137" s="161"/>
      <c r="EJ137" s="161"/>
      <c r="EK137" s="161"/>
      <c r="EL137" s="161"/>
      <c r="EM137" s="161"/>
      <c r="EP137" s="4"/>
      <c r="EQ137" s="3" t="s">
        <v>2</v>
      </c>
      <c r="ER137" s="3" t="s">
        <v>3</v>
      </c>
      <c r="ES137" s="131" t="s">
        <v>542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418"/>
      <c r="C138" s="418"/>
      <c r="D138" s="418"/>
      <c r="E138" s="418"/>
      <c r="F138" s="418"/>
      <c r="G138" s="418"/>
      <c r="H138" s="418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30</v>
      </c>
      <c r="Y138" s="82">
        <f>N130</f>
        <v>1979.5520626852608</v>
      </c>
      <c r="Z138" s="82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82">
        <f>AH130+AH131</f>
        <v>2103.2296895721047</v>
      </c>
      <c r="AS138" s="82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82">
        <f>BA130+BA131</f>
        <v>2103.2296895721047</v>
      </c>
      <c r="BL138" s="82">
        <f>BT130+BT131</f>
        <v>2103.2296895721047</v>
      </c>
      <c r="BM138" s="3">
        <f>BK138-BL138</f>
        <v>0</v>
      </c>
      <c r="BN138" s="4"/>
      <c r="BO138" s="4"/>
      <c r="BZ138" s="156" t="s">
        <v>332</v>
      </c>
      <c r="CA138" s="154" t="s">
        <v>1</v>
      </c>
      <c r="CB138" s="58" t="s">
        <v>0</v>
      </c>
      <c r="CD138" s="4" t="s">
        <v>59</v>
      </c>
      <c r="CE138" s="3" t="s">
        <v>543</v>
      </c>
      <c r="CF138" s="3" t="s">
        <v>543</v>
      </c>
      <c r="CG138" s="3" t="s">
        <v>543</v>
      </c>
      <c r="CH138" s="1"/>
      <c r="CI138" s="1"/>
      <c r="CJ138" s="1"/>
      <c r="CK138" s="1"/>
      <c r="CL138" s="1"/>
      <c r="CO138" s="4"/>
      <c r="CP138" s="4"/>
      <c r="CQ138" s="4"/>
      <c r="CR138" s="3" t="s">
        <v>493</v>
      </c>
      <c r="CV138" s="50">
        <f>CL145</f>
        <v>774.43493010294708</v>
      </c>
      <c r="CW138" s="48">
        <f>CW145</f>
        <v>87222.135331413883</v>
      </c>
      <c r="EB138" s="171"/>
      <c r="EC138" s="171"/>
      <c r="ED138" s="161"/>
      <c r="EE138" s="161"/>
      <c r="EF138" s="161"/>
      <c r="EG138" s="161"/>
      <c r="EH138" s="161"/>
      <c r="EI138" s="161"/>
      <c r="EJ138" s="161"/>
      <c r="EK138" s="161"/>
      <c r="EL138" s="175" t="s">
        <v>1</v>
      </c>
      <c r="EM138" s="176" t="s">
        <v>0</v>
      </c>
      <c r="EP138" s="4"/>
      <c r="EQ138" s="1" t="s">
        <v>544</v>
      </c>
      <c r="ER138" s="1" t="s">
        <v>544</v>
      </c>
      <c r="ES138" s="1" t="s">
        <v>544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261</v>
      </c>
      <c r="C139" s="113" t="s">
        <v>260</v>
      </c>
      <c r="D139" s="113" t="s">
        <v>232</v>
      </c>
      <c r="E139" s="113" t="s">
        <v>232</v>
      </c>
      <c r="F139" s="113" t="s">
        <v>232</v>
      </c>
      <c r="G139" s="114" t="s">
        <v>316</v>
      </c>
      <c r="H139" s="113" t="s">
        <v>310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88</v>
      </c>
      <c r="V139" s="64" t="s">
        <v>92</v>
      </c>
      <c r="W139" s="4"/>
      <c r="X139" s="3" t="s">
        <v>17</v>
      </c>
      <c r="Y139" s="82">
        <f>N130+N131+(12*N144)+(8*N155)</f>
        <v>2103.6726491469517</v>
      </c>
      <c r="Z139" s="82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306</v>
      </c>
      <c r="AR139" s="82">
        <f>AH131</f>
        <v>123.6776268868441</v>
      </c>
      <c r="AS139" s="82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306</v>
      </c>
      <c r="BK139" s="82">
        <f>BA131</f>
        <v>123.6776268868441</v>
      </c>
      <c r="BL139" s="82">
        <f>BT131</f>
        <v>123.6776268868441</v>
      </c>
      <c r="BM139" s="3">
        <f t="shared" ref="BM139:BM140" si="53">BK139-BL139</f>
        <v>0</v>
      </c>
      <c r="BN139" s="4"/>
      <c r="BO139" s="4"/>
      <c r="BZ139" s="157" t="s">
        <v>62</v>
      </c>
      <c r="CA139" s="23" t="s">
        <v>88</v>
      </c>
      <c r="CB139" s="64" t="s">
        <v>92</v>
      </c>
      <c r="CD139" s="3" t="s">
        <v>30</v>
      </c>
      <c r="CE139" s="82">
        <f>BT130</f>
        <v>1979.5520626852608</v>
      </c>
      <c r="CF139" s="82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1"/>
      <c r="EC139" s="171"/>
      <c r="ED139" s="161"/>
      <c r="EE139" s="161"/>
      <c r="EF139" s="161"/>
      <c r="EG139" s="161"/>
      <c r="EH139" s="161"/>
      <c r="EI139" s="161"/>
      <c r="EJ139" s="161"/>
      <c r="EK139" s="161"/>
      <c r="EL139" s="177" t="s">
        <v>88</v>
      </c>
      <c r="EM139" s="178" t="s">
        <v>92</v>
      </c>
      <c r="EP139" s="4" t="s">
        <v>59</v>
      </c>
      <c r="EQ139" s="3" t="s">
        <v>543</v>
      </c>
      <c r="ER139" s="3" t="s">
        <v>543</v>
      </c>
      <c r="ES139" s="3" t="s">
        <v>543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97</v>
      </c>
      <c r="C140" s="15" t="s">
        <v>97</v>
      </c>
      <c r="D140" s="113" t="s">
        <v>322</v>
      </c>
      <c r="E140" s="113" t="s">
        <v>323</v>
      </c>
      <c r="F140" s="113" t="s">
        <v>47</v>
      </c>
      <c r="G140" s="114" t="s">
        <v>97</v>
      </c>
      <c r="H140" s="113" t="s">
        <v>47</v>
      </c>
      <c r="J140" s="4"/>
      <c r="K140" s="4"/>
      <c r="L140" s="4"/>
      <c r="M140" s="4"/>
      <c r="N140" s="4"/>
      <c r="O140" s="4"/>
      <c r="P140" s="4"/>
      <c r="Q140" s="197" t="s">
        <v>533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306</v>
      </c>
      <c r="Y140" s="82">
        <f>N131</f>
        <v>123.6776268868441</v>
      </c>
      <c r="Z140" s="82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28</v>
      </c>
      <c r="AR140" s="82">
        <f>3*(AH130+AH131)</f>
        <v>6309.6890687163141</v>
      </c>
      <c r="AS140" s="82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82">
        <f>3*(BA130+BA131)</f>
        <v>6309.6890687163141</v>
      </c>
      <c r="BL140" s="82">
        <f>3*(BT130+BT131)</f>
        <v>6309.6890687163141</v>
      </c>
      <c r="BM140" s="3">
        <f t="shared" si="53"/>
        <v>0</v>
      </c>
      <c r="BN140" s="4"/>
      <c r="BO140" s="4"/>
      <c r="BW140" s="3" t="s">
        <v>487</v>
      </c>
      <c r="BZ140" s="121">
        <v>298.14999999999998</v>
      </c>
      <c r="CA140" s="155">
        <f>BQ146</f>
        <v>644.2421909044931</v>
      </c>
      <c r="CB140" s="48">
        <f>CB146</f>
        <v>2671.5132120132448</v>
      </c>
      <c r="CD140" s="3" t="s">
        <v>17</v>
      </c>
      <c r="CE140" s="82">
        <f>BT130+BT131+BT156</f>
        <v>4448.8373784188816</v>
      </c>
      <c r="CF140" s="82">
        <f>CO143</f>
        <v>4448.8373784188816</v>
      </c>
      <c r="CG140" s="3">
        <f>CE140-CF140</f>
        <v>0</v>
      </c>
      <c r="CK140" s="4"/>
      <c r="CL140" s="1" t="s">
        <v>516</v>
      </c>
      <c r="CM140" s="1" t="s">
        <v>517</v>
      </c>
      <c r="CN140" s="1" t="s">
        <v>646</v>
      </c>
      <c r="CO140" s="1" t="s">
        <v>84</v>
      </c>
      <c r="CP140" s="1" t="s">
        <v>576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518</v>
      </c>
      <c r="CW140" s="1" t="s">
        <v>49</v>
      </c>
      <c r="EB140" s="171"/>
      <c r="EC140" s="171"/>
      <c r="ED140" s="161"/>
      <c r="EE140" s="161"/>
      <c r="EF140" s="161"/>
      <c r="EG140" s="161"/>
      <c r="EH140" s="161" t="s">
        <v>487</v>
      </c>
      <c r="EI140" s="161"/>
      <c r="EJ140" s="161"/>
      <c r="EK140" s="161"/>
      <c r="EL140" s="166">
        <f>EB146</f>
        <v>2852.0490535886452</v>
      </c>
      <c r="EM140" s="167">
        <f>EM146</f>
        <v>11826.742854693757</v>
      </c>
      <c r="EP140" s="3" t="s">
        <v>15</v>
      </c>
      <c r="EQ140" s="82">
        <f>2*EE130</f>
        <v>11034.753976812313</v>
      </c>
      <c r="ER140" s="82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88</v>
      </c>
      <c r="FM140" s="64" t="s">
        <v>92</v>
      </c>
    </row>
    <row r="141" spans="2:171" ht="19.25" customHeight="1" thickBot="1" x14ac:dyDescent="0.3">
      <c r="B141" s="15" t="s">
        <v>275</v>
      </c>
      <c r="C141" s="113" t="s">
        <v>267</v>
      </c>
      <c r="D141" s="15">
        <v>5570</v>
      </c>
      <c r="E141" s="113">
        <f t="shared" ref="E141:E148" si="55">D141*Btu_to_kJ</f>
        <v>5876.6842000000006</v>
      </c>
      <c r="F141" s="113">
        <f t="shared" ref="F141:F148" si="56">E141*($AE$131/1000)</f>
        <v>61.28077095942907</v>
      </c>
      <c r="G141" s="113">
        <v>1.06</v>
      </c>
      <c r="H141" s="113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82">
        <f>(3*(N130+N131))+(2*N167)</f>
        <v>6311.0055270044713</v>
      </c>
      <c r="Z141" s="82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88</v>
      </c>
      <c r="AP141" s="64" t="s">
        <v>92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306</v>
      </c>
      <c r="CE141" s="82">
        <f>BT131</f>
        <v>123.6776268868441</v>
      </c>
      <c r="CF141" s="82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87</v>
      </c>
      <c r="CM141" s="4" t="s">
        <v>279</v>
      </c>
      <c r="CN141" s="2" t="s">
        <v>89</v>
      </c>
      <c r="CO141" s="2" t="s">
        <v>85</v>
      </c>
      <c r="CP141" s="1" t="s">
        <v>94</v>
      </c>
      <c r="CQ141" s="2" t="s">
        <v>94</v>
      </c>
      <c r="CR141" s="2" t="s">
        <v>24</v>
      </c>
      <c r="CS141" s="2" t="s">
        <v>97</v>
      </c>
      <c r="CT141" s="2" t="s">
        <v>94</v>
      </c>
      <c r="CU141" s="2" t="s">
        <v>94</v>
      </c>
      <c r="CV141" s="2" t="s">
        <v>93</v>
      </c>
      <c r="CW141" s="2" t="s">
        <v>91</v>
      </c>
      <c r="EB141" s="171"/>
      <c r="EC141" s="171"/>
      <c r="ED141" s="161"/>
      <c r="EE141" s="161"/>
      <c r="EF141" s="161"/>
      <c r="EG141" s="161"/>
      <c r="EH141" s="161"/>
      <c r="EI141" s="161"/>
      <c r="EJ141" s="161"/>
      <c r="EK141" s="161"/>
      <c r="EL141" s="161"/>
      <c r="EM141" s="161"/>
      <c r="EP141" s="3" t="s">
        <v>29</v>
      </c>
      <c r="EQ141" s="277">
        <f>EE131</f>
        <v>1979.5520626852608</v>
      </c>
      <c r="ER141" s="82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514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275</v>
      </c>
      <c r="C142" s="15" t="s">
        <v>268</v>
      </c>
      <c r="D142" s="15">
        <v>5140</v>
      </c>
      <c r="E142" s="113">
        <f t="shared" si="55"/>
        <v>5423.0084000000006</v>
      </c>
      <c r="F142" s="113">
        <f t="shared" si="56"/>
        <v>56.549939449096122</v>
      </c>
      <c r="G142" s="113">
        <v>1.06</v>
      </c>
      <c r="H142" s="113">
        <f t="shared" si="57"/>
        <v>59.942935816041896</v>
      </c>
      <c r="J142" s="4"/>
      <c r="K142" s="3" t="s">
        <v>521</v>
      </c>
      <c r="L142" s="1" t="s">
        <v>516</v>
      </c>
      <c r="M142" s="1" t="s">
        <v>646</v>
      </c>
      <c r="N142" s="1" t="s">
        <v>84</v>
      </c>
      <c r="O142" s="1" t="s">
        <v>576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518</v>
      </c>
      <c r="V142" s="1" t="s">
        <v>49</v>
      </c>
      <c r="W142" s="4"/>
      <c r="X142" s="4" t="s">
        <v>181</v>
      </c>
      <c r="Y142" s="272">
        <f>(23*N144)+(18*N155)</f>
        <v>0.86107827692526073</v>
      </c>
      <c r="Z142" s="27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504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05" t="s">
        <v>481</v>
      </c>
      <c r="BL142" s="405"/>
      <c r="BM142" s="405"/>
      <c r="BN142" s="405"/>
      <c r="BP142" s="4"/>
      <c r="BQ142" s="1" t="s">
        <v>516</v>
      </c>
      <c r="BR142" s="1" t="s">
        <v>517</v>
      </c>
      <c r="BS142" s="1" t="s">
        <v>646</v>
      </c>
      <c r="BT142" s="1" t="s">
        <v>84</v>
      </c>
      <c r="BU142" s="1" t="s">
        <v>576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518</v>
      </c>
      <c r="CB142" s="1" t="s">
        <v>49</v>
      </c>
      <c r="CC142" s="1"/>
      <c r="CD142" s="3" t="s">
        <v>28</v>
      </c>
      <c r="CE142" s="82">
        <f>(3*BT130)+(3*BT131)+(2*BT144)</f>
        <v>15692.119824103422</v>
      </c>
      <c r="CF142" s="82">
        <f>CO118+CO130+(CO142)+(2*CO143)</f>
        <v>15692.119824103422</v>
      </c>
      <c r="CG142" s="3">
        <f t="shared" si="58"/>
        <v>0</v>
      </c>
      <c r="CJ142" s="400" t="s">
        <v>493</v>
      </c>
      <c r="CK142" s="17" t="s">
        <v>67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405" t="s">
        <v>481</v>
      </c>
      <c r="DW142" s="405"/>
      <c r="DX142" s="405"/>
      <c r="DY142" s="405"/>
      <c r="EA142" s="4"/>
      <c r="EB142" s="1" t="s">
        <v>516</v>
      </c>
      <c r="EC142" s="1" t="s">
        <v>517</v>
      </c>
      <c r="ED142" s="1" t="s">
        <v>646</v>
      </c>
      <c r="EE142" s="1" t="s">
        <v>84</v>
      </c>
      <c r="EF142" s="1" t="s">
        <v>576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518</v>
      </c>
      <c r="EM142" s="1" t="s">
        <v>49</v>
      </c>
      <c r="EN142" s="1"/>
      <c r="EP142" s="3" t="s">
        <v>30</v>
      </c>
      <c r="EQ142" s="277">
        <f>EE132</f>
        <v>1979.5520626852608</v>
      </c>
      <c r="ER142" s="82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275</v>
      </c>
      <c r="C143" s="15" t="s">
        <v>249</v>
      </c>
      <c r="D143" s="15">
        <f>3660+2040+1020+133</f>
        <v>6853</v>
      </c>
      <c r="E143" s="113">
        <f t="shared" si="55"/>
        <v>7230.3261800000009</v>
      </c>
      <c r="F143" s="113">
        <f t="shared" si="56"/>
        <v>75.396251954213184</v>
      </c>
      <c r="G143" s="113">
        <v>1.06</v>
      </c>
      <c r="H143" s="113">
        <f t="shared" si="57"/>
        <v>79.920027071465981</v>
      </c>
      <c r="J143" s="4" t="s">
        <v>40</v>
      </c>
      <c r="K143" s="3" t="s">
        <v>520</v>
      </c>
      <c r="L143" s="1" t="s">
        <v>87</v>
      </c>
      <c r="M143" s="1" t="s">
        <v>89</v>
      </c>
      <c r="N143" s="1" t="s">
        <v>85</v>
      </c>
      <c r="O143" s="1" t="s">
        <v>94</v>
      </c>
      <c r="P143" s="1" t="s">
        <v>566</v>
      </c>
      <c r="Q143" s="1" t="s">
        <v>24</v>
      </c>
      <c r="R143" s="1" t="s">
        <v>97</v>
      </c>
      <c r="S143" s="1" t="s">
        <v>94</v>
      </c>
      <c r="T143" s="1" t="s">
        <v>94</v>
      </c>
      <c r="U143" s="1" t="s">
        <v>93</v>
      </c>
      <c r="V143" s="1" t="s">
        <v>91</v>
      </c>
      <c r="W143" s="4"/>
      <c r="X143" s="4" t="s">
        <v>351</v>
      </c>
      <c r="Y143" s="272">
        <f>2*N168</f>
        <v>4.9498831634702833</v>
      </c>
      <c r="Z143" s="27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05"/>
      <c r="BL143" s="405"/>
      <c r="BM143" s="405"/>
      <c r="BN143" s="405"/>
      <c r="BO143" s="4"/>
      <c r="BP143" s="4" t="s">
        <v>40</v>
      </c>
      <c r="BQ143" s="1" t="s">
        <v>87</v>
      </c>
      <c r="BR143" s="4" t="s">
        <v>279</v>
      </c>
      <c r="BS143" s="2" t="s">
        <v>89</v>
      </c>
      <c r="BT143" s="2" t="s">
        <v>85</v>
      </c>
      <c r="BU143" s="1" t="s">
        <v>94</v>
      </c>
      <c r="BV143" s="2" t="s">
        <v>94</v>
      </c>
      <c r="BW143" s="2" t="s">
        <v>24</v>
      </c>
      <c r="BX143" s="2" t="s">
        <v>97</v>
      </c>
      <c r="BY143" s="2" t="s">
        <v>94</v>
      </c>
      <c r="BZ143" s="2" t="s">
        <v>94</v>
      </c>
      <c r="CA143" s="2" t="s">
        <v>93</v>
      </c>
      <c r="CB143" s="2" t="s">
        <v>91</v>
      </c>
      <c r="CD143" s="3" t="s">
        <v>351</v>
      </c>
      <c r="CE143" s="82">
        <f>(2*BT145)</f>
        <v>35277.939640255521</v>
      </c>
      <c r="CF143" s="82">
        <f>(2*CO144)</f>
        <v>35277.939640255521</v>
      </c>
      <c r="CG143" s="3">
        <f t="shared" si="58"/>
        <v>0</v>
      </c>
      <c r="CJ143" s="400"/>
      <c r="CK143" s="3" t="s">
        <v>546</v>
      </c>
      <c r="CL143" s="275">
        <f>CO2_Kiln_Out+CO2_Kiln_out_from_methane</f>
        <v>195.79244325673932</v>
      </c>
      <c r="CM143" s="275">
        <f>CL143/CL145</f>
        <v>0.25281974720679534</v>
      </c>
      <c r="CN143" s="275">
        <f>MW_CO2</f>
        <v>4.4009800000000002E-2</v>
      </c>
      <c r="CO143" s="275">
        <f>CL143/CN143</f>
        <v>4448.8373784188816</v>
      </c>
      <c r="CP143" s="275">
        <f>h_CO2</f>
        <v>-393.5</v>
      </c>
      <c r="CQ143" s="27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405"/>
      <c r="DW143" s="405"/>
      <c r="DX143" s="405"/>
      <c r="DY143" s="405"/>
      <c r="EA143" s="93" t="s">
        <v>40</v>
      </c>
      <c r="EB143" s="179" t="s">
        <v>87</v>
      </c>
      <c r="EC143" s="1" t="s">
        <v>519</v>
      </c>
      <c r="ED143" s="180" t="s">
        <v>89</v>
      </c>
      <c r="EE143" s="180" t="s">
        <v>85</v>
      </c>
      <c r="EF143" s="1" t="s">
        <v>94</v>
      </c>
      <c r="EG143" s="180" t="s">
        <v>94</v>
      </c>
      <c r="EH143" s="180" t="s">
        <v>24</v>
      </c>
      <c r="EI143" s="180" t="s">
        <v>97</v>
      </c>
      <c r="EJ143" s="180" t="s">
        <v>94</v>
      </c>
      <c r="EK143" s="180" t="s">
        <v>94</v>
      </c>
      <c r="EL143" s="180" t="s">
        <v>93</v>
      </c>
      <c r="EM143" s="180" t="s">
        <v>91</v>
      </c>
      <c r="EN143" s="1"/>
      <c r="EP143" s="3" t="s">
        <v>17</v>
      </c>
      <c r="EQ143" s="82">
        <f>(EE133/coke_C_coeff)+EE157+EE118+(10*EE105)</f>
        <v>20331.250270534823</v>
      </c>
      <c r="ER143" s="82">
        <f>FE145</f>
        <v>20331.250270534823</v>
      </c>
      <c r="ES143" s="3">
        <f t="shared" si="59"/>
        <v>0</v>
      </c>
      <c r="FA143" s="1"/>
      <c r="FB143" s="1" t="s">
        <v>516</v>
      </c>
      <c r="FC143" s="1" t="s">
        <v>517</v>
      </c>
      <c r="FD143" s="1" t="s">
        <v>646</v>
      </c>
      <c r="FE143" s="1" t="s">
        <v>84</v>
      </c>
      <c r="FF143" s="1" t="s">
        <v>576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518</v>
      </c>
      <c r="FM143" s="1" t="s">
        <v>49</v>
      </c>
    </row>
    <row r="144" spans="2:171" ht="18" customHeight="1" x14ac:dyDescent="0.25">
      <c r="B144" s="15" t="s">
        <v>275</v>
      </c>
      <c r="C144" s="15" t="s">
        <v>269</v>
      </c>
      <c r="D144" s="15">
        <f>3100</f>
        <v>3100</v>
      </c>
      <c r="E144" s="113">
        <f t="shared" si="55"/>
        <v>3270.6860000000001</v>
      </c>
      <c r="F144" s="113">
        <f t="shared" si="56"/>
        <v>34.105994609377035</v>
      </c>
      <c r="G144" s="113">
        <v>1.06</v>
      </c>
      <c r="H144" s="113">
        <f t="shared" si="57"/>
        <v>36.152354285939658</v>
      </c>
      <c r="I144" s="268" t="s">
        <v>533</v>
      </c>
      <c r="J144" s="62" t="s">
        <v>456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516</v>
      </c>
      <c r="AF144" s="1" t="s">
        <v>517</v>
      </c>
      <c r="AG144" s="1" t="s">
        <v>646</v>
      </c>
      <c r="AH144" s="1" t="s">
        <v>84</v>
      </c>
      <c r="AI144" s="1" t="s">
        <v>576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518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00" t="s">
        <v>487</v>
      </c>
      <c r="BP144" s="8" t="s">
        <v>299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181</v>
      </c>
      <c r="CE144" s="82">
        <f>(4*BT156)</f>
        <v>9382.4307553871076</v>
      </c>
      <c r="CF144" s="82">
        <f>(2*CO142)</f>
        <v>9382.4307553871076</v>
      </c>
      <c r="CG144" s="3">
        <f t="shared" si="58"/>
        <v>0</v>
      </c>
      <c r="CJ144" s="400"/>
      <c r="CK144" s="7" t="s">
        <v>66</v>
      </c>
      <c r="CL144" s="27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400" t="s">
        <v>487</v>
      </c>
      <c r="EA144" s="1" t="s">
        <v>299</v>
      </c>
      <c r="EB144" s="171">
        <f>(EE105*O2_Oil_molcoeff*MW_O2)+(EE118*O2_Naturalgas_molcoeff*MW_O2) + O2_in_BF_for_COG+O2_in_BF_for_coke+O2_in_BF</f>
        <v>664.54882131744762</v>
      </c>
      <c r="EC144" s="168">
        <f>EB144/EB146</f>
        <v>0.23300750051310176</v>
      </c>
      <c r="ED144" s="247">
        <f>MW_O2</f>
        <v>3.1998800000000001E-2</v>
      </c>
      <c r="EE144" s="161">
        <f>EB144/ED144</f>
        <v>20767.929463525121</v>
      </c>
      <c r="EF144" s="27">
        <f>h_O2</f>
        <v>0</v>
      </c>
      <c r="EG144" s="161">
        <f>b_ch_O2</f>
        <v>4</v>
      </c>
      <c r="EH144" s="161">
        <f>EE144/$EE$146</f>
        <v>0.21008403361344541</v>
      </c>
      <c r="EI144" s="172">
        <f>LN(EH144)</f>
        <v>-1.5602476682433284</v>
      </c>
      <c r="EJ144" s="172">
        <f>RT0*EI144</f>
        <v>-3.8656259359049594</v>
      </c>
      <c r="EK144" s="172">
        <f>EG144+EJ144</f>
        <v>0.1343740640950406</v>
      </c>
      <c r="EL144" s="172">
        <f>EK144*EH144</f>
        <v>2.8229845398117778E-2</v>
      </c>
      <c r="EM144" s="172">
        <f>$EE$146*EL144</f>
        <v>2790.671084853007</v>
      </c>
      <c r="EP144" s="3" t="s">
        <v>28</v>
      </c>
      <c r="EQ144" s="82">
        <f>(3*EE130)+(2*EE131)+EE132+(2*EE144)+(2*EE158)+(EE133/coke_O_coeff)</f>
        <v>64219.066359849749</v>
      </c>
      <c r="ER144" s="82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87</v>
      </c>
      <c r="FC144" s="1" t="s">
        <v>519</v>
      </c>
      <c r="FD144" s="1" t="s">
        <v>89</v>
      </c>
      <c r="FE144" s="1" t="s">
        <v>85</v>
      </c>
      <c r="FF144" s="1" t="s">
        <v>94</v>
      </c>
      <c r="FG144" s="1" t="s">
        <v>94</v>
      </c>
      <c r="FH144" s="1" t="s">
        <v>24</v>
      </c>
      <c r="FI144" s="1" t="s">
        <v>97</v>
      </c>
      <c r="FJ144" s="1" t="s">
        <v>94</v>
      </c>
      <c r="FK144" s="1" t="s">
        <v>94</v>
      </c>
      <c r="FL144" s="1" t="s">
        <v>93</v>
      </c>
      <c r="FM144" s="1" t="s">
        <v>91</v>
      </c>
    </row>
    <row r="145" spans="2:169" ht="18" x14ac:dyDescent="0.25">
      <c r="B145" s="15" t="s">
        <v>275</v>
      </c>
      <c r="C145" s="15" t="s">
        <v>270</v>
      </c>
      <c r="D145" s="15">
        <v>1060</v>
      </c>
      <c r="E145" s="113">
        <f t="shared" si="55"/>
        <v>1118.3636000000001</v>
      </c>
      <c r="F145" s="113">
        <f t="shared" si="56"/>
        <v>11.662049769657957</v>
      </c>
      <c r="G145" s="113">
        <v>1.06</v>
      </c>
      <c r="H145" s="113">
        <f t="shared" si="57"/>
        <v>12.361772755837434</v>
      </c>
      <c r="J145" s="17" t="s">
        <v>18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87</v>
      </c>
      <c r="AF145" s="4" t="s">
        <v>279</v>
      </c>
      <c r="AG145" s="2" t="s">
        <v>89</v>
      </c>
      <c r="AH145" s="2" t="s">
        <v>85</v>
      </c>
      <c r="AI145" s="1" t="s">
        <v>94</v>
      </c>
      <c r="AJ145" s="2" t="s">
        <v>94</v>
      </c>
      <c r="AK145" s="2" t="s">
        <v>24</v>
      </c>
      <c r="AL145" s="2" t="s">
        <v>97</v>
      </c>
      <c r="AM145" s="2" t="s">
        <v>94</v>
      </c>
      <c r="AN145" s="2" t="s">
        <v>94</v>
      </c>
      <c r="AO145" s="2" t="s">
        <v>93</v>
      </c>
      <c r="AP145" s="2" t="s">
        <v>91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00"/>
      <c r="BP145" s="60" t="s">
        <v>66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400"/>
      <c r="CK145" s="17" t="s">
        <v>18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400"/>
      <c r="EA145" s="60" t="s">
        <v>66</v>
      </c>
      <c r="EB145" s="181">
        <f>ED145*EE145</f>
        <v>2187.5002322711975</v>
      </c>
      <c r="EC145" s="181">
        <f>EB145/EB146</f>
        <v>0.76699249948689829</v>
      </c>
      <c r="ED145" s="253">
        <f>MW_N2</f>
        <v>2.801348E-2</v>
      </c>
      <c r="EE145" s="182">
        <f>N2_molcoeff*EE144</f>
        <v>78087.414782854452</v>
      </c>
      <c r="EF145" s="6">
        <f>h_N2</f>
        <v>0</v>
      </c>
      <c r="EG145" s="182">
        <f>b_ch_N2</f>
        <v>0.7</v>
      </c>
      <c r="EH145" s="182">
        <f>EE145/$EE$146</f>
        <v>0.7899159663865547</v>
      </c>
      <c r="EI145" s="180">
        <f>LN(EH145)</f>
        <v>-0.23582871084152537</v>
      </c>
      <c r="EJ145" s="180">
        <f>RT0*EI145</f>
        <v>-0.58428261077705967</v>
      </c>
      <c r="EK145" s="180">
        <f>EG145+EJ145</f>
        <v>0.11571738922294028</v>
      </c>
      <c r="EL145" s="180">
        <f>EK145*EH145</f>
        <v>9.1407013335767964E-2</v>
      </c>
      <c r="EM145" s="180">
        <f>$EE$146*EL145</f>
        <v>9036.0717698407498</v>
      </c>
      <c r="EP145" s="3" t="s">
        <v>181</v>
      </c>
      <c r="EQ145" s="82">
        <f>(20*EE105)+(4*EE118)+(2*EE156)+(4*EE157)+(EE133/coke_H_coeff)+(2*EE159)</f>
        <v>34893.980176118836</v>
      </c>
      <c r="ER145" s="82">
        <f>2*FE146</f>
        <v>34893.980176118828</v>
      </c>
      <c r="ES145" s="3">
        <f t="shared" si="59"/>
        <v>0</v>
      </c>
      <c r="EZ145" s="400" t="s">
        <v>514</v>
      </c>
      <c r="FA145" s="3" t="s">
        <v>22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275</v>
      </c>
      <c r="C146" s="116" t="s">
        <v>271</v>
      </c>
      <c r="D146" s="15">
        <v>60</v>
      </c>
      <c r="E146" s="113">
        <f t="shared" si="55"/>
        <v>63.303600000000003</v>
      </c>
      <c r="F146" s="113">
        <f t="shared" si="56"/>
        <v>0.6601160246976201</v>
      </c>
      <c r="G146" s="113">
        <v>1.06</v>
      </c>
      <c r="H146" s="113">
        <f t="shared" si="57"/>
        <v>0.69972298617947737</v>
      </c>
      <c r="K146" s="3" t="s">
        <v>47</v>
      </c>
      <c r="L146" s="1" t="s">
        <v>88</v>
      </c>
      <c r="M146" s="3" t="s">
        <v>90</v>
      </c>
      <c r="N146" s="3" t="s">
        <v>86</v>
      </c>
      <c r="O146" s="1" t="s">
        <v>577</v>
      </c>
      <c r="P146" s="4"/>
      <c r="Q146" s="4"/>
      <c r="U146" s="3" t="s">
        <v>95</v>
      </c>
      <c r="V146" s="1" t="s">
        <v>92</v>
      </c>
      <c r="W146" s="4"/>
      <c r="X146" s="4"/>
      <c r="Y146" s="4"/>
      <c r="Z146" s="4"/>
      <c r="AA146" s="4"/>
      <c r="AB146" s="4"/>
      <c r="AC146" s="400" t="s">
        <v>462</v>
      </c>
      <c r="AD146" s="17" t="s">
        <v>22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88</v>
      </c>
      <c r="CM146" s="1"/>
      <c r="CN146" s="3" t="s">
        <v>90</v>
      </c>
      <c r="CO146" s="3" t="s">
        <v>86</v>
      </c>
      <c r="CP146" s="1" t="s">
        <v>577</v>
      </c>
      <c r="CQ146" s="4"/>
      <c r="CR146" s="4"/>
      <c r="CV146" s="3" t="s">
        <v>95</v>
      </c>
      <c r="CW146" s="1" t="s">
        <v>92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351</v>
      </c>
      <c r="EQ146" s="82">
        <f>(2*EE145)+(EE133/coke_N_coeff)</f>
        <v>156189.34256449644</v>
      </c>
      <c r="ER146" s="82">
        <f>2*FE148</f>
        <v>156189.34256449644</v>
      </c>
      <c r="ES146" s="3">
        <f t="shared" si="59"/>
        <v>0</v>
      </c>
      <c r="EZ146" s="400"/>
      <c r="FA146" s="3" t="s">
        <v>426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275</v>
      </c>
      <c r="C147" s="15" t="s">
        <v>272</v>
      </c>
      <c r="D147" s="113">
        <v>170</v>
      </c>
      <c r="E147" s="113">
        <f t="shared" si="55"/>
        <v>179.36020000000002</v>
      </c>
      <c r="F147" s="113">
        <f t="shared" si="56"/>
        <v>1.8703287366432571</v>
      </c>
      <c r="G147" s="113">
        <v>1.06</v>
      </c>
      <c r="H147" s="113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400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88</v>
      </c>
      <c r="BS147" s="3" t="s">
        <v>90</v>
      </c>
      <c r="BT147" s="3" t="s">
        <v>86</v>
      </c>
      <c r="BU147" s="1" t="s">
        <v>577</v>
      </c>
      <c r="BV147" s="4"/>
      <c r="BW147" s="4"/>
      <c r="CA147" s="3" t="s">
        <v>95</v>
      </c>
      <c r="CB147" s="1" t="s">
        <v>92</v>
      </c>
      <c r="EB147" s="1" t="s">
        <v>88</v>
      </c>
      <c r="EC147" s="1"/>
      <c r="ED147" s="3" t="s">
        <v>90</v>
      </c>
      <c r="EE147" s="3" t="s">
        <v>86</v>
      </c>
      <c r="EF147" s="1" t="s">
        <v>577</v>
      </c>
      <c r="EG147" s="4"/>
      <c r="EH147" s="4"/>
      <c r="EL147" s="3" t="s">
        <v>95</v>
      </c>
      <c r="EM147" s="1" t="s">
        <v>92</v>
      </c>
      <c r="EP147" s="3" t="s">
        <v>179</v>
      </c>
      <c r="EQ147" s="82">
        <f>EE159+(EE133/coke_S_coeff)</f>
        <v>85.459771332449549</v>
      </c>
      <c r="ER147" s="82">
        <f>FE147</f>
        <v>85.459771332449534</v>
      </c>
      <c r="ES147" s="3">
        <f t="shared" si="59"/>
        <v>0</v>
      </c>
      <c r="EZ147" s="400"/>
      <c r="FA147" s="304" t="s">
        <v>628</v>
      </c>
      <c r="FB147" s="304">
        <f>SO2_out_BF_from_COG+SO2_out_BF_from_coke</f>
        <v>5.4749631584591132</v>
      </c>
      <c r="FC147" s="1">
        <f>FB147/$FB$149</f>
        <v>1.6092111946469558E-3</v>
      </c>
      <c r="FD147" s="304">
        <f>MW_SO2</f>
        <v>6.4064800000000005E-2</v>
      </c>
      <c r="FE147" s="1">
        <f>FB147/FD147</f>
        <v>85.459771332449534</v>
      </c>
      <c r="FF147" s="304">
        <f>h_SO2</f>
        <v>-296.8</v>
      </c>
      <c r="FG147" s="30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275</v>
      </c>
      <c r="C148" s="113" t="s">
        <v>274</v>
      </c>
      <c r="D148" s="113">
        <v>6</v>
      </c>
      <c r="E148" s="113">
        <f t="shared" si="55"/>
        <v>6.3303600000000007</v>
      </c>
      <c r="F148" s="113">
        <f t="shared" si="56"/>
        <v>6.601160246976201E-2</v>
      </c>
      <c r="G148" s="113">
        <v>1.06</v>
      </c>
      <c r="H148" s="113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400"/>
      <c r="AD148" s="7" t="s">
        <v>66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66</v>
      </c>
      <c r="FB148" s="173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400"/>
      <c r="AD149" s="17" t="s">
        <v>18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88</v>
      </c>
      <c r="V150" s="64" t="s">
        <v>92</v>
      </c>
      <c r="W150" s="4"/>
      <c r="X150" s="4"/>
      <c r="Y150" s="4"/>
      <c r="Z150" s="4"/>
      <c r="AA150" s="4"/>
      <c r="AB150" s="4"/>
      <c r="AE150" s="1" t="s">
        <v>88</v>
      </c>
      <c r="AF150" s="1"/>
      <c r="AG150" s="3" t="s">
        <v>90</v>
      </c>
      <c r="AH150" s="3" t="s">
        <v>86</v>
      </c>
      <c r="AI150" s="1" t="s">
        <v>577</v>
      </c>
      <c r="AJ150" s="4"/>
      <c r="AK150" s="4"/>
      <c r="AO150" s="3" t="s">
        <v>95</v>
      </c>
      <c r="AP150" s="1" t="s">
        <v>92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6" t="s">
        <v>332</v>
      </c>
      <c r="CA150" s="154" t="s">
        <v>1</v>
      </c>
      <c r="CB150" s="58" t="s">
        <v>0</v>
      </c>
      <c r="EL150" s="175" t="s">
        <v>1</v>
      </c>
      <c r="EM150" s="176" t="s">
        <v>0</v>
      </c>
      <c r="FB150" s="1" t="s">
        <v>88</v>
      </c>
      <c r="FC150" s="1"/>
      <c r="FD150" s="3" t="s">
        <v>90</v>
      </c>
      <c r="FE150" s="3" t="s">
        <v>86</v>
      </c>
      <c r="FF150" s="1" t="s">
        <v>577</v>
      </c>
      <c r="FG150" s="4"/>
      <c r="FH150" s="4"/>
      <c r="FL150" s="3" t="s">
        <v>95</v>
      </c>
      <c r="FM150" s="1" t="s">
        <v>92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97" t="s">
        <v>534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2"/>
      <c r="BJ151" s="192"/>
      <c r="BK151" s="192"/>
      <c r="BL151" s="192"/>
      <c r="BM151" s="4"/>
      <c r="BN151" s="4"/>
      <c r="BO151" s="4"/>
      <c r="BP151" s="45"/>
      <c r="BZ151" s="49" t="s">
        <v>62</v>
      </c>
      <c r="CA151" s="38" t="s">
        <v>10</v>
      </c>
      <c r="CB151" s="47" t="s">
        <v>47</v>
      </c>
      <c r="EL151" s="177" t="s">
        <v>88</v>
      </c>
      <c r="EM151" s="178" t="s">
        <v>92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444</v>
      </c>
      <c r="BZ152" s="121">
        <v>298.14999999999998</v>
      </c>
      <c r="CA152" s="69">
        <f>BR156</f>
        <v>37.630021206323519</v>
      </c>
      <c r="CB152" s="48">
        <f>CB156</f>
        <v>1951076.4755827489</v>
      </c>
      <c r="EH152" s="3" t="s">
        <v>584</v>
      </c>
      <c r="EL152" s="166">
        <f>EB160</f>
        <v>32.269863299428096</v>
      </c>
      <c r="EM152" s="167">
        <f>EM160</f>
        <v>2830357.1263978118</v>
      </c>
    </row>
    <row r="153" spans="2:169" ht="19.25" customHeight="1" x14ac:dyDescent="0.25">
      <c r="B153" s="405" t="s">
        <v>454</v>
      </c>
      <c r="C153" s="405"/>
      <c r="D153" s="405"/>
      <c r="E153" s="405"/>
      <c r="F153" s="405"/>
      <c r="G153" s="405"/>
      <c r="H153" s="405"/>
      <c r="J153" s="4"/>
      <c r="K153" s="3" t="s">
        <v>521</v>
      </c>
      <c r="L153" s="1" t="s">
        <v>516</v>
      </c>
      <c r="M153" s="1" t="s">
        <v>646</v>
      </c>
      <c r="N153" s="1" t="s">
        <v>84</v>
      </c>
      <c r="O153" s="1" t="s">
        <v>576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518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418"/>
      <c r="C154" s="418"/>
      <c r="D154" s="418"/>
      <c r="E154" s="418"/>
      <c r="F154" s="418"/>
      <c r="G154" s="418"/>
      <c r="H154" s="418"/>
      <c r="J154" s="4" t="s">
        <v>40</v>
      </c>
      <c r="K154" s="3" t="s">
        <v>520</v>
      </c>
      <c r="L154" s="1" t="s">
        <v>87</v>
      </c>
      <c r="M154" s="1" t="s">
        <v>89</v>
      </c>
      <c r="N154" s="1" t="s">
        <v>85</v>
      </c>
      <c r="O154" s="1" t="s">
        <v>94</v>
      </c>
      <c r="P154" s="1" t="s">
        <v>566</v>
      </c>
      <c r="Q154" s="1" t="s">
        <v>24</v>
      </c>
      <c r="R154" s="1" t="s">
        <v>97</v>
      </c>
      <c r="S154" s="1" t="s">
        <v>94</v>
      </c>
      <c r="T154" s="1" t="s">
        <v>94</v>
      </c>
      <c r="U154" s="1" t="s">
        <v>93</v>
      </c>
      <c r="V154" s="1" t="s">
        <v>91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05" t="s">
        <v>443</v>
      </c>
      <c r="BL154" s="405"/>
      <c r="BM154" s="405"/>
      <c r="BN154" s="405"/>
      <c r="BP154" s="4"/>
      <c r="BQ154" s="3" t="s">
        <v>521</v>
      </c>
      <c r="BR154" s="1" t="s">
        <v>516</v>
      </c>
      <c r="BS154" s="1" t="s">
        <v>646</v>
      </c>
      <c r="BT154" s="3" t="s">
        <v>351</v>
      </c>
      <c r="BU154" s="1" t="s">
        <v>576</v>
      </c>
      <c r="BV154" s="1" t="s">
        <v>131</v>
      </c>
      <c r="BW154" s="1" t="s">
        <v>128</v>
      </c>
      <c r="BX154" s="1" t="s">
        <v>8</v>
      </c>
      <c r="BY154" s="1" t="s">
        <v>132</v>
      </c>
      <c r="BZ154" s="1" t="s">
        <v>133</v>
      </c>
      <c r="CA154" s="1" t="s">
        <v>134</v>
      </c>
      <c r="CB154" s="1" t="s">
        <v>135</v>
      </c>
      <c r="CC154" s="1"/>
      <c r="EA154" s="25"/>
      <c r="EB154" s="1" t="s">
        <v>516</v>
      </c>
      <c r="EC154" s="1" t="s">
        <v>517</v>
      </c>
      <c r="ED154" s="1" t="s">
        <v>646</v>
      </c>
      <c r="EE154" s="1" t="s">
        <v>84</v>
      </c>
      <c r="EF154" s="1" t="s">
        <v>576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518</v>
      </c>
      <c r="EM154" s="1" t="s">
        <v>49</v>
      </c>
      <c r="EN154" s="1"/>
    </row>
    <row r="155" spans="2:169" ht="18" x14ac:dyDescent="0.25">
      <c r="B155" s="15" t="s">
        <v>261</v>
      </c>
      <c r="C155" s="113" t="s">
        <v>260</v>
      </c>
      <c r="D155" s="113" t="s">
        <v>232</v>
      </c>
      <c r="E155" s="113" t="s">
        <v>232</v>
      </c>
      <c r="F155" s="113" t="s">
        <v>232</v>
      </c>
      <c r="G155" s="114" t="s">
        <v>316</v>
      </c>
      <c r="H155" s="113" t="s">
        <v>310</v>
      </c>
      <c r="I155" s="268" t="s">
        <v>534</v>
      </c>
      <c r="J155" s="62" t="s">
        <v>455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05"/>
      <c r="BL155" s="405"/>
      <c r="BM155" s="405"/>
      <c r="BN155" s="405"/>
      <c r="BP155" s="4"/>
      <c r="BQ155" s="3" t="s">
        <v>520</v>
      </c>
      <c r="BR155" s="1" t="s">
        <v>87</v>
      </c>
      <c r="BS155" s="1" t="s">
        <v>89</v>
      </c>
      <c r="BT155" s="2" t="s">
        <v>85</v>
      </c>
      <c r="BU155" s="1" t="s">
        <v>94</v>
      </c>
      <c r="BV155" s="2" t="s">
        <v>94</v>
      </c>
      <c r="BW155" s="2" t="s">
        <v>24</v>
      </c>
      <c r="BX155" s="1" t="s">
        <v>97</v>
      </c>
      <c r="BY155" s="2" t="s">
        <v>94</v>
      </c>
      <c r="BZ155" s="2" t="s">
        <v>94</v>
      </c>
      <c r="CA155" s="2" t="s">
        <v>93</v>
      </c>
      <c r="CB155" s="1" t="s">
        <v>91</v>
      </c>
      <c r="EA155" s="3" t="s">
        <v>40</v>
      </c>
      <c r="EB155" s="3" t="s">
        <v>10</v>
      </c>
      <c r="EC155" s="1" t="s">
        <v>519</v>
      </c>
      <c r="ED155" s="1" t="s">
        <v>83</v>
      </c>
      <c r="EE155" s="3" t="s">
        <v>41</v>
      </c>
      <c r="EF155" s="1" t="s">
        <v>94</v>
      </c>
      <c r="EG155" s="1" t="s">
        <v>94</v>
      </c>
      <c r="EH155" s="1" t="s">
        <v>24</v>
      </c>
      <c r="EI155" s="1" t="s">
        <v>97</v>
      </c>
      <c r="EJ155" s="1" t="s">
        <v>94</v>
      </c>
      <c r="EK155" s="1" t="s">
        <v>94</v>
      </c>
      <c r="EL155" s="1" t="s">
        <v>93</v>
      </c>
      <c r="EM155" s="1" t="s">
        <v>91</v>
      </c>
    </row>
    <row r="156" spans="2:169" ht="18" customHeight="1" x14ac:dyDescent="0.25">
      <c r="B156" s="15" t="s">
        <v>97</v>
      </c>
      <c r="C156" s="15" t="s">
        <v>97</v>
      </c>
      <c r="D156" s="113" t="s">
        <v>322</v>
      </c>
      <c r="E156" s="113" t="s">
        <v>323</v>
      </c>
      <c r="F156" s="113" t="s">
        <v>47</v>
      </c>
      <c r="G156" s="114" t="s">
        <v>97</v>
      </c>
      <c r="H156" s="113" t="s">
        <v>47</v>
      </c>
      <c r="J156" s="17" t="s">
        <v>18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5"/>
      <c r="BN156" s="4"/>
      <c r="BO156" s="242" t="s">
        <v>444</v>
      </c>
      <c r="BP156" s="94" t="s">
        <v>64</v>
      </c>
      <c r="BQ156" s="94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409" t="s">
        <v>584</v>
      </c>
      <c r="EA156" s="17" t="s">
        <v>65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452</v>
      </c>
      <c r="C157" s="113" t="s">
        <v>273</v>
      </c>
      <c r="D157" s="113">
        <v>2040</v>
      </c>
      <c r="E157" s="113">
        <f>D157*Btu_to_kJ</f>
        <v>2152.3224</v>
      </c>
      <c r="F157" s="113">
        <f>E157*($AE$131/1000)</f>
        <v>22.443944839719084</v>
      </c>
      <c r="G157" s="113">
        <v>1.04</v>
      </c>
      <c r="H157" s="113">
        <f>F157*G157</f>
        <v>23.341702633307847</v>
      </c>
      <c r="K157" s="3" t="s">
        <v>47</v>
      </c>
      <c r="L157" s="1" t="s">
        <v>88</v>
      </c>
      <c r="M157" s="3" t="s">
        <v>90</v>
      </c>
      <c r="N157" s="3" t="s">
        <v>86</v>
      </c>
      <c r="O157" s="1" t="s">
        <v>577</v>
      </c>
      <c r="P157" s="4"/>
      <c r="Q157" s="4"/>
      <c r="U157" s="3" t="s">
        <v>95</v>
      </c>
      <c r="V157" s="1" t="s">
        <v>92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09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88</v>
      </c>
      <c r="BS158" s="3" t="s">
        <v>90</v>
      </c>
      <c r="BT158" s="3" t="s">
        <v>86</v>
      </c>
      <c r="BU158" s="1" t="s">
        <v>577</v>
      </c>
      <c r="BV158" s="4"/>
      <c r="BW158" s="4"/>
      <c r="CA158" s="3" t="s">
        <v>95</v>
      </c>
      <c r="CB158" s="1" t="s">
        <v>92</v>
      </c>
      <c r="DZ158" s="409"/>
      <c r="EA158" s="225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276</v>
      </c>
      <c r="E159" s="96" t="s">
        <v>277</v>
      </c>
      <c r="F159" s="4" t="s">
        <v>278</v>
      </c>
      <c r="I159" s="213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409"/>
      <c r="EA159" s="3" t="s">
        <v>356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52"/>
      <c r="EA160" s="17" t="s">
        <v>18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52"/>
      <c r="EB161" s="1" t="s">
        <v>88</v>
      </c>
      <c r="EC161" s="1"/>
      <c r="ED161" s="3" t="s">
        <v>90</v>
      </c>
      <c r="EE161" s="3" t="s">
        <v>86</v>
      </c>
      <c r="EF161" s="1" t="s">
        <v>577</v>
      </c>
      <c r="EG161" s="4"/>
      <c r="EH161" s="4"/>
      <c r="EL161" s="3" t="s">
        <v>95</v>
      </c>
      <c r="EM161" s="1" t="s">
        <v>92</v>
      </c>
    </row>
    <row r="162" spans="1:143" ht="18" x14ac:dyDescent="0.25">
      <c r="U162" s="65" t="s">
        <v>88</v>
      </c>
      <c r="V162" s="64" t="s">
        <v>92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52"/>
    </row>
    <row r="163" spans="1:143" ht="17" thickBot="1" x14ac:dyDescent="0.25">
      <c r="Q163" s="3" t="s">
        <v>487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5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52"/>
      <c r="EK164" s="161"/>
    </row>
    <row r="165" spans="1:143" ht="18" x14ac:dyDescent="0.25">
      <c r="E165" s="405" t="s">
        <v>481</v>
      </c>
      <c r="F165" s="405"/>
      <c r="G165" s="405"/>
      <c r="H165" s="405"/>
      <c r="J165" s="4"/>
      <c r="K165" s="1" t="s">
        <v>516</v>
      </c>
      <c r="L165" s="1" t="s">
        <v>517</v>
      </c>
      <c r="M165" s="1" t="s">
        <v>646</v>
      </c>
      <c r="N165" s="1" t="s">
        <v>84</v>
      </c>
      <c r="O165" s="1" t="s">
        <v>576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518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52"/>
      <c r="EB165" s="171"/>
    </row>
    <row r="166" spans="1:143" ht="18" x14ac:dyDescent="0.25">
      <c r="E166" s="405"/>
      <c r="F166" s="405"/>
      <c r="G166" s="405"/>
      <c r="H166" s="405"/>
      <c r="J166" s="4" t="s">
        <v>40</v>
      </c>
      <c r="K166" s="1" t="s">
        <v>87</v>
      </c>
      <c r="L166" s="4" t="s">
        <v>279</v>
      </c>
      <c r="M166" s="2" t="s">
        <v>89</v>
      </c>
      <c r="N166" s="2" t="s">
        <v>85</v>
      </c>
      <c r="O166" s="1" t="s">
        <v>94</v>
      </c>
      <c r="P166" s="2" t="s">
        <v>94</v>
      </c>
      <c r="Q166" s="2" t="s">
        <v>24</v>
      </c>
      <c r="R166" s="2" t="s">
        <v>97</v>
      </c>
      <c r="S166" s="2" t="s">
        <v>94</v>
      </c>
      <c r="T166" s="2" t="s">
        <v>94</v>
      </c>
      <c r="U166" s="2" t="s">
        <v>93</v>
      </c>
      <c r="V166" s="2" t="s">
        <v>91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52"/>
    </row>
    <row r="167" spans="1:143" ht="18" x14ac:dyDescent="0.25">
      <c r="I167" s="400" t="s">
        <v>487</v>
      </c>
      <c r="J167" s="8" t="s">
        <v>299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52"/>
    </row>
    <row r="168" spans="1:143" ht="18" x14ac:dyDescent="0.25">
      <c r="I168" s="400"/>
      <c r="J168" s="60" t="s">
        <v>66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52"/>
    </row>
    <row r="169" spans="1:143" ht="16" x14ac:dyDescent="0.2">
      <c r="J169" s="3" t="s">
        <v>18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52"/>
    </row>
    <row r="170" spans="1:143" ht="18" x14ac:dyDescent="0.25">
      <c r="K170" s="1" t="s">
        <v>88</v>
      </c>
      <c r="L170" s="1"/>
      <c r="M170" s="3" t="s">
        <v>90</v>
      </c>
      <c r="N170" s="3" t="s">
        <v>86</v>
      </c>
      <c r="O170" s="1" t="s">
        <v>577</v>
      </c>
      <c r="P170" s="4"/>
      <c r="Q170" s="4"/>
      <c r="U170" s="3" t="s">
        <v>95</v>
      </c>
      <c r="V170" s="1" t="s">
        <v>92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5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5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5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5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5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52"/>
    </row>
    <row r="176" spans="1:143" ht="17" thickBot="1" x14ac:dyDescent="0.25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141"/>
      <c r="BQ176" s="142"/>
      <c r="BR176" s="142"/>
      <c r="BS176" s="97"/>
      <c r="BT176" s="97"/>
      <c r="BU176" s="97"/>
      <c r="BV176" s="89"/>
      <c r="BW176" s="89"/>
      <c r="BX176" s="97"/>
      <c r="BY176" s="97"/>
      <c r="BZ176" s="97"/>
      <c r="CA176" s="97"/>
      <c r="CB176" s="142"/>
      <c r="CC176" s="97"/>
      <c r="CD176" s="97"/>
      <c r="CE176" s="97"/>
      <c r="CF176" s="97"/>
      <c r="CG176" s="97"/>
      <c r="CH176" s="97"/>
      <c r="CI176" s="97"/>
      <c r="CJ176" s="97"/>
      <c r="CK176" s="97"/>
      <c r="CL176" s="97"/>
      <c r="CM176" s="97"/>
      <c r="CN176" s="97"/>
      <c r="CO176" s="97"/>
      <c r="CP176" s="97"/>
      <c r="CQ176" s="97"/>
      <c r="CR176" s="97"/>
      <c r="CS176" s="97"/>
      <c r="CT176" s="97"/>
      <c r="CU176" s="97"/>
      <c r="CV176" s="97"/>
      <c r="CW176" s="97"/>
      <c r="CX176" s="97"/>
      <c r="CY176" s="97"/>
      <c r="CZ176" s="97"/>
      <c r="DA176" s="97"/>
      <c r="DZ176" s="25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5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412" t="s">
        <v>412</v>
      </c>
      <c r="X182" s="412"/>
      <c r="Y182" s="412"/>
      <c r="Z182" s="412"/>
      <c r="AA182" s="412"/>
      <c r="AB182" s="412"/>
      <c r="AC182" s="412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261</v>
      </c>
      <c r="X183" s="13" t="s">
        <v>260</v>
      </c>
      <c r="Y183" s="13" t="s">
        <v>232</v>
      </c>
      <c r="Z183" s="13" t="s">
        <v>232</v>
      </c>
      <c r="AA183" s="13" t="s">
        <v>232</v>
      </c>
      <c r="AB183" s="104" t="s">
        <v>316</v>
      </c>
      <c r="AC183" s="13" t="s">
        <v>310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1"/>
      <c r="CS183" s="4"/>
      <c r="CT183" s="4"/>
    </row>
    <row r="184" spans="16:130" ht="17" x14ac:dyDescent="0.25">
      <c r="T184" s="4"/>
      <c r="U184" s="4"/>
      <c r="V184" s="4"/>
      <c r="W184" s="61" t="s">
        <v>97</v>
      </c>
      <c r="X184" s="61" t="s">
        <v>97</v>
      </c>
      <c r="Y184" s="13" t="s">
        <v>228</v>
      </c>
      <c r="Z184" s="13" t="s">
        <v>231</v>
      </c>
      <c r="AA184" s="13" t="s">
        <v>47</v>
      </c>
      <c r="AB184" s="34" t="s">
        <v>97</v>
      </c>
      <c r="AC184" s="13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262</v>
      </c>
      <c r="X185" s="13" t="s">
        <v>248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262</v>
      </c>
      <c r="X186" s="61" t="s">
        <v>247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262</v>
      </c>
      <c r="X187" s="61" t="s">
        <v>250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12" t="s">
        <v>413</v>
      </c>
      <c r="AP187" s="412"/>
      <c r="AQ187" s="412"/>
      <c r="AR187" s="412"/>
      <c r="AS187" s="412"/>
      <c r="AT187" s="412"/>
      <c r="AU187" s="412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12" t="s">
        <v>414</v>
      </c>
      <c r="BH187" s="412"/>
      <c r="BI187" s="412"/>
      <c r="BJ187" s="412"/>
      <c r="BK187" s="412"/>
      <c r="BL187" s="412"/>
      <c r="BM187" s="412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262</v>
      </c>
      <c r="X188" s="61" t="s">
        <v>251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261</v>
      </c>
      <c r="AP188" s="13" t="s">
        <v>263</v>
      </c>
      <c r="AQ188" s="13" t="s">
        <v>232</v>
      </c>
      <c r="AR188" s="13" t="s">
        <v>35</v>
      </c>
      <c r="AS188" s="13" t="s">
        <v>232</v>
      </c>
      <c r="AT188" s="104" t="s">
        <v>316</v>
      </c>
      <c r="AU188" s="13" t="s">
        <v>310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261</v>
      </c>
      <c r="BH188" s="13" t="s">
        <v>260</v>
      </c>
      <c r="BI188" s="13" t="s">
        <v>232</v>
      </c>
      <c r="BJ188" s="13" t="s">
        <v>232</v>
      </c>
      <c r="BK188" s="13" t="s">
        <v>232</v>
      </c>
      <c r="BL188" s="104" t="s">
        <v>316</v>
      </c>
      <c r="BM188" s="13" t="s">
        <v>310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20" t="s">
        <v>352</v>
      </c>
      <c r="Q189" s="420"/>
      <c r="T189" s="4"/>
      <c r="U189" s="4"/>
      <c r="V189" s="4"/>
      <c r="W189" s="61" t="s">
        <v>262</v>
      </c>
      <c r="X189" s="88" t="s">
        <v>252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97</v>
      </c>
      <c r="AP189" s="13" t="s">
        <v>97</v>
      </c>
      <c r="AQ189" s="13" t="s">
        <v>234</v>
      </c>
      <c r="AR189" s="13" t="s">
        <v>233</v>
      </c>
      <c r="AS189" s="13" t="s">
        <v>47</v>
      </c>
      <c r="AT189" s="34" t="s">
        <v>97</v>
      </c>
      <c r="AU189" s="13" t="s">
        <v>47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97</v>
      </c>
      <c r="BH189" s="61" t="s">
        <v>97</v>
      </c>
      <c r="BI189" s="13" t="s">
        <v>227</v>
      </c>
      <c r="BJ189" s="13" t="s">
        <v>231</v>
      </c>
      <c r="BK189" s="13" t="s">
        <v>47</v>
      </c>
      <c r="BL189" s="34" t="s">
        <v>97</v>
      </c>
      <c r="BM189" s="13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21"/>
      <c r="Q190" s="421"/>
      <c r="T190" s="4"/>
      <c r="U190" s="4"/>
      <c r="V190" s="4"/>
      <c r="W190" s="61" t="s">
        <v>262</v>
      </c>
      <c r="X190" s="61" t="s">
        <v>253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262</v>
      </c>
      <c r="AP190" s="13" t="s">
        <v>298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262</v>
      </c>
      <c r="BH190" s="13" t="s">
        <v>177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6"/>
    </row>
    <row r="191" spans="16:130" ht="16" x14ac:dyDescent="0.2">
      <c r="P191" s="402" t="s">
        <v>336</v>
      </c>
      <c r="Q191" s="101" t="s">
        <v>311</v>
      </c>
      <c r="T191" s="4"/>
      <c r="U191" s="4"/>
      <c r="V191" s="4"/>
      <c r="W191" s="61" t="s">
        <v>262</v>
      </c>
      <c r="X191" s="13" t="s">
        <v>255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262</v>
      </c>
      <c r="BH191" s="13" t="s">
        <v>244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403"/>
      <c r="Q192" s="102" t="s">
        <v>47</v>
      </c>
      <c r="T192" s="4"/>
      <c r="U192" s="4"/>
      <c r="V192" s="4"/>
      <c r="W192" s="61" t="s">
        <v>262</v>
      </c>
      <c r="X192" s="13" t="s">
        <v>256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262</v>
      </c>
      <c r="BH192" s="13" t="s">
        <v>245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8" t="s">
        <v>333</v>
      </c>
      <c r="Q193" s="102">
        <f>((N210*(U210-0)/AC195))</f>
        <v>109.11201209723454</v>
      </c>
      <c r="T193" s="4"/>
      <c r="U193" s="4"/>
      <c r="V193" s="4"/>
      <c r="W193" s="61" t="s">
        <v>262</v>
      </c>
      <c r="X193" s="61" t="s">
        <v>258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262</v>
      </c>
      <c r="BH193" s="13" t="s">
        <v>246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8" t="s">
        <v>556</v>
      </c>
      <c r="Q194" s="102">
        <f>V206/AC195</f>
        <v>109.79148941804274</v>
      </c>
      <c r="T194" s="4"/>
      <c r="U194" s="4"/>
      <c r="V194" s="4"/>
      <c r="W194" s="61" t="s">
        <v>262</v>
      </c>
      <c r="X194" s="61" t="s">
        <v>259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262</v>
      </c>
      <c r="BH194" s="61" t="s">
        <v>235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39" t="s">
        <v>335</v>
      </c>
      <c r="Q195" s="98">
        <f>V210/AC195</f>
        <v>109.7914834438229</v>
      </c>
      <c r="T195" s="4"/>
      <c r="U195" s="4"/>
      <c r="V195" s="4"/>
      <c r="W195" s="422" t="s">
        <v>465</v>
      </c>
      <c r="X195" s="423"/>
      <c r="Y195" s="250"/>
      <c r="Z195" s="250"/>
      <c r="AA195" s="250">
        <f>SUM(AA185:AA186,AA187:AA188,AA189:AA190,AA191:AA192,AA193:AA194)</f>
        <v>80616.370239891301</v>
      </c>
      <c r="AB195" s="249">
        <v>1</v>
      </c>
      <c r="AC195" s="25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18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5"/>
      <c r="X196" s="165"/>
      <c r="Y196" s="165"/>
      <c r="Z196" s="165"/>
      <c r="AA196" s="165"/>
      <c r="AB196" s="165"/>
      <c r="AC196" s="165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5"/>
      <c r="X197" s="165"/>
      <c r="Y197" s="165"/>
      <c r="Z197" s="165"/>
      <c r="AA197" s="165"/>
      <c r="AB197" s="165"/>
      <c r="AC197" s="165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5"/>
      <c r="X198" s="165"/>
      <c r="Y198" s="165"/>
      <c r="Z198" s="165"/>
      <c r="AA198" s="165"/>
      <c r="AB198" s="165"/>
      <c r="AC198" s="165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239</v>
      </c>
      <c r="BO198" s="3" t="s">
        <v>241</v>
      </c>
      <c r="BP198" s="3" t="s">
        <v>242</v>
      </c>
      <c r="BQ198" s="3" t="s">
        <v>243</v>
      </c>
      <c r="BW198" s="4"/>
      <c r="BX198" s="4"/>
    </row>
    <row r="199" spans="5:101" x14ac:dyDescent="0.2">
      <c r="I199" s="4"/>
      <c r="T199" s="4"/>
      <c r="U199" s="4"/>
      <c r="V199" s="4"/>
      <c r="W199" s="165"/>
      <c r="X199" s="165"/>
      <c r="Y199" s="165"/>
      <c r="Z199" s="165"/>
      <c r="AA199" s="165"/>
      <c r="AB199" s="165"/>
      <c r="AC199" s="165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194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195</v>
      </c>
      <c r="AA203" s="3" t="s">
        <v>196</v>
      </c>
      <c r="AB203" s="3" t="s">
        <v>197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88</v>
      </c>
      <c r="V205" s="64" t="s">
        <v>92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484</v>
      </c>
      <c r="AL205" s="4"/>
      <c r="AM205" s="4"/>
      <c r="AN205" s="4"/>
      <c r="AO205" s="65" t="s">
        <v>88</v>
      </c>
      <c r="AP205" s="64" t="s">
        <v>92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500</v>
      </c>
      <c r="BD205" s="4"/>
      <c r="BE205" s="4"/>
      <c r="BF205" s="4"/>
      <c r="BG205" s="4"/>
      <c r="BH205" s="65" t="s">
        <v>88</v>
      </c>
      <c r="BI205" s="64" t="s">
        <v>92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88</v>
      </c>
      <c r="CB205" s="64" t="s">
        <v>92</v>
      </c>
      <c r="CC205" s="4"/>
      <c r="CD205" s="4"/>
      <c r="CU205" s="4"/>
      <c r="CV205" s="65" t="s">
        <v>88</v>
      </c>
      <c r="CW205" s="64" t="s">
        <v>92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82" t="s">
        <v>403</v>
      </c>
      <c r="Q206" s="382"/>
      <c r="R206" s="382"/>
      <c r="S206" s="4"/>
      <c r="T206" s="4"/>
      <c r="U206" s="50">
        <f>K218</f>
        <v>298.6148747230165</v>
      </c>
      <c r="V206" s="48">
        <f>V218</f>
        <v>8850991.3601140417</v>
      </c>
      <c r="W206" s="401" t="s">
        <v>394</v>
      </c>
      <c r="X206" s="401"/>
      <c r="Y206" s="401"/>
      <c r="Z206" s="401"/>
      <c r="AA206" s="401"/>
      <c r="AB206" s="401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401" t="s">
        <v>501</v>
      </c>
      <c r="AR206" s="401"/>
      <c r="AS206" s="401"/>
      <c r="AT206" s="401"/>
      <c r="AU206" s="401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401" t="s">
        <v>429</v>
      </c>
      <c r="BK206" s="401"/>
      <c r="BL206" s="401"/>
      <c r="BM206" s="401"/>
      <c r="BN206" s="401"/>
      <c r="BO206" s="4"/>
      <c r="BP206" s="4"/>
      <c r="BQ206" s="4"/>
      <c r="BR206" s="4"/>
      <c r="BS206" s="4"/>
      <c r="BT206" s="4"/>
      <c r="BU206" s="4"/>
      <c r="BV206" s="4"/>
      <c r="BW206" s="4" t="s">
        <v>485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401" t="s">
        <v>411</v>
      </c>
      <c r="CE206" s="401"/>
      <c r="CF206" s="401"/>
      <c r="CG206" s="401"/>
      <c r="CH206" s="401"/>
      <c r="CI206" s="285"/>
      <c r="CR206" s="3" t="s">
        <v>551</v>
      </c>
      <c r="CU206" s="4"/>
      <c r="CV206" s="297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01"/>
      <c r="X207" s="401"/>
      <c r="Y207" s="401"/>
      <c r="Z207" s="401"/>
      <c r="AA207" s="401"/>
      <c r="AB207" s="401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01"/>
      <c r="AR207" s="401"/>
      <c r="AS207" s="401"/>
      <c r="AT207" s="401"/>
      <c r="AU207" s="401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01"/>
      <c r="BK207" s="401"/>
      <c r="BL207" s="401"/>
      <c r="BM207" s="401"/>
      <c r="BN207" s="401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17"/>
      <c r="CE207" s="417"/>
      <c r="CF207" s="417"/>
      <c r="CG207" s="417"/>
      <c r="CH207" s="417"/>
      <c r="CI207" s="285"/>
      <c r="CU207" s="4"/>
      <c r="CV207" s="4"/>
    </row>
    <row r="208" spans="5:101" ht="19.25" customHeight="1" x14ac:dyDescent="0.25">
      <c r="E208" s="405" t="s">
        <v>423</v>
      </c>
      <c r="F208" s="405"/>
      <c r="G208" s="405"/>
      <c r="H208" s="405"/>
      <c r="J208" s="4"/>
      <c r="K208" s="1" t="s">
        <v>516</v>
      </c>
      <c r="L208" s="1" t="s">
        <v>517</v>
      </c>
      <c r="M208" s="1" t="s">
        <v>646</v>
      </c>
      <c r="N208" s="1" t="s">
        <v>84</v>
      </c>
      <c r="O208" s="1" t="s">
        <v>576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518</v>
      </c>
      <c r="V208" s="1" t="s">
        <v>49</v>
      </c>
      <c r="W208" s="4"/>
      <c r="X208" s="22" t="s">
        <v>406</v>
      </c>
      <c r="Y208" s="22" t="s">
        <v>446</v>
      </c>
      <c r="Z208" s="243" t="s">
        <v>331</v>
      </c>
      <c r="AA208" s="402" t="s">
        <v>336</v>
      </c>
      <c r="AB208" s="101" t="s">
        <v>311</v>
      </c>
      <c r="AC208" s="1"/>
      <c r="AD208" s="4"/>
      <c r="AE208" s="1" t="s">
        <v>516</v>
      </c>
      <c r="AF208" s="1" t="s">
        <v>517</v>
      </c>
      <c r="AG208" s="1" t="s">
        <v>646</v>
      </c>
      <c r="AH208" s="1" t="s">
        <v>84</v>
      </c>
      <c r="AI208" s="1" t="s">
        <v>576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518</v>
      </c>
      <c r="AP208" s="1" t="s">
        <v>49</v>
      </c>
      <c r="AQ208" s="22" t="s">
        <v>406</v>
      </c>
      <c r="AR208" s="22" t="s">
        <v>446</v>
      </c>
      <c r="AS208" s="158" t="s">
        <v>331</v>
      </c>
      <c r="AT208" s="402" t="s">
        <v>336</v>
      </c>
      <c r="AU208" s="137" t="s">
        <v>311</v>
      </c>
      <c r="AV208" s="1"/>
      <c r="AW208" s="4"/>
      <c r="AX208" s="1" t="s">
        <v>516</v>
      </c>
      <c r="AY208" s="1" t="s">
        <v>517</v>
      </c>
      <c r="AZ208" s="1" t="s">
        <v>646</v>
      </c>
      <c r="BA208" s="1" t="s">
        <v>84</v>
      </c>
      <c r="BB208" s="1" t="s">
        <v>576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518</v>
      </c>
      <c r="BI208" s="1" t="s">
        <v>49</v>
      </c>
      <c r="BJ208" s="22" t="s">
        <v>406</v>
      </c>
      <c r="BK208" s="22" t="s">
        <v>446</v>
      </c>
      <c r="BL208" s="158" t="s">
        <v>331</v>
      </c>
      <c r="BM208" s="402" t="s">
        <v>336</v>
      </c>
      <c r="BN208" s="137" t="s">
        <v>311</v>
      </c>
      <c r="BO208" s="1"/>
      <c r="BP208" s="4"/>
      <c r="BQ208" s="1" t="s">
        <v>516</v>
      </c>
      <c r="BR208" s="1" t="s">
        <v>517</v>
      </c>
      <c r="BS208" s="1" t="s">
        <v>646</v>
      </c>
      <c r="BT208" s="1" t="s">
        <v>84</v>
      </c>
      <c r="BU208" s="1" t="s">
        <v>576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518</v>
      </c>
      <c r="CB208" s="1" t="s">
        <v>49</v>
      </c>
      <c r="CD208" s="22" t="s">
        <v>406</v>
      </c>
      <c r="CE208" s="22" t="s">
        <v>446</v>
      </c>
      <c r="CF208" s="185" t="s">
        <v>331</v>
      </c>
      <c r="CG208" s="402" t="s">
        <v>336</v>
      </c>
      <c r="CH208" s="137" t="s">
        <v>311</v>
      </c>
      <c r="CI208" s="1"/>
      <c r="CJ208" s="1"/>
      <c r="CK208" s="4"/>
      <c r="CL208" s="1" t="s">
        <v>516</v>
      </c>
      <c r="CM208" s="1" t="s">
        <v>517</v>
      </c>
      <c r="CN208" s="1" t="s">
        <v>646</v>
      </c>
      <c r="CO208" s="1" t="s">
        <v>84</v>
      </c>
      <c r="CP208" s="1" t="s">
        <v>576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518</v>
      </c>
      <c r="CW208" s="1" t="s">
        <v>49</v>
      </c>
    </row>
    <row r="209" spans="2:101" ht="18" x14ac:dyDescent="0.25">
      <c r="E209" s="405"/>
      <c r="F209" s="405"/>
      <c r="G209" s="405"/>
      <c r="H209" s="405"/>
      <c r="J209" s="4" t="s">
        <v>40</v>
      </c>
      <c r="K209" s="1" t="s">
        <v>87</v>
      </c>
      <c r="L209" s="4" t="s">
        <v>279</v>
      </c>
      <c r="M209" s="2" t="s">
        <v>89</v>
      </c>
      <c r="N209" s="2" t="s">
        <v>85</v>
      </c>
      <c r="O209" s="1" t="s">
        <v>94</v>
      </c>
      <c r="P209" s="2" t="s">
        <v>94</v>
      </c>
      <c r="Q209" s="2" t="s">
        <v>24</v>
      </c>
      <c r="R209" s="2" t="s">
        <v>97</v>
      </c>
      <c r="S209" s="2" t="s">
        <v>94</v>
      </c>
      <c r="T209" s="2" t="s">
        <v>94</v>
      </c>
      <c r="U209" s="2" t="s">
        <v>93</v>
      </c>
      <c r="V209" s="2" t="s">
        <v>91</v>
      </c>
      <c r="W209" s="4"/>
      <c r="X209" s="204" t="s">
        <v>47</v>
      </c>
      <c r="Y209" s="9" t="s">
        <v>47</v>
      </c>
      <c r="Z209" s="64" t="s">
        <v>88</v>
      </c>
      <c r="AA209" s="403"/>
      <c r="AB209" s="135" t="s">
        <v>81</v>
      </c>
      <c r="AC209" s="4"/>
      <c r="AD209" s="4" t="s">
        <v>40</v>
      </c>
      <c r="AE209" s="1" t="s">
        <v>87</v>
      </c>
      <c r="AF209" s="4" t="s">
        <v>279</v>
      </c>
      <c r="AG209" s="2" t="s">
        <v>89</v>
      </c>
      <c r="AH209" s="2" t="s">
        <v>85</v>
      </c>
      <c r="AI209" s="1" t="s">
        <v>94</v>
      </c>
      <c r="AJ209" s="2" t="s">
        <v>94</v>
      </c>
      <c r="AK209" s="2" t="s">
        <v>24</v>
      </c>
      <c r="AL209" s="2" t="s">
        <v>97</v>
      </c>
      <c r="AM209" s="2" t="s">
        <v>94</v>
      </c>
      <c r="AN209" s="2" t="s">
        <v>94</v>
      </c>
      <c r="AO209" s="2" t="s">
        <v>93</v>
      </c>
      <c r="AP209" s="2" t="s">
        <v>91</v>
      </c>
      <c r="AQ209" s="204" t="s">
        <v>47</v>
      </c>
      <c r="AR209" s="9" t="s">
        <v>47</v>
      </c>
      <c r="AS209" s="1" t="s">
        <v>88</v>
      </c>
      <c r="AT209" s="403"/>
      <c r="AU209" s="135" t="s">
        <v>81</v>
      </c>
      <c r="AV209" s="4"/>
      <c r="AW209" s="4" t="s">
        <v>40</v>
      </c>
      <c r="AX209" s="1" t="s">
        <v>87</v>
      </c>
      <c r="AY209" s="4" t="s">
        <v>279</v>
      </c>
      <c r="AZ209" s="2" t="s">
        <v>89</v>
      </c>
      <c r="BA209" s="2" t="s">
        <v>85</v>
      </c>
      <c r="BB209" s="1" t="s">
        <v>94</v>
      </c>
      <c r="BC209" s="2" t="s">
        <v>94</v>
      </c>
      <c r="BD209" s="2" t="s">
        <v>24</v>
      </c>
      <c r="BE209" s="2" t="s">
        <v>97</v>
      </c>
      <c r="BF209" s="2" t="s">
        <v>94</v>
      </c>
      <c r="BG209" s="2" t="s">
        <v>94</v>
      </c>
      <c r="BH209" s="2" t="s">
        <v>93</v>
      </c>
      <c r="BI209" s="2" t="s">
        <v>91</v>
      </c>
      <c r="BJ209" s="204" t="s">
        <v>47</v>
      </c>
      <c r="BK209" s="9" t="s">
        <v>47</v>
      </c>
      <c r="BL209" s="1" t="s">
        <v>88</v>
      </c>
      <c r="BM209" s="403"/>
      <c r="BN209" s="135" t="s">
        <v>81</v>
      </c>
      <c r="BO209" s="4"/>
      <c r="BP209" s="4" t="s">
        <v>40</v>
      </c>
      <c r="BQ209" s="1" t="s">
        <v>87</v>
      </c>
      <c r="BR209" s="4" t="s">
        <v>279</v>
      </c>
      <c r="BS209" s="2" t="s">
        <v>89</v>
      </c>
      <c r="BT209" s="2" t="s">
        <v>85</v>
      </c>
      <c r="BU209" s="1" t="s">
        <v>94</v>
      </c>
      <c r="BV209" s="2" t="s">
        <v>94</v>
      </c>
      <c r="BW209" s="2" t="s">
        <v>24</v>
      </c>
      <c r="BX209" s="2" t="s">
        <v>97</v>
      </c>
      <c r="BY209" s="2" t="s">
        <v>94</v>
      </c>
      <c r="BZ209" s="2" t="s">
        <v>94</v>
      </c>
      <c r="CA209" s="2" t="s">
        <v>93</v>
      </c>
      <c r="CB209" s="2" t="s">
        <v>91</v>
      </c>
      <c r="CD209" s="204" t="s">
        <v>47</v>
      </c>
      <c r="CE209" s="9" t="s">
        <v>47</v>
      </c>
      <c r="CF209" s="9" t="s">
        <v>88</v>
      </c>
      <c r="CG209" s="437"/>
      <c r="CH209" s="135" t="s">
        <v>81</v>
      </c>
      <c r="CI209" s="4"/>
      <c r="CJ209" s="4"/>
      <c r="CK209" s="4" t="s">
        <v>40</v>
      </c>
      <c r="CL209" s="1" t="s">
        <v>87</v>
      </c>
      <c r="CM209" s="4" t="s">
        <v>279</v>
      </c>
      <c r="CN209" s="2" t="s">
        <v>89</v>
      </c>
      <c r="CO209" s="2" t="s">
        <v>85</v>
      </c>
      <c r="CP209" s="1" t="s">
        <v>94</v>
      </c>
      <c r="CQ209" s="2" t="s">
        <v>94</v>
      </c>
      <c r="CR209" s="2" t="s">
        <v>24</v>
      </c>
      <c r="CS209" s="2" t="s">
        <v>97</v>
      </c>
      <c r="CT209" s="2" t="s">
        <v>94</v>
      </c>
      <c r="CU209" s="2" t="s">
        <v>94</v>
      </c>
      <c r="CV209" s="2" t="s">
        <v>93</v>
      </c>
      <c r="CW209" s="2" t="s">
        <v>91</v>
      </c>
    </row>
    <row r="210" spans="2:101" ht="16" thickBot="1" x14ac:dyDescent="0.25">
      <c r="I210" s="203" t="s">
        <v>403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3">
        <f>AP227</f>
        <v>555.77441893806406</v>
      </c>
      <c r="Y210" s="98">
        <f>SUM(AC195,V206,V222,V236) - SUM(AP206,AP227)</f>
        <v>98587.635320095345</v>
      </c>
      <c r="Z210" s="244">
        <f>AO206-U206</f>
        <v>0</v>
      </c>
      <c r="AA210" s="138" t="s">
        <v>333</v>
      </c>
      <c r="AB210" s="102">
        <f>(($AH$210*($AO$210-U210))/AC195)</f>
        <v>0</v>
      </c>
      <c r="AC210" s="203" t="s">
        <v>500</v>
      </c>
      <c r="AD210" s="193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3">
        <f>AP206+AU190-BI206</f>
        <v>282.12877103127539</v>
      </c>
      <c r="AR210" s="98">
        <f>AP206+AU190-BI206</f>
        <v>282.12877103127539</v>
      </c>
      <c r="AS210" s="140">
        <f>BH206-AO206</f>
        <v>0</v>
      </c>
      <c r="AT210" s="138" t="s">
        <v>333</v>
      </c>
      <c r="AU210" s="135">
        <f>((BA210*(BH210-AO210))/AU190)</f>
        <v>0</v>
      </c>
      <c r="AV210" s="203" t="s">
        <v>500</v>
      </c>
      <c r="AW210" s="193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3">
        <f>BM195+BI206-CB206</f>
        <v>50.35808415338397</v>
      </c>
      <c r="BK210" s="98">
        <f>(BM195+BI206)-CB206</f>
        <v>50.35808415338397</v>
      </c>
      <c r="BL210" s="140">
        <f>CA206-BH206</f>
        <v>0</v>
      </c>
      <c r="BM210" s="138" t="s">
        <v>333</v>
      </c>
      <c r="BN210" s="135">
        <f>((BT210*(CA210-BH210))/BM195)</f>
        <v>0</v>
      </c>
      <c r="BO210" s="203" t="s">
        <v>450</v>
      </c>
      <c r="BP210" s="193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308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3">
        <f>SUM(CB206,CB225,CB232,CB244) - SUM(CW251,CW234,CW218,CW206)</f>
        <v>8706828.4095456321</v>
      </c>
      <c r="CE210" s="98">
        <f>SUM(CB244,CB206,CB225,CB232) - SUM(CW206,CW218,CW234,CW251)</f>
        <v>8706828.4095456358</v>
      </c>
      <c r="CF210" s="298">
        <f>ROUND(CV206+CV218+CV234+CV251+CV267-CA206-CA232-CA244, 10)</f>
        <v>0</v>
      </c>
      <c r="CG210" s="138" t="s">
        <v>333</v>
      </c>
      <c r="CH210" s="135" t="s">
        <v>97</v>
      </c>
      <c r="CI210" s="4"/>
      <c r="CJ210" s="242" t="s">
        <v>552</v>
      </c>
      <c r="CK210" s="193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4">
        <f>SUM(Calculators!C89:C93)</f>
        <v>203.27980063725872</v>
      </c>
      <c r="CM210" s="94">
        <f>CL210/CL211</f>
        <v>1</v>
      </c>
      <c r="CN210" s="94">
        <f>MW_Coke</f>
        <v>217.63525920401193</v>
      </c>
      <c r="CO210" s="94">
        <f>mol_Coke</f>
        <v>17721.029348224434</v>
      </c>
      <c r="CP210" s="94">
        <f>NCV_dry_anthrocite*MW_Coke</f>
        <v>6546468.5968566788</v>
      </c>
      <c r="CQ210" s="309">
        <f>(b_ch_coke*CL210 )/mol_Coke</f>
        <v>361.62056363730647</v>
      </c>
      <c r="CR210" s="94">
        <f>CO210/CO211</f>
        <v>1</v>
      </c>
      <c r="CS210" s="94">
        <f>LN(CR210)</f>
        <v>0</v>
      </c>
      <c r="CT210" s="94">
        <f>RT0*CS210</f>
        <v>0</v>
      </c>
      <c r="CU210" s="95">
        <f>CT210+CQ210</f>
        <v>361.62056363730647</v>
      </c>
      <c r="CV210" s="95">
        <f>CU210*CR210</f>
        <v>361.62056363730647</v>
      </c>
      <c r="CW210" s="94">
        <f>CV210*CO211</f>
        <v>6408288.6211381694</v>
      </c>
    </row>
    <row r="211" spans="2:101" ht="17" customHeight="1" x14ac:dyDescent="0.25">
      <c r="I211" s="413" t="s">
        <v>498</v>
      </c>
      <c r="J211" s="62" t="s">
        <v>303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8" t="s">
        <v>556</v>
      </c>
      <c r="AB211" s="102">
        <f>(AP206+AP227)/($AC$195+V206+V222+V236)</f>
        <v>0.98899070789782728</v>
      </c>
      <c r="AC211" s="413" t="s">
        <v>496</v>
      </c>
      <c r="AD211" s="62" t="s">
        <v>303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8" t="s">
        <v>556</v>
      </c>
      <c r="AU211" s="135">
        <f>BI206/(AP206+AU190)</f>
        <v>0.99996814295200787</v>
      </c>
      <c r="AV211" s="413" t="s">
        <v>496</v>
      </c>
      <c r="AW211" s="62" t="s">
        <v>303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8" t="s">
        <v>556</v>
      </c>
      <c r="BN211" s="135">
        <f>CB206/(BM195+BI206)</f>
        <v>0.99999431358282376</v>
      </c>
      <c r="BO211" s="413" t="s">
        <v>495</v>
      </c>
      <c r="BP211" s="62" t="s">
        <v>303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8" t="s">
        <v>556</v>
      </c>
      <c r="CH211" s="135">
        <f>(CW218+CW206+CW234+CW251+CW267)/(CB244+CB206+CB232)</f>
        <v>0.60155306227269634</v>
      </c>
      <c r="CI211" s="4"/>
      <c r="CJ211" s="4"/>
      <c r="CK211" s="17" t="s">
        <v>18</v>
      </c>
      <c r="CL211" s="168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413"/>
      <c r="J212" s="4" t="s">
        <v>122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39" t="s">
        <v>385</v>
      </c>
      <c r="AB212" s="98">
        <f>$AP$210/($AC$195+V206+V222+V236)</f>
        <v>0.98839112692609699</v>
      </c>
      <c r="AC212" s="413"/>
      <c r="AD212" s="4" t="s">
        <v>122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39" t="s">
        <v>385</v>
      </c>
      <c r="AU212" s="136">
        <f>BI210/(AP206+AU190)</f>
        <v>0.9994246250143145</v>
      </c>
      <c r="AV212" s="413"/>
      <c r="AW212" s="4" t="s">
        <v>122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39" t="s">
        <v>385</v>
      </c>
      <c r="BN212" s="136">
        <f>CB210/(BM195+BI206)</f>
        <v>0.99945078142046995</v>
      </c>
      <c r="BO212" s="413"/>
      <c r="BP212" s="4" t="s">
        <v>122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39" t="s">
        <v>385</v>
      </c>
      <c r="CH212" s="136">
        <f>CW210/(CB244+CB206+CB232)</f>
        <v>0.32940597812032246</v>
      </c>
      <c r="CI212" s="4"/>
      <c r="CJ212" s="4"/>
      <c r="CL212" s="1" t="s">
        <v>88</v>
      </c>
      <c r="CM212" s="1"/>
      <c r="CN212" s="3" t="s">
        <v>90</v>
      </c>
      <c r="CO212" s="3" t="s">
        <v>86</v>
      </c>
      <c r="CP212" s="1" t="s">
        <v>577</v>
      </c>
      <c r="CQ212" s="4"/>
      <c r="CR212" s="4"/>
      <c r="CV212" s="3" t="s">
        <v>95</v>
      </c>
      <c r="CW212" s="1" t="s">
        <v>92</v>
      </c>
    </row>
    <row r="213" spans="2:101" x14ac:dyDescent="0.2">
      <c r="I213" s="413"/>
      <c r="J213" s="4" t="s">
        <v>178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13"/>
      <c r="AD213" s="4" t="s">
        <v>178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13"/>
      <c r="AW213" s="4" t="s">
        <v>178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13"/>
      <c r="BP213" s="4" t="s">
        <v>178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413"/>
      <c r="J214" s="4" t="s">
        <v>304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13"/>
      <c r="AD214" s="4" t="s">
        <v>304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13"/>
      <c r="AW214" s="4" t="s">
        <v>304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13"/>
      <c r="BP214" s="4" t="s">
        <v>304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413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1" t="s">
        <v>542</v>
      </c>
      <c r="AB215" s="16"/>
      <c r="AC215" s="413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1" t="s">
        <v>542</v>
      </c>
      <c r="AU215" s="4"/>
      <c r="AV215" s="413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1" t="s">
        <v>542</v>
      </c>
      <c r="BN215" s="4"/>
      <c r="BO215" s="413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1" t="s">
        <v>542</v>
      </c>
      <c r="CH215" s="131"/>
      <c r="CI215" s="131"/>
    </row>
    <row r="216" spans="2:101" ht="18.5" customHeight="1" x14ac:dyDescent="0.25">
      <c r="I216" s="413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13" t="s">
        <v>364</v>
      </c>
      <c r="X216" s="4"/>
      <c r="Y216" s="1" t="s">
        <v>544</v>
      </c>
      <c r="Z216" s="1" t="s">
        <v>544</v>
      </c>
      <c r="AA216" s="1" t="s">
        <v>544</v>
      </c>
      <c r="AC216" s="413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544</v>
      </c>
      <c r="AS216" s="1" t="s">
        <v>544</v>
      </c>
      <c r="AT216" s="1" t="s">
        <v>544</v>
      </c>
      <c r="AU216" s="4"/>
      <c r="AV216" s="413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544</v>
      </c>
      <c r="BL216" s="1" t="s">
        <v>544</v>
      </c>
      <c r="BM216" s="1" t="s">
        <v>544</v>
      </c>
      <c r="BN216" s="4"/>
      <c r="BO216" s="413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544</v>
      </c>
      <c r="CF216" s="1" t="s">
        <v>544</v>
      </c>
      <c r="CG216" s="1" t="s">
        <v>544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595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13"/>
      <c r="X217" s="4" t="s">
        <v>59</v>
      </c>
      <c r="Y217" s="3" t="s">
        <v>543</v>
      </c>
      <c r="Z217" s="3" t="s">
        <v>543</v>
      </c>
      <c r="AA217" s="3" t="s">
        <v>543</v>
      </c>
      <c r="AC217" s="4"/>
      <c r="AD217" s="1" t="s">
        <v>595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543</v>
      </c>
      <c r="AS217" s="3" t="s">
        <v>543</v>
      </c>
      <c r="AT217" s="3" t="s">
        <v>543</v>
      </c>
      <c r="AU217" s="4"/>
      <c r="AV217" s="4"/>
      <c r="AW217" s="1" t="s">
        <v>595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543</v>
      </c>
      <c r="BL217" s="3" t="s">
        <v>543</v>
      </c>
      <c r="BM217" s="3" t="s">
        <v>543</v>
      </c>
      <c r="BN217" s="4"/>
      <c r="BO217" s="4"/>
      <c r="BP217" s="1" t="s">
        <v>595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543</v>
      </c>
      <c r="CF217" s="3" t="s">
        <v>543</v>
      </c>
      <c r="CG217" s="3" t="s">
        <v>543</v>
      </c>
      <c r="CJ217" s="295"/>
      <c r="CU217" s="4"/>
      <c r="CV217" s="65" t="s">
        <v>88</v>
      </c>
      <c r="CW217" s="64" t="s">
        <v>92</v>
      </c>
    </row>
    <row r="218" spans="2:101" ht="18" customHeight="1" thickBot="1" x14ac:dyDescent="0.25">
      <c r="J218" s="62" t="s">
        <v>18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413"/>
      <c r="X218" s="4" t="s">
        <v>17</v>
      </c>
      <c r="Y218" s="82">
        <f>(N210)+(12*N226)</f>
        <v>53292.826569533201</v>
      </c>
      <c r="Z218" s="82">
        <f>AH210+AH231</f>
        <v>53292.826569533201</v>
      </c>
      <c r="AA218" s="3">
        <f>Y218-Z218</f>
        <v>0</v>
      </c>
      <c r="AC218" s="4"/>
      <c r="AD218" s="17" t="s">
        <v>18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17</v>
      </c>
      <c r="AR218" s="82">
        <f>AH210</f>
        <v>53256.078525349229</v>
      </c>
      <c r="AS218" s="82">
        <f>BA210</f>
        <v>53256.078525349229</v>
      </c>
      <c r="AT218" s="3">
        <f>AR218-AS218</f>
        <v>0</v>
      </c>
      <c r="AU218" s="4"/>
      <c r="AV218" s="4"/>
      <c r="AW218" s="17" t="s">
        <v>18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17</v>
      </c>
      <c r="BK218" s="82">
        <f>BA210</f>
        <v>53256.078525349229</v>
      </c>
      <c r="BL218" s="82">
        <f>BT210</f>
        <v>53256.078525349229</v>
      </c>
      <c r="BM218" s="3">
        <f>BK218-BL218</f>
        <v>0</v>
      </c>
      <c r="BN218" s="1"/>
      <c r="BO218" s="4"/>
      <c r="BP218" s="17" t="s">
        <v>18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17</v>
      </c>
      <c r="CE218" s="82">
        <f>(BT210/coal_C_coeff)+BT248</f>
        <v>32037.942345649131</v>
      </c>
      <c r="CF218" s="82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95"/>
      <c r="CR218" s="3" t="s">
        <v>488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88</v>
      </c>
      <c r="L219" s="1"/>
      <c r="M219" s="3" t="s">
        <v>90</v>
      </c>
      <c r="N219" s="3" t="s">
        <v>86</v>
      </c>
      <c r="O219" s="1" t="s">
        <v>577</v>
      </c>
      <c r="P219" s="4"/>
      <c r="Q219" s="4"/>
      <c r="U219" s="3" t="s">
        <v>95</v>
      </c>
      <c r="V219" s="1" t="s">
        <v>92</v>
      </c>
      <c r="W219" s="413"/>
      <c r="X219" s="3" t="s">
        <v>181</v>
      </c>
      <c r="Y219" s="272">
        <f>(mol_H_Coal*N210)+(23*N226)</f>
        <v>92623.432082250409</v>
      </c>
      <c r="Z219" s="272">
        <f>(mol_H_Coal*AH210)+(2*AH232)</f>
        <v>92623.432082250409</v>
      </c>
      <c r="AA219" s="3">
        <f t="shared" ref="AA219:AA227" si="110">Y219-Z219</f>
        <v>0</v>
      </c>
      <c r="AE219" s="1" t="s">
        <v>88</v>
      </c>
      <c r="AF219" s="1"/>
      <c r="AG219" s="3" t="s">
        <v>90</v>
      </c>
      <c r="AH219" s="3" t="s">
        <v>86</v>
      </c>
      <c r="AI219" s="1" t="s">
        <v>577</v>
      </c>
      <c r="AJ219" s="4"/>
      <c r="AK219" s="4"/>
      <c r="AO219" s="3" t="s">
        <v>95</v>
      </c>
      <c r="AP219" s="1" t="s">
        <v>92</v>
      </c>
      <c r="AQ219" s="3" t="s">
        <v>181</v>
      </c>
      <c r="AR219" s="272">
        <f>(mol_H_Coal*AH210)</f>
        <v>92552.998330897797</v>
      </c>
      <c r="AS219" s="272">
        <f>mol_H_Coal*BA210</f>
        <v>92552.998330897797</v>
      </c>
      <c r="AT219" s="3">
        <f t="shared" ref="AT219:AT227" si="111">AR219-AS219</f>
        <v>0</v>
      </c>
      <c r="AX219" s="1" t="s">
        <v>88</v>
      </c>
      <c r="AY219" s="1"/>
      <c r="AZ219" s="3" t="s">
        <v>90</v>
      </c>
      <c r="BA219" s="3" t="s">
        <v>86</v>
      </c>
      <c r="BB219" s="1" t="s">
        <v>577</v>
      </c>
      <c r="BC219" s="4"/>
      <c r="BD219" s="4"/>
      <c r="BH219" s="3" t="s">
        <v>95</v>
      </c>
      <c r="BI219" s="1" t="s">
        <v>92</v>
      </c>
      <c r="BJ219" s="3" t="s">
        <v>181</v>
      </c>
      <c r="BK219" s="272">
        <f>(mol_H_Coal*BA210)</f>
        <v>92552.998330897797</v>
      </c>
      <c r="BL219" s="27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88</v>
      </c>
      <c r="BR219" s="1"/>
      <c r="BS219" s="3" t="s">
        <v>90</v>
      </c>
      <c r="BT219" s="3" t="s">
        <v>86</v>
      </c>
      <c r="BU219" s="1" t="s">
        <v>577</v>
      </c>
      <c r="BV219" s="4"/>
      <c r="BW219" s="4"/>
      <c r="CA219" s="3" t="s">
        <v>95</v>
      </c>
      <c r="CB219" s="1" t="s">
        <v>92</v>
      </c>
      <c r="CD219" s="3" t="s">
        <v>181</v>
      </c>
      <c r="CE219" s="82">
        <f>(BT210/coal_H_coeff)+(4*Ore_to_PI!BT248)</f>
        <v>84461.311317275366</v>
      </c>
      <c r="CF219" s="82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95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413"/>
      <c r="X220" s="3" t="s">
        <v>28</v>
      </c>
      <c r="Y220" s="272">
        <f>(mol_O_Coal*N210)+(3*N211)+N212+N213+N214+(3*N215)+(2*N216)+(2*N240)</f>
        <v>1528.2388768231481</v>
      </c>
      <c r="Z220" s="272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72">
        <f>(mol_O_Coal*AH210)+(3*AH211)+AH212+AH213+AH214+(3*AH215)+(2*AH216)</f>
        <v>1419.5259127788902</v>
      </c>
      <c r="AS220" s="27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72">
        <f>(mol_O_Coal*BA210)+(3*BA211)+BA212+BA213+BA214+(3*BA215)+(2*BA216)</f>
        <v>1419.5259127788902</v>
      </c>
      <c r="BL220" s="27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82">
        <f>(3*BT211)+(BT212)+BT213+BT214+(3*BT215)+(2*BT216)+(BT210/coal_O_coeff)+(2*BT236)+BT217</f>
        <v>51869.39719799607</v>
      </c>
      <c r="CF220" s="82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95"/>
      <c r="CK220" s="4"/>
      <c r="CL220" s="1" t="s">
        <v>516</v>
      </c>
      <c r="CM220" s="1" t="s">
        <v>517</v>
      </c>
      <c r="CN220" s="1" t="s">
        <v>646</v>
      </c>
      <c r="CO220" s="1" t="s">
        <v>84</v>
      </c>
      <c r="CP220" s="1" t="s">
        <v>576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518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88</v>
      </c>
      <c r="V221" s="64" t="s">
        <v>92</v>
      </c>
      <c r="W221" s="413"/>
      <c r="X221" s="3" t="s">
        <v>351</v>
      </c>
      <c r="Y221" s="82">
        <f>(mol_N_Coal*N210)+(2*N241)</f>
        <v>469.79713968841332</v>
      </c>
      <c r="Z221" s="82">
        <f>(mol_N_Coal*AH210)+(2*AH233)</f>
        <v>469.79713968841332</v>
      </c>
      <c r="AA221" s="3">
        <f t="shared" si="110"/>
        <v>0</v>
      </c>
      <c r="AQ221" s="3" t="s">
        <v>351</v>
      </c>
      <c r="AR221" s="82">
        <f>mol_N_Coal*AH210</f>
        <v>61.036394882003421</v>
      </c>
      <c r="AS221" s="82">
        <f>mol_N_Coal*BA210</f>
        <v>61.036394882003421</v>
      </c>
      <c r="AT221" s="3">
        <f t="shared" si="111"/>
        <v>0</v>
      </c>
      <c r="BJ221" s="3" t="s">
        <v>351</v>
      </c>
      <c r="BK221" s="82">
        <f>mol_N_Coal*BA210</f>
        <v>61.036394882003421</v>
      </c>
      <c r="BL221" s="82">
        <f>mol_N_Coal*BT210</f>
        <v>61.036394882003421</v>
      </c>
      <c r="BM221" s="3">
        <f t="shared" si="112"/>
        <v>0</v>
      </c>
      <c r="CD221" s="3" t="s">
        <v>351</v>
      </c>
      <c r="CE221" s="82">
        <f>(BT210/coal_N_coeff)+(2*BT237)</f>
        <v>191390.29432931638</v>
      </c>
      <c r="CF221" s="82">
        <f>(mol_C_to_BF/coke_N_coeff)+(2*CO257)+(2*CO280)</f>
        <v>191390.29432931638</v>
      </c>
      <c r="CG221" s="3">
        <f t="shared" si="113"/>
        <v>0</v>
      </c>
      <c r="CJ221" s="295"/>
      <c r="CK221" s="4" t="s">
        <v>40</v>
      </c>
      <c r="CL221" s="1" t="s">
        <v>87</v>
      </c>
      <c r="CM221" s="4" t="s">
        <v>279</v>
      </c>
      <c r="CN221" s="1" t="s">
        <v>89</v>
      </c>
      <c r="CO221" s="1" t="s">
        <v>85</v>
      </c>
      <c r="CP221" s="1" t="s">
        <v>94</v>
      </c>
      <c r="CQ221" s="1" t="s">
        <v>94</v>
      </c>
      <c r="CR221" s="1" t="s">
        <v>24</v>
      </c>
      <c r="CS221" s="1" t="s">
        <v>97</v>
      </c>
      <c r="CT221" s="1" t="s">
        <v>94</v>
      </c>
      <c r="CU221" s="1" t="s">
        <v>94</v>
      </c>
      <c r="CV221" s="1" t="s">
        <v>93</v>
      </c>
      <c r="CW221" s="1" t="s">
        <v>91</v>
      </c>
    </row>
    <row r="222" spans="2:101" ht="17" customHeight="1" thickBot="1" x14ac:dyDescent="0.3">
      <c r="B222" s="405" t="s">
        <v>453</v>
      </c>
      <c r="C222" s="405"/>
      <c r="D222" s="405"/>
      <c r="E222" s="405"/>
      <c r="F222" s="405"/>
      <c r="G222" s="405"/>
      <c r="H222" s="405"/>
      <c r="J222" s="4"/>
      <c r="K222" s="4"/>
      <c r="L222" s="4"/>
      <c r="M222" s="4"/>
      <c r="N222" s="4"/>
      <c r="O222" s="4"/>
      <c r="P222" s="4"/>
      <c r="Q222" s="197" t="s">
        <v>533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305</v>
      </c>
      <c r="Y222" s="82">
        <f>2*N211</f>
        <v>148.60466056564917</v>
      </c>
      <c r="Z222" s="82">
        <f>2*AH211</f>
        <v>148.60466056564917</v>
      </c>
      <c r="AA222" s="3">
        <f t="shared" si="110"/>
        <v>0</v>
      </c>
      <c r="AQ222" s="3" t="s">
        <v>305</v>
      </c>
      <c r="AR222" s="82">
        <f>2*AH211</f>
        <v>148.60466056564917</v>
      </c>
      <c r="AS222" s="82">
        <f>2*BA211</f>
        <v>148.60466056564917</v>
      </c>
      <c r="AT222" s="3">
        <f t="shared" si="111"/>
        <v>0</v>
      </c>
      <c r="BJ222" s="3" t="s">
        <v>305</v>
      </c>
      <c r="BK222" s="82">
        <f>2*BA211</f>
        <v>148.60466056564917</v>
      </c>
      <c r="BL222" s="82">
        <f>2*BT211</f>
        <v>148.60466056564917</v>
      </c>
      <c r="BM222" s="3">
        <f t="shared" si="112"/>
        <v>0</v>
      </c>
      <c r="CD222" s="3" t="s">
        <v>305</v>
      </c>
      <c r="CE222" s="82">
        <f>2*BT211</f>
        <v>148.60466056564917</v>
      </c>
      <c r="CF222" s="82">
        <f>2*CO222</f>
        <v>148.60466056564917</v>
      </c>
      <c r="CG222" s="3">
        <f>CE222-CF222</f>
        <v>0</v>
      </c>
      <c r="CJ222" s="435" t="s">
        <v>488</v>
      </c>
      <c r="CK222" s="62" t="s">
        <v>303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418"/>
      <c r="C223" s="418"/>
      <c r="D223" s="418"/>
      <c r="E223" s="418"/>
      <c r="F223" s="418"/>
      <c r="G223" s="418"/>
      <c r="H223" s="418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73">
        <f>N212</f>
        <v>22.516380793970754</v>
      </c>
      <c r="Z223" s="273">
        <f>AH212</f>
        <v>22.516380793970754</v>
      </c>
      <c r="AA223" s="3">
        <f t="shared" si="110"/>
        <v>0</v>
      </c>
      <c r="AQ223" s="3" t="s">
        <v>30</v>
      </c>
      <c r="AR223" s="273">
        <f>AH212</f>
        <v>22.516380793970754</v>
      </c>
      <c r="AS223" s="273">
        <f>BA212</f>
        <v>22.516380793970754</v>
      </c>
      <c r="AT223" s="3">
        <f t="shared" si="111"/>
        <v>0</v>
      </c>
      <c r="BJ223" s="3" t="s">
        <v>30</v>
      </c>
      <c r="BK223" s="273">
        <f>BA212</f>
        <v>22.516380793970754</v>
      </c>
      <c r="BL223" s="273">
        <f>BT212</f>
        <v>22.516380793970754</v>
      </c>
      <c r="BM223" s="3">
        <f t="shared" si="112"/>
        <v>0</v>
      </c>
      <c r="BN223" s="25"/>
      <c r="CB223" s="25"/>
      <c r="CD223" s="3" t="s">
        <v>30</v>
      </c>
      <c r="CE223" s="82">
        <f>BT212</f>
        <v>22.516380793970754</v>
      </c>
      <c r="CF223" s="82">
        <f>CO223</f>
        <v>22.516380793970754</v>
      </c>
      <c r="CG223" s="3">
        <f t="shared" si="113"/>
        <v>0</v>
      </c>
      <c r="CJ223" s="435"/>
      <c r="CK223" s="4" t="s">
        <v>122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261</v>
      </c>
      <c r="C224" s="13" t="s">
        <v>260</v>
      </c>
      <c r="D224" s="13" t="s">
        <v>232</v>
      </c>
      <c r="E224" s="13" t="s">
        <v>232</v>
      </c>
      <c r="F224" s="13" t="s">
        <v>232</v>
      </c>
      <c r="G224" s="104" t="s">
        <v>316</v>
      </c>
      <c r="H224" s="13" t="s">
        <v>310</v>
      </c>
      <c r="J224" s="4"/>
      <c r="K224" s="3" t="s">
        <v>521</v>
      </c>
      <c r="L224" s="1" t="s">
        <v>516</v>
      </c>
      <c r="M224" s="1" t="s">
        <v>646</v>
      </c>
      <c r="N224" s="1" t="s">
        <v>84</v>
      </c>
      <c r="O224" s="1" t="s">
        <v>576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518</v>
      </c>
      <c r="V224" s="1" t="s">
        <v>49</v>
      </c>
      <c r="X224" s="3" t="s">
        <v>306</v>
      </c>
      <c r="Y224" s="274">
        <f>N213</f>
        <v>12.531238200651201</v>
      </c>
      <c r="Z224" s="274">
        <f>AH213</f>
        <v>12.531238200651201</v>
      </c>
      <c r="AA224" s="3">
        <f t="shared" si="110"/>
        <v>0</v>
      </c>
      <c r="AQ224" s="3" t="s">
        <v>306</v>
      </c>
      <c r="AR224" s="274">
        <f>AH213</f>
        <v>12.531238200651201</v>
      </c>
      <c r="AS224" s="274">
        <f>BA213</f>
        <v>12.531238200651201</v>
      </c>
      <c r="AT224" s="3">
        <f t="shared" si="111"/>
        <v>0</v>
      </c>
      <c r="BJ224" s="3" t="s">
        <v>306</v>
      </c>
      <c r="BK224" s="274">
        <f>BA213</f>
        <v>12.531238200651201</v>
      </c>
      <c r="BL224" s="27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306</v>
      </c>
      <c r="CE224" s="82">
        <f>BT213</f>
        <v>12.531238200651201</v>
      </c>
      <c r="CF224" s="82">
        <f>CO224</f>
        <v>12.531238200651201</v>
      </c>
      <c r="CG224" s="3">
        <f t="shared" si="113"/>
        <v>0</v>
      </c>
      <c r="CJ224" s="435"/>
      <c r="CK224" s="4" t="s">
        <v>178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97</v>
      </c>
      <c r="C225" s="61" t="s">
        <v>97</v>
      </c>
      <c r="D225" s="13" t="s">
        <v>228</v>
      </c>
      <c r="E225" s="13" t="s">
        <v>231</v>
      </c>
      <c r="F225" s="13" t="s">
        <v>47</v>
      </c>
      <c r="G225" s="34" t="s">
        <v>97</v>
      </c>
      <c r="H225" s="13" t="s">
        <v>47</v>
      </c>
      <c r="J225" s="4" t="s">
        <v>40</v>
      </c>
      <c r="K225" s="3" t="s">
        <v>520</v>
      </c>
      <c r="L225" s="1" t="s">
        <v>87</v>
      </c>
      <c r="M225" s="1" t="s">
        <v>89</v>
      </c>
      <c r="N225" s="1" t="s">
        <v>85</v>
      </c>
      <c r="O225" s="1" t="s">
        <v>94</v>
      </c>
      <c r="P225" s="1" t="s">
        <v>566</v>
      </c>
      <c r="Q225" s="1" t="s">
        <v>24</v>
      </c>
      <c r="R225" s="1" t="s">
        <v>97</v>
      </c>
      <c r="S225" s="1" t="s">
        <v>94</v>
      </c>
      <c r="T225" s="1" t="s">
        <v>94</v>
      </c>
      <c r="U225" s="1" t="s">
        <v>93</v>
      </c>
      <c r="V225" s="1" t="s">
        <v>91</v>
      </c>
      <c r="X225" s="3" t="s">
        <v>307</v>
      </c>
      <c r="Y225" s="82">
        <f>2*N214</f>
        <v>8.1489626884579991</v>
      </c>
      <c r="Z225" s="82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307</v>
      </c>
      <c r="AR225" s="82">
        <f>2*AH214</f>
        <v>8.1489626884579991</v>
      </c>
      <c r="AS225" s="82">
        <f>2*BA214</f>
        <v>8.1489626884579991</v>
      </c>
      <c r="AT225" s="3">
        <f t="shared" si="111"/>
        <v>0</v>
      </c>
      <c r="BJ225" s="3" t="s">
        <v>307</v>
      </c>
      <c r="BK225" s="82">
        <f>2*BA214</f>
        <v>8.1489626884579991</v>
      </c>
      <c r="BL225" s="82">
        <f>2*BT214</f>
        <v>8.1489626884579991</v>
      </c>
      <c r="BM225" s="3">
        <f t="shared" si="112"/>
        <v>0</v>
      </c>
      <c r="CD225" s="3" t="s">
        <v>307</v>
      </c>
      <c r="CE225" s="82">
        <f>2*BT214</f>
        <v>8.1489626884579991</v>
      </c>
      <c r="CF225" s="82">
        <f>2*CO225</f>
        <v>8.1489626884579991</v>
      </c>
      <c r="CG225" s="3">
        <f t="shared" si="113"/>
        <v>0</v>
      </c>
      <c r="CJ225" s="435"/>
      <c r="CK225" s="4" t="s">
        <v>304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553</v>
      </c>
    </row>
    <row r="226" spans="2:169" ht="18" x14ac:dyDescent="0.25">
      <c r="B226" s="61" t="s">
        <v>275</v>
      </c>
      <c r="C226" s="61" t="s">
        <v>249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68" t="s">
        <v>533</v>
      </c>
      <c r="J226" s="95" t="s">
        <v>456</v>
      </c>
      <c r="K226" s="94">
        <f>F229</f>
        <v>21827.121921766418</v>
      </c>
      <c r="L226" s="94">
        <f>K226/LHV_Diesel</f>
        <v>0.51237375403207552</v>
      </c>
      <c r="M226" s="94">
        <f>MW_C12H23</f>
        <v>0.16731462</v>
      </c>
      <c r="N226" s="94">
        <f>L226/M226</f>
        <v>3.0623370153312099</v>
      </c>
      <c r="O226" s="94">
        <f>LHV_Diesel*M226</f>
        <v>7127.6028120000001</v>
      </c>
      <c r="P226" s="94">
        <f>b_ch_Diesel</f>
        <v>45492.270191724252</v>
      </c>
      <c r="Q226" s="94">
        <f>N226/N227</f>
        <v>1</v>
      </c>
      <c r="R226" s="94">
        <f>LN(Q226)</f>
        <v>0</v>
      </c>
      <c r="S226" s="94">
        <f>RT0*R226</f>
        <v>0</v>
      </c>
      <c r="T226" s="94">
        <f>S226+P226</f>
        <v>45492.270191724252</v>
      </c>
      <c r="U226" s="94">
        <f>Q226*T226</f>
        <v>45492.270191724252</v>
      </c>
      <c r="V226" s="94">
        <f>U226*L226</f>
        <v>23309.045257575242</v>
      </c>
      <c r="X226" s="3" t="s">
        <v>15</v>
      </c>
      <c r="Y226" s="82">
        <f>2*N215</f>
        <v>47.442206462436765</v>
      </c>
      <c r="Z226" s="82">
        <f>2*AH215</f>
        <v>47.442206462436765</v>
      </c>
      <c r="AA226" s="3">
        <f t="shared" si="110"/>
        <v>0</v>
      </c>
      <c r="AE226" s="4"/>
      <c r="AF226" s="4"/>
      <c r="AO226" s="65" t="s">
        <v>88</v>
      </c>
      <c r="AP226" s="64" t="s">
        <v>92</v>
      </c>
      <c r="AQ226" s="3" t="s">
        <v>15</v>
      </c>
      <c r="AR226" s="82">
        <f>2*AH215</f>
        <v>47.442206462436765</v>
      </c>
      <c r="AS226" s="82">
        <f>2*BA215</f>
        <v>47.442206462436765</v>
      </c>
      <c r="AT226" s="3">
        <f t="shared" si="111"/>
        <v>0</v>
      </c>
      <c r="BJ226" s="3" t="s">
        <v>15</v>
      </c>
      <c r="BK226" s="82">
        <f>2*BA215</f>
        <v>47.442206462436765</v>
      </c>
      <c r="BL226" s="82">
        <f>2*BT215</f>
        <v>47.442206462436765</v>
      </c>
      <c r="BM226" s="3">
        <f t="shared" si="112"/>
        <v>0</v>
      </c>
      <c r="CD226" s="3" t="s">
        <v>15</v>
      </c>
      <c r="CE226" s="82">
        <f>2*BT215</f>
        <v>47.442206462436765</v>
      </c>
      <c r="CF226" s="82">
        <f>2*CO226</f>
        <v>47.442206462436765</v>
      </c>
      <c r="CG226" s="3">
        <f t="shared" si="113"/>
        <v>0</v>
      </c>
      <c r="CJ226" s="435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412" t="s">
        <v>414</v>
      </c>
      <c r="CZ226" s="412"/>
      <c r="DA226" s="412"/>
      <c r="DB226" s="412"/>
      <c r="DC226" s="412"/>
      <c r="DD226" s="412"/>
    </row>
    <row r="227" spans="2:169" ht="19" thickBot="1" x14ac:dyDescent="0.3">
      <c r="B227" s="61" t="s">
        <v>275</v>
      </c>
      <c r="C227" s="13" t="s">
        <v>254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18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29</v>
      </c>
      <c r="Y227" s="274">
        <f>N216</f>
        <v>189.13328158973877</v>
      </c>
      <c r="Z227" s="27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483</v>
      </c>
      <c r="AO227" s="50">
        <f>AE234</f>
        <v>7.9771214256715108</v>
      </c>
      <c r="AP227" s="48">
        <f>AP234</f>
        <v>555.77441893806406</v>
      </c>
      <c r="AQ227" s="3" t="s">
        <v>29</v>
      </c>
      <c r="AR227" s="274">
        <f>AH216</f>
        <v>189.13328158973877</v>
      </c>
      <c r="AS227" s="274">
        <f>BA216</f>
        <v>189.13328158973877</v>
      </c>
      <c r="AT227" s="3">
        <f t="shared" si="111"/>
        <v>0</v>
      </c>
      <c r="BJ227" s="3" t="s">
        <v>29</v>
      </c>
      <c r="BK227" s="274">
        <f>BA216</f>
        <v>189.13328158973877</v>
      </c>
      <c r="BL227" s="27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82">
        <f>BT216</f>
        <v>189.13328158973877</v>
      </c>
      <c r="CF227" s="82">
        <f>CO227</f>
        <v>189.13328158973877</v>
      </c>
      <c r="CG227" s="3">
        <f t="shared" si="113"/>
        <v>0</v>
      </c>
      <c r="CJ227" s="435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261</v>
      </c>
      <c r="CZ227" s="13" t="s">
        <v>232</v>
      </c>
      <c r="DA227" s="13" t="s">
        <v>232</v>
      </c>
      <c r="DB227" s="13" t="s">
        <v>232</v>
      </c>
      <c r="DC227" s="104" t="s">
        <v>316</v>
      </c>
      <c r="DD227" s="13" t="s">
        <v>310</v>
      </c>
    </row>
    <row r="228" spans="2:169" ht="23" customHeight="1" x14ac:dyDescent="0.25">
      <c r="B228" s="61" t="s">
        <v>275</v>
      </c>
      <c r="C228" s="13" t="s">
        <v>257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47</v>
      </c>
      <c r="L228" s="1" t="s">
        <v>88</v>
      </c>
      <c r="M228" s="3" t="s">
        <v>90</v>
      </c>
      <c r="N228" s="3" t="s">
        <v>86</v>
      </c>
      <c r="O228" s="1" t="s">
        <v>577</v>
      </c>
      <c r="P228" s="4"/>
      <c r="Q228" s="4"/>
      <c r="U228" s="3" t="s">
        <v>95</v>
      </c>
      <c r="V228" s="1" t="s">
        <v>92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179</v>
      </c>
      <c r="CE228" s="82">
        <f>BT210/coal_S_coeff</f>
        <v>97.6333439881017</v>
      </c>
      <c r="CF228" s="82">
        <f>(mol_C_to_BF/coke_S_coeff)+CO239</f>
        <v>97.6333439881017</v>
      </c>
      <c r="CG228" s="3">
        <f t="shared" si="113"/>
        <v>0</v>
      </c>
      <c r="CJ228" s="435"/>
      <c r="CK228" s="1" t="s">
        <v>595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97</v>
      </c>
      <c r="CZ228" s="13" t="s">
        <v>527</v>
      </c>
      <c r="DA228" s="13" t="s">
        <v>428</v>
      </c>
      <c r="DB228" s="13" t="s">
        <v>47</v>
      </c>
      <c r="DC228" s="34" t="s">
        <v>97</v>
      </c>
      <c r="DD228" s="13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516</v>
      </c>
      <c r="AF229" s="1" t="s">
        <v>517</v>
      </c>
      <c r="AG229" s="1" t="s">
        <v>646</v>
      </c>
      <c r="AH229" s="1" t="s">
        <v>84</v>
      </c>
      <c r="AI229" s="1" t="s">
        <v>576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518</v>
      </c>
      <c r="AP229" s="1" t="s">
        <v>49</v>
      </c>
      <c r="CK229" s="17" t="s">
        <v>18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262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40</v>
      </c>
      <c r="AE230" s="1" t="s">
        <v>87</v>
      </c>
      <c r="AF230" s="4" t="s">
        <v>279</v>
      </c>
      <c r="AG230" s="2" t="s">
        <v>89</v>
      </c>
      <c r="AH230" s="2" t="s">
        <v>85</v>
      </c>
      <c r="AI230" s="1" t="s">
        <v>94</v>
      </c>
      <c r="AJ230" s="2" t="s">
        <v>94</v>
      </c>
      <c r="AK230" s="2" t="s">
        <v>24</v>
      </c>
      <c r="AL230" s="2" t="s">
        <v>97</v>
      </c>
      <c r="AM230" s="2" t="s">
        <v>94</v>
      </c>
      <c r="AN230" s="2" t="s">
        <v>94</v>
      </c>
      <c r="AO230" s="2" t="s">
        <v>93</v>
      </c>
      <c r="AP230" s="2" t="s">
        <v>91</v>
      </c>
      <c r="CA230" s="63" t="s">
        <v>1</v>
      </c>
      <c r="CB230" s="58" t="s">
        <v>0</v>
      </c>
      <c r="CL230" s="1" t="s">
        <v>88</v>
      </c>
      <c r="CM230" s="1"/>
      <c r="CN230" s="3" t="s">
        <v>90</v>
      </c>
      <c r="CO230" s="3" t="s">
        <v>86</v>
      </c>
      <c r="CP230" s="1" t="s">
        <v>577</v>
      </c>
      <c r="CQ230" s="4"/>
      <c r="CR230" s="4"/>
      <c r="CV230" s="3" t="s">
        <v>95</v>
      </c>
      <c r="CW230" s="1" t="s">
        <v>92</v>
      </c>
    </row>
    <row r="231" spans="2:169" ht="18" customHeight="1" thickBot="1" x14ac:dyDescent="0.3">
      <c r="AC231" s="400" t="s">
        <v>483</v>
      </c>
      <c r="AD231" s="17" t="s">
        <v>22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88</v>
      </c>
      <c r="CB231" s="64" t="s">
        <v>92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400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487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88</v>
      </c>
      <c r="DQ232" s="64" t="s">
        <v>92</v>
      </c>
      <c r="EK232" s="65" t="s">
        <v>88</v>
      </c>
      <c r="EL232" s="64" t="s">
        <v>92</v>
      </c>
      <c r="FF232" s="65" t="s">
        <v>88</v>
      </c>
      <c r="FG232" s="64" t="s">
        <v>92</v>
      </c>
    </row>
    <row r="233" spans="2:169" ht="16" customHeight="1" thickBot="1" x14ac:dyDescent="0.3">
      <c r="AC233" s="400"/>
      <c r="AD233" s="7" t="s">
        <v>66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94"/>
      <c r="CV233" s="65" t="s">
        <v>88</v>
      </c>
      <c r="CW233" s="64" t="s">
        <v>92</v>
      </c>
      <c r="CY233" s="401" t="s">
        <v>581</v>
      </c>
      <c r="CZ233" s="401"/>
      <c r="DA233" s="401"/>
      <c r="DB233" s="401"/>
      <c r="DC233" s="401"/>
      <c r="DL233" s="3" t="s">
        <v>582</v>
      </c>
      <c r="DP233" s="50">
        <f>DF241</f>
        <v>46.099804713468714</v>
      </c>
      <c r="DQ233" s="48">
        <f>DQ241</f>
        <v>4043367.3234254471</v>
      </c>
      <c r="DS233" s="401" t="s">
        <v>583</v>
      </c>
      <c r="DT233" s="401"/>
      <c r="DU233" s="401"/>
      <c r="DV233" s="401"/>
      <c r="DW233" s="401"/>
      <c r="EG233" s="3" t="s">
        <v>584</v>
      </c>
      <c r="EK233" s="50">
        <f>EA241</f>
        <v>46.099804713468714</v>
      </c>
      <c r="EL233" s="48">
        <f>EL241</f>
        <v>4043367.3234254471</v>
      </c>
      <c r="FA233" s="3" t="s">
        <v>584</v>
      </c>
      <c r="FF233" s="50">
        <f>EV241</f>
        <v>13.829941414040613</v>
      </c>
      <c r="FG233" s="48">
        <f>FG241</f>
        <v>1213010.1970276341</v>
      </c>
      <c r="FI233" s="410" t="s">
        <v>398</v>
      </c>
      <c r="FJ233" s="411"/>
      <c r="FK233" s="411"/>
      <c r="FL233" s="411"/>
      <c r="FM233" s="411"/>
    </row>
    <row r="234" spans="2:169" ht="18" customHeight="1" thickBot="1" x14ac:dyDescent="0.3">
      <c r="U234" s="63" t="s">
        <v>1</v>
      </c>
      <c r="V234" s="58" t="s">
        <v>0</v>
      </c>
      <c r="AC234" s="400"/>
      <c r="AD234" s="17" t="s">
        <v>18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405" t="s">
        <v>481</v>
      </c>
      <c r="BL234" s="405"/>
      <c r="BM234" s="405"/>
      <c r="BN234" s="405"/>
      <c r="BP234" s="4"/>
      <c r="BQ234" s="1" t="s">
        <v>516</v>
      </c>
      <c r="BR234" s="1" t="s">
        <v>517</v>
      </c>
      <c r="BS234" s="1" t="s">
        <v>646</v>
      </c>
      <c r="BT234" s="1" t="s">
        <v>84</v>
      </c>
      <c r="BU234" s="1" t="s">
        <v>576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518</v>
      </c>
      <c r="CB234" s="1" t="s">
        <v>49</v>
      </c>
      <c r="CJ234" s="294"/>
      <c r="CR234" s="3" t="s">
        <v>489</v>
      </c>
      <c r="CV234" s="50">
        <f>CL243</f>
        <v>46.0998047134687</v>
      </c>
      <c r="CW234" s="48">
        <f>CW243</f>
        <v>4026178.1360752485</v>
      </c>
      <c r="CY234" s="401"/>
      <c r="CZ234" s="401"/>
      <c r="DA234" s="401"/>
      <c r="DB234" s="401"/>
      <c r="DC234" s="401"/>
      <c r="DS234" s="401"/>
      <c r="DT234" s="401"/>
      <c r="DU234" s="401"/>
      <c r="DV234" s="401"/>
      <c r="DW234" s="401"/>
      <c r="FI234" s="411"/>
      <c r="FJ234" s="411"/>
      <c r="FK234" s="411"/>
      <c r="FL234" s="411"/>
      <c r="FM234" s="411"/>
    </row>
    <row r="235" spans="2:169" ht="18" customHeight="1" x14ac:dyDescent="0.25">
      <c r="U235" s="65" t="s">
        <v>88</v>
      </c>
      <c r="V235" s="64" t="s">
        <v>92</v>
      </c>
      <c r="AE235" s="1" t="s">
        <v>88</v>
      </c>
      <c r="AF235" s="1"/>
      <c r="AG235" s="3" t="s">
        <v>90</v>
      </c>
      <c r="AH235" s="3" t="s">
        <v>86</v>
      </c>
      <c r="AI235" s="1" t="s">
        <v>577</v>
      </c>
      <c r="AJ235" s="4"/>
      <c r="AK235" s="4"/>
      <c r="AO235" s="3" t="s">
        <v>95</v>
      </c>
      <c r="AP235" s="1" t="s">
        <v>92</v>
      </c>
      <c r="BK235" s="405"/>
      <c r="BL235" s="405"/>
      <c r="BM235" s="405"/>
      <c r="BN235" s="405"/>
      <c r="BP235" s="4" t="s">
        <v>40</v>
      </c>
      <c r="BQ235" s="1" t="s">
        <v>87</v>
      </c>
      <c r="BR235" s="4" t="s">
        <v>279</v>
      </c>
      <c r="BS235" s="2" t="s">
        <v>89</v>
      </c>
      <c r="BT235" s="2" t="s">
        <v>85</v>
      </c>
      <c r="BU235" s="1" t="s">
        <v>94</v>
      </c>
      <c r="BV235" s="2" t="s">
        <v>94</v>
      </c>
      <c r="BW235" s="2" t="s">
        <v>24</v>
      </c>
      <c r="BX235" s="2" t="s">
        <v>97</v>
      </c>
      <c r="BY235" s="2" t="s">
        <v>94</v>
      </c>
      <c r="BZ235" s="2" t="s">
        <v>94</v>
      </c>
      <c r="CA235" s="2" t="s">
        <v>93</v>
      </c>
      <c r="CB235" s="2" t="s">
        <v>91</v>
      </c>
      <c r="CJ235" s="294"/>
      <c r="CY235" s="22" t="s">
        <v>406</v>
      </c>
      <c r="CZ235" s="22" t="s">
        <v>446</v>
      </c>
      <c r="DA235" s="158" t="s">
        <v>331</v>
      </c>
      <c r="DB235" s="415" t="s">
        <v>336</v>
      </c>
      <c r="DC235" s="137" t="s">
        <v>311</v>
      </c>
      <c r="DE235" s="4"/>
      <c r="DF235" s="1" t="s">
        <v>516</v>
      </c>
      <c r="DG235" s="1" t="s">
        <v>517</v>
      </c>
      <c r="DH235" s="1" t="s">
        <v>646</v>
      </c>
      <c r="DI235" s="1" t="s">
        <v>84</v>
      </c>
      <c r="DJ235" s="1" t="s">
        <v>576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518</v>
      </c>
      <c r="DQ235" s="1" t="s">
        <v>49</v>
      </c>
      <c r="DS235" s="22" t="s">
        <v>406</v>
      </c>
      <c r="DT235" s="22" t="s">
        <v>446</v>
      </c>
      <c r="DU235" s="158" t="s">
        <v>331</v>
      </c>
      <c r="DV235" s="415" t="s">
        <v>336</v>
      </c>
      <c r="DW235" s="137" t="s">
        <v>311</v>
      </c>
      <c r="DZ235" s="4"/>
      <c r="EA235" s="1" t="s">
        <v>516</v>
      </c>
      <c r="EB235" s="1" t="s">
        <v>517</v>
      </c>
      <c r="EC235" s="1" t="s">
        <v>646</v>
      </c>
      <c r="ED235" s="1" t="s">
        <v>84</v>
      </c>
      <c r="EE235" s="1" t="s">
        <v>576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518</v>
      </c>
      <c r="EL235" s="1" t="s">
        <v>49</v>
      </c>
      <c r="EU235" s="4"/>
      <c r="EV235" s="1" t="s">
        <v>516</v>
      </c>
      <c r="EW235" s="1" t="s">
        <v>517</v>
      </c>
      <c r="EX235" s="1" t="s">
        <v>646</v>
      </c>
      <c r="EY235" s="1" t="s">
        <v>84</v>
      </c>
      <c r="EZ235" s="1" t="s">
        <v>576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518</v>
      </c>
      <c r="FG235" s="1" t="s">
        <v>49</v>
      </c>
      <c r="FI235" s="411"/>
      <c r="FJ235" s="411"/>
      <c r="FK235" s="411"/>
      <c r="FL235" s="411"/>
      <c r="FM235" s="411"/>
    </row>
    <row r="236" spans="2:169" ht="22" customHeight="1" thickBot="1" x14ac:dyDescent="0.3">
      <c r="Q236" s="3" t="s">
        <v>499</v>
      </c>
      <c r="U236" s="50">
        <f>K242</f>
        <v>7.4647476716394348</v>
      </c>
      <c r="V236" s="48">
        <f>V242</f>
        <v>30.954464502133519</v>
      </c>
      <c r="BO236" s="435" t="s">
        <v>482</v>
      </c>
      <c r="BP236" s="8" t="s">
        <v>299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94"/>
      <c r="CK236" s="4"/>
      <c r="CL236" s="1" t="s">
        <v>516</v>
      </c>
      <c r="CM236" s="1" t="s">
        <v>517</v>
      </c>
      <c r="CN236" s="1" t="s">
        <v>646</v>
      </c>
      <c r="CO236" s="1" t="s">
        <v>84</v>
      </c>
      <c r="CP236" s="1" t="s">
        <v>576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518</v>
      </c>
      <c r="CW236" s="1" t="s">
        <v>49</v>
      </c>
      <c r="CY236" s="204" t="s">
        <v>47</v>
      </c>
      <c r="CZ236" s="9" t="s">
        <v>47</v>
      </c>
      <c r="DA236" s="1" t="s">
        <v>88</v>
      </c>
      <c r="DB236" s="416"/>
      <c r="DC236" s="135" t="s">
        <v>81</v>
      </c>
      <c r="DE236" s="4" t="s">
        <v>40</v>
      </c>
      <c r="DF236" s="1" t="s">
        <v>87</v>
      </c>
      <c r="DG236" s="4" t="s">
        <v>279</v>
      </c>
      <c r="DH236" s="2" t="s">
        <v>89</v>
      </c>
      <c r="DI236" s="2" t="s">
        <v>85</v>
      </c>
      <c r="DJ236" s="1" t="s">
        <v>94</v>
      </c>
      <c r="DK236" s="2" t="s">
        <v>94</v>
      </c>
      <c r="DL236" s="2" t="s">
        <v>24</v>
      </c>
      <c r="DM236" s="2" t="s">
        <v>97</v>
      </c>
      <c r="DN236" s="2" t="s">
        <v>94</v>
      </c>
      <c r="DO236" s="2" t="s">
        <v>94</v>
      </c>
      <c r="DP236" s="2" t="s">
        <v>93</v>
      </c>
      <c r="DQ236" s="2" t="s">
        <v>91</v>
      </c>
      <c r="DS236" s="204" t="s">
        <v>47</v>
      </c>
      <c r="DT236" s="9" t="s">
        <v>47</v>
      </c>
      <c r="DU236" s="1" t="s">
        <v>88</v>
      </c>
      <c r="DV236" s="416"/>
      <c r="DW236" s="135" t="s">
        <v>81</v>
      </c>
      <c r="DZ236" s="4" t="s">
        <v>40</v>
      </c>
      <c r="EA236" s="1" t="s">
        <v>87</v>
      </c>
      <c r="EB236" s="4" t="s">
        <v>279</v>
      </c>
      <c r="EC236" s="2" t="s">
        <v>89</v>
      </c>
      <c r="ED236" s="2" t="s">
        <v>85</v>
      </c>
      <c r="EE236" s="1" t="s">
        <v>94</v>
      </c>
      <c r="EF236" s="2" t="s">
        <v>94</v>
      </c>
      <c r="EG236" s="2" t="s">
        <v>24</v>
      </c>
      <c r="EH236" s="2" t="s">
        <v>97</v>
      </c>
      <c r="EI236" s="2" t="s">
        <v>94</v>
      </c>
      <c r="EJ236" s="2" t="s">
        <v>94</v>
      </c>
      <c r="EK236" s="2" t="s">
        <v>93</v>
      </c>
      <c r="EL236" s="2" t="s">
        <v>91</v>
      </c>
      <c r="EU236" s="4" t="s">
        <v>40</v>
      </c>
      <c r="EV236" s="1" t="s">
        <v>87</v>
      </c>
      <c r="EW236" s="4" t="s">
        <v>279</v>
      </c>
      <c r="EX236" s="2" t="s">
        <v>89</v>
      </c>
      <c r="EY236" s="2" t="s">
        <v>85</v>
      </c>
      <c r="EZ236" s="1" t="s">
        <v>94</v>
      </c>
      <c r="FA236" s="2" t="s">
        <v>94</v>
      </c>
      <c r="FB236" s="2" t="s">
        <v>24</v>
      </c>
      <c r="FC236" s="2" t="s">
        <v>97</v>
      </c>
      <c r="FD236" s="2" t="s">
        <v>94</v>
      </c>
      <c r="FE236" s="2" t="s">
        <v>94</v>
      </c>
      <c r="FF236" s="2" t="s">
        <v>93</v>
      </c>
      <c r="FG236" s="2" t="s">
        <v>91</v>
      </c>
    </row>
    <row r="237" spans="2:169" ht="18" customHeight="1" thickBot="1" x14ac:dyDescent="0.3">
      <c r="BO237" s="435"/>
      <c r="BP237" s="60" t="s">
        <v>66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94"/>
      <c r="CK237" s="4" t="s">
        <v>40</v>
      </c>
      <c r="CL237" s="1" t="s">
        <v>87</v>
      </c>
      <c r="CM237" s="4" t="s">
        <v>279</v>
      </c>
      <c r="CN237" s="2" t="s">
        <v>89</v>
      </c>
      <c r="CO237" s="2" t="s">
        <v>85</v>
      </c>
      <c r="CP237" s="1" t="s">
        <v>94</v>
      </c>
      <c r="CQ237" s="2" t="s">
        <v>94</v>
      </c>
      <c r="CR237" s="2" t="s">
        <v>24</v>
      </c>
      <c r="CS237" s="2" t="s">
        <v>97</v>
      </c>
      <c r="CT237" s="2" t="s">
        <v>94</v>
      </c>
      <c r="CU237" s="2" t="s">
        <v>94</v>
      </c>
      <c r="CV237" s="2" t="s">
        <v>93</v>
      </c>
      <c r="CW237" s="2" t="s">
        <v>91</v>
      </c>
      <c r="CY237" s="103">
        <f>0</f>
        <v>0</v>
      </c>
      <c r="CZ237" s="98">
        <f>CW234+DD229-DQ233</f>
        <v>16002.672043499071</v>
      </c>
      <c r="DA237" s="140">
        <f>DP233-CV234</f>
        <v>0</v>
      </c>
      <c r="DB237" s="138" t="s">
        <v>333</v>
      </c>
      <c r="DC237" s="135">
        <f>((DI238*(DP238-CV242)))/DD229</f>
        <v>0.19598481569901549</v>
      </c>
      <c r="DD237" s="408" t="s">
        <v>582</v>
      </c>
      <c r="DE237" s="17" t="s">
        <v>65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3">
        <f>0</f>
        <v>0</v>
      </c>
      <c r="DT237" s="98">
        <f>DQ233-EL233</f>
        <v>0</v>
      </c>
      <c r="DU237" s="140">
        <f>EK233-DP233</f>
        <v>0</v>
      </c>
      <c r="DV237" s="138" t="s">
        <v>333</v>
      </c>
      <c r="DW237" s="135" t="s">
        <v>97</v>
      </c>
      <c r="DY237" s="408" t="s">
        <v>486</v>
      </c>
      <c r="DZ237" s="17" t="s">
        <v>65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409" t="s">
        <v>584</v>
      </c>
      <c r="EU237" s="17" t="s">
        <v>65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405" t="s">
        <v>481</v>
      </c>
      <c r="F238" s="405"/>
      <c r="G238" s="405"/>
      <c r="H238" s="405"/>
      <c r="J238" s="4"/>
      <c r="K238" s="1" t="s">
        <v>516</v>
      </c>
      <c r="L238" s="1" t="s">
        <v>517</v>
      </c>
      <c r="M238" s="1" t="s">
        <v>646</v>
      </c>
      <c r="N238" s="1" t="s">
        <v>84</v>
      </c>
      <c r="O238" s="1" t="s">
        <v>576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518</v>
      </c>
      <c r="V238" s="1" t="s">
        <v>49</v>
      </c>
      <c r="BP238" s="3" t="s">
        <v>18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400" t="s">
        <v>489</v>
      </c>
      <c r="CK238" s="17" t="s">
        <v>65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8" t="s">
        <v>556</v>
      </c>
      <c r="DC238" s="135">
        <f>DQ233/(CW234+DD229)</f>
        <v>0.9960578434433518</v>
      </c>
      <c r="DD238" s="408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8" t="s">
        <v>556</v>
      </c>
      <c r="DW238" s="135">
        <f>EL233/DQ233</f>
        <v>1</v>
      </c>
      <c r="DY238" s="408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1"/>
      <c r="EN238" s="131"/>
      <c r="EO238" s="131"/>
      <c r="EP238" s="131"/>
      <c r="EQ238" s="131"/>
      <c r="ER238" s="131"/>
      <c r="ES238" s="131"/>
      <c r="ET238" s="409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405"/>
      <c r="F239" s="405"/>
      <c r="G239" s="405"/>
      <c r="H239" s="405"/>
      <c r="J239" s="4" t="s">
        <v>40</v>
      </c>
      <c r="K239" s="1" t="s">
        <v>87</v>
      </c>
      <c r="L239" s="4" t="s">
        <v>279</v>
      </c>
      <c r="M239" s="2" t="s">
        <v>89</v>
      </c>
      <c r="N239" s="2" t="s">
        <v>85</v>
      </c>
      <c r="O239" s="1" t="s">
        <v>94</v>
      </c>
      <c r="P239" s="2" t="s">
        <v>94</v>
      </c>
      <c r="Q239" s="2" t="s">
        <v>24</v>
      </c>
      <c r="R239" s="2" t="s">
        <v>97</v>
      </c>
      <c r="S239" s="2" t="s">
        <v>94</v>
      </c>
      <c r="T239" s="2" t="s">
        <v>94</v>
      </c>
      <c r="U239" s="2" t="s">
        <v>93</v>
      </c>
      <c r="V239" s="2" t="s">
        <v>91</v>
      </c>
      <c r="BQ239" s="1" t="s">
        <v>88</v>
      </c>
      <c r="BR239" s="1"/>
      <c r="BS239" s="3" t="s">
        <v>90</v>
      </c>
      <c r="BT239" s="3" t="s">
        <v>86</v>
      </c>
      <c r="BU239" s="1" t="s">
        <v>577</v>
      </c>
      <c r="BV239" s="4"/>
      <c r="BW239" s="4"/>
      <c r="CA239" s="3" t="s">
        <v>95</v>
      </c>
      <c r="CB239" s="1" t="s">
        <v>92</v>
      </c>
      <c r="CJ239" s="400"/>
      <c r="CK239" s="3" t="s">
        <v>356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39" t="s">
        <v>385</v>
      </c>
      <c r="DC239" s="136">
        <f>DQ238/(CW234+DD229)</f>
        <v>0.18236833377116268</v>
      </c>
      <c r="DD239" s="408"/>
      <c r="DE239" s="225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39" t="s">
        <v>385</v>
      </c>
      <c r="DW239" s="136">
        <f>EL233/DQ233</f>
        <v>1</v>
      </c>
      <c r="DY239" s="408"/>
      <c r="DZ239" s="225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09"/>
      <c r="EU239" s="225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400" t="s">
        <v>487</v>
      </c>
      <c r="J240" s="8" t="s">
        <v>299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400"/>
      <c r="CK240" s="3" t="s">
        <v>121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408"/>
      <c r="DE240" s="3" t="s">
        <v>356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408"/>
      <c r="DZ240" s="3" t="s">
        <v>356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09"/>
      <c r="EU240" s="3" t="s">
        <v>356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400"/>
      <c r="J241" s="60" t="s">
        <v>66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400"/>
      <c r="CK241" s="7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18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18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18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4:163" ht="18" x14ac:dyDescent="0.25">
      <c r="J242" s="3" t="s">
        <v>18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400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88</v>
      </c>
      <c r="DG242" s="1"/>
      <c r="DH242" s="3" t="s">
        <v>90</v>
      </c>
      <c r="DI242" s="3" t="s">
        <v>86</v>
      </c>
      <c r="DJ242" s="1" t="s">
        <v>577</v>
      </c>
      <c r="DK242" s="4"/>
      <c r="DL242" s="4"/>
      <c r="DP242" s="3" t="s">
        <v>95</v>
      </c>
      <c r="DQ242" s="1" t="s">
        <v>92</v>
      </c>
      <c r="EA242" s="1" t="s">
        <v>88</v>
      </c>
      <c r="EB242" s="1"/>
      <c r="EC242" s="3" t="s">
        <v>90</v>
      </c>
      <c r="ED242" s="3" t="s">
        <v>86</v>
      </c>
      <c r="EE242" s="1" t="s">
        <v>577</v>
      </c>
      <c r="EF242" s="4"/>
      <c r="EG242" s="4"/>
      <c r="EK242" s="3" t="s">
        <v>95</v>
      </c>
      <c r="EL242" s="1" t="s">
        <v>92</v>
      </c>
      <c r="EO242" s="4"/>
      <c r="EP242" s="3" t="s">
        <v>2</v>
      </c>
      <c r="EQ242" s="3" t="s">
        <v>3</v>
      </c>
      <c r="ER242" s="131" t="s">
        <v>542</v>
      </c>
      <c r="EV242" s="1" t="s">
        <v>88</v>
      </c>
      <c r="EW242" s="1"/>
      <c r="EX242" s="3" t="s">
        <v>90</v>
      </c>
      <c r="EY242" s="3" t="s">
        <v>86</v>
      </c>
      <c r="EZ242" s="1" t="s">
        <v>577</v>
      </c>
      <c r="FA242" s="4"/>
      <c r="FB242" s="4"/>
      <c r="FF242" s="3" t="s">
        <v>95</v>
      </c>
      <c r="FG242" s="1" t="s">
        <v>92</v>
      </c>
    </row>
    <row r="243" spans="4:163" ht="18" x14ac:dyDescent="0.25">
      <c r="K243" s="1" t="s">
        <v>88</v>
      </c>
      <c r="L243" s="1"/>
      <c r="M243" s="3" t="s">
        <v>90</v>
      </c>
      <c r="N243" s="3" t="s">
        <v>86</v>
      </c>
      <c r="O243" s="1" t="s">
        <v>577</v>
      </c>
      <c r="P243" s="4"/>
      <c r="Q243" s="4"/>
      <c r="U243" s="3" t="s">
        <v>95</v>
      </c>
      <c r="V243" s="1" t="s">
        <v>92</v>
      </c>
      <c r="CA243" s="65" t="s">
        <v>88</v>
      </c>
      <c r="CB243" s="64" t="s">
        <v>92</v>
      </c>
      <c r="CK243" s="17" t="s">
        <v>18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1" t="s">
        <v>542</v>
      </c>
      <c r="EO243" s="4"/>
      <c r="EP243" s="1" t="s">
        <v>544</v>
      </c>
      <c r="EQ243" s="1" t="s">
        <v>544</v>
      </c>
      <c r="ER243" s="1" t="s">
        <v>544</v>
      </c>
    </row>
    <row r="244" spans="4:163" ht="24" customHeight="1" thickBot="1" x14ac:dyDescent="0.3">
      <c r="BW244" s="3" t="s">
        <v>444</v>
      </c>
      <c r="CA244" s="50">
        <f>BR249</f>
        <v>204.127223518021</v>
      </c>
      <c r="CB244" s="48">
        <f>CB249</f>
        <v>10583778.883576756</v>
      </c>
      <c r="CL244" s="1" t="s">
        <v>88</v>
      </c>
      <c r="CM244" s="1"/>
      <c r="CN244" s="3" t="s">
        <v>90</v>
      </c>
      <c r="CO244" s="3" t="s">
        <v>86</v>
      </c>
      <c r="CP244" s="1" t="s">
        <v>577</v>
      </c>
      <c r="CQ244" s="4"/>
      <c r="CR244" s="4"/>
      <c r="CV244" s="3" t="s">
        <v>95</v>
      </c>
      <c r="CW244" s="1" t="s">
        <v>92</v>
      </c>
      <c r="CY244" s="4"/>
      <c r="CZ244" s="1" t="s">
        <v>544</v>
      </c>
      <c r="DA244" s="1" t="s">
        <v>544</v>
      </c>
      <c r="DB244" s="1" t="s">
        <v>544</v>
      </c>
      <c r="EO244" s="4" t="s">
        <v>59</v>
      </c>
      <c r="EP244" s="3" t="s">
        <v>543</v>
      </c>
      <c r="EQ244" s="3" t="s">
        <v>543</v>
      </c>
      <c r="ER244" s="3" t="s">
        <v>543</v>
      </c>
    </row>
    <row r="245" spans="4:163" x14ac:dyDescent="0.2">
      <c r="BO245" s="4"/>
      <c r="CY245" s="4" t="s">
        <v>59</v>
      </c>
      <c r="CZ245" s="3" t="s">
        <v>543</v>
      </c>
      <c r="DA245" s="3" t="s">
        <v>543</v>
      </c>
      <c r="DB245" s="3" t="s">
        <v>543</v>
      </c>
      <c r="EO245" s="3" t="s">
        <v>17</v>
      </c>
      <c r="EP245" s="82">
        <f>ED238</f>
        <v>897.50495218664253</v>
      </c>
      <c r="EQ245" s="82">
        <f>EY238+EE157</f>
        <v>897.50495218664241</v>
      </c>
      <c r="ER245" s="3">
        <f>EP245-EQ245</f>
        <v>0</v>
      </c>
    </row>
    <row r="246" spans="4:163" ht="18" customHeight="1" x14ac:dyDescent="0.25">
      <c r="BI246" s="299"/>
      <c r="BJ246" s="299"/>
      <c r="BK246" s="405" t="s">
        <v>443</v>
      </c>
      <c r="BL246" s="405"/>
      <c r="BM246" s="405"/>
      <c r="BN246" s="405"/>
      <c r="BO246" s="299"/>
      <c r="BP246" s="1"/>
      <c r="BQ246" s="3" t="s">
        <v>521</v>
      </c>
      <c r="BR246" s="1" t="s">
        <v>516</v>
      </c>
      <c r="BS246" s="1" t="s">
        <v>646</v>
      </c>
      <c r="BT246" s="1" t="s">
        <v>84</v>
      </c>
      <c r="BU246" s="1" t="s">
        <v>576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518</v>
      </c>
      <c r="CB246" s="1" t="s">
        <v>49</v>
      </c>
      <c r="CY246" s="3" t="s">
        <v>17</v>
      </c>
      <c r="CZ246" s="82">
        <f>CO240+CO241+CO242</f>
        <v>897.50495218664253</v>
      </c>
      <c r="DA246" s="82">
        <f>DI238</f>
        <v>897.50495218664253</v>
      </c>
      <c r="DB246" s="3">
        <f>CZ246-DA246</f>
        <v>0</v>
      </c>
      <c r="EO246" s="3" t="s">
        <v>181</v>
      </c>
      <c r="EP246" s="82">
        <f>(2*DI237)+(4*DI238)+(2*ED240)</f>
        <v>31404.116564962875</v>
      </c>
      <c r="EQ246" s="82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6" t="s">
        <v>239</v>
      </c>
      <c r="E247" s="3" t="s">
        <v>189</v>
      </c>
      <c r="F247" s="3" t="s">
        <v>238</v>
      </c>
      <c r="G247" s="3" t="s">
        <v>240</v>
      </c>
      <c r="BI247" s="299"/>
      <c r="BJ247" s="299"/>
      <c r="BK247" s="405"/>
      <c r="BL247" s="405"/>
      <c r="BM247" s="405"/>
      <c r="BN247" s="405"/>
      <c r="BO247" s="299"/>
      <c r="BP247" s="1"/>
      <c r="BQ247" s="3" t="s">
        <v>520</v>
      </c>
      <c r="BR247" s="1" t="s">
        <v>87</v>
      </c>
      <c r="BS247" s="1" t="s">
        <v>89</v>
      </c>
      <c r="BT247" s="2" t="s">
        <v>85</v>
      </c>
      <c r="BU247" s="1" t="s">
        <v>94</v>
      </c>
      <c r="BV247" s="2" t="s">
        <v>94</v>
      </c>
      <c r="BW247" s="2" t="s">
        <v>24</v>
      </c>
      <c r="BX247" s="1" t="s">
        <v>97</v>
      </c>
      <c r="BY247" s="2" t="s">
        <v>94</v>
      </c>
      <c r="BZ247" s="2" t="s">
        <v>94</v>
      </c>
      <c r="CA247" s="2" t="s">
        <v>93</v>
      </c>
      <c r="CB247" s="1" t="s">
        <v>91</v>
      </c>
      <c r="CY247" s="3" t="s">
        <v>181</v>
      </c>
      <c r="CZ247" s="82">
        <f>(2*CO238)+(2*CO239)+(4*CO242)</f>
        <v>31404.116564962875</v>
      </c>
      <c r="DA247" s="82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82">
        <f>2*ED239</f>
        <v>147.83147366020734</v>
      </c>
      <c r="EQ247" s="82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31"/>
      <c r="BP248" s="94" t="s">
        <v>64</v>
      </c>
      <c r="BQ248" s="94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28</v>
      </c>
      <c r="CZ248" s="82">
        <f>CO240+(2*CO241)</f>
        <v>147.83147366020734</v>
      </c>
      <c r="DA248" s="82">
        <f>(2*DI239)</f>
        <v>147.83147366020734</v>
      </c>
      <c r="DB248" s="3">
        <f t="shared" si="146"/>
        <v>0</v>
      </c>
      <c r="EO248" s="3" t="s">
        <v>179</v>
      </c>
      <c r="EP248" s="82">
        <f>ED240</f>
        <v>40.578575518840545</v>
      </c>
      <c r="EQ248" s="82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88</v>
      </c>
      <c r="BS250" s="3" t="s">
        <v>90</v>
      </c>
      <c r="BT250" s="3" t="s">
        <v>86</v>
      </c>
      <c r="BU250" s="1" t="s">
        <v>577</v>
      </c>
      <c r="BV250" s="4"/>
      <c r="BW250" s="4"/>
      <c r="CA250" s="3" t="s">
        <v>95</v>
      </c>
      <c r="CB250" s="1" t="s">
        <v>92</v>
      </c>
      <c r="CJ250" s="294"/>
      <c r="CV250" s="65" t="s">
        <v>88</v>
      </c>
      <c r="CW250" s="64" t="s">
        <v>92</v>
      </c>
    </row>
    <row r="251" spans="4:163" ht="16" thickBot="1" x14ac:dyDescent="0.25">
      <c r="CJ251" s="294"/>
      <c r="CR251" s="3" t="s">
        <v>490</v>
      </c>
      <c r="CV251" s="50">
        <f>CL258</f>
        <v>3698.8733194995434</v>
      </c>
      <c r="CW251" s="4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516</v>
      </c>
      <c r="CM253" s="1" t="s">
        <v>517</v>
      </c>
      <c r="CN253" s="1" t="s">
        <v>646</v>
      </c>
      <c r="CO253" s="1" t="s">
        <v>84</v>
      </c>
      <c r="CP253" s="1" t="s">
        <v>576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518</v>
      </c>
      <c r="CW253" s="1" t="s">
        <v>49</v>
      </c>
    </row>
    <row r="254" spans="4:163" ht="20" customHeight="1" x14ac:dyDescent="0.25">
      <c r="CK254" s="4" t="s">
        <v>40</v>
      </c>
      <c r="CL254" s="1" t="s">
        <v>87</v>
      </c>
      <c r="CM254" s="4" t="s">
        <v>279</v>
      </c>
      <c r="CN254" s="2" t="s">
        <v>89</v>
      </c>
      <c r="CO254" s="2" t="s">
        <v>85</v>
      </c>
      <c r="CP254" s="1" t="s">
        <v>94</v>
      </c>
      <c r="CQ254" s="2" t="s">
        <v>94</v>
      </c>
      <c r="CR254" s="2" t="s">
        <v>24</v>
      </c>
      <c r="CS254" s="2" t="s">
        <v>97</v>
      </c>
      <c r="CT254" s="2" t="s">
        <v>94</v>
      </c>
      <c r="CU254" s="2" t="s">
        <v>94</v>
      </c>
      <c r="CV254" s="2" t="s">
        <v>93</v>
      </c>
      <c r="CW254" s="2" t="s">
        <v>91</v>
      </c>
    </row>
    <row r="255" spans="4:163" ht="22" customHeight="1" x14ac:dyDescent="0.25">
      <c r="CJ255" s="400" t="s">
        <v>490</v>
      </c>
      <c r="CK255" s="17" t="s">
        <v>67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4:163" ht="18" x14ac:dyDescent="0.25">
      <c r="CJ256" s="400"/>
      <c r="CK256" s="235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400"/>
      <c r="CK257" s="7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18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88</v>
      </c>
      <c r="CM259" s="1"/>
      <c r="CN259" s="3" t="s">
        <v>90</v>
      </c>
      <c r="CO259" s="3" t="s">
        <v>86</v>
      </c>
      <c r="CP259" s="1" t="s">
        <v>577</v>
      </c>
      <c r="CQ259" s="4"/>
      <c r="CR259" s="4"/>
      <c r="CV259" s="3" t="s">
        <v>95</v>
      </c>
      <c r="CW259" s="1" t="s">
        <v>92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88</v>
      </c>
      <c r="CW266" s="64" t="s">
        <v>92</v>
      </c>
    </row>
    <row r="267" spans="52:101" ht="16" thickBot="1" x14ac:dyDescent="0.25">
      <c r="CR267" s="3" t="s">
        <v>490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516</v>
      </c>
      <c r="CM269" s="1" t="s">
        <v>517</v>
      </c>
      <c r="CN269" s="1" t="s">
        <v>646</v>
      </c>
      <c r="CO269" s="1" t="s">
        <v>84</v>
      </c>
      <c r="CP269" s="1" t="s">
        <v>576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518</v>
      </c>
      <c r="CW269" s="1" t="s">
        <v>49</v>
      </c>
    </row>
    <row r="270" spans="52:101" ht="18" x14ac:dyDescent="0.25">
      <c r="CK270" s="4" t="s">
        <v>40</v>
      </c>
      <c r="CL270" s="1" t="s">
        <v>87</v>
      </c>
      <c r="CM270" s="4" t="s">
        <v>279</v>
      </c>
      <c r="CN270" s="1" t="s">
        <v>89</v>
      </c>
      <c r="CO270" s="1" t="s">
        <v>85</v>
      </c>
      <c r="CP270" s="1" t="s">
        <v>94</v>
      </c>
      <c r="CQ270" s="1" t="s">
        <v>94</v>
      </c>
      <c r="CR270" s="1" t="s">
        <v>24</v>
      </c>
      <c r="CS270" s="1" t="s">
        <v>97</v>
      </c>
      <c r="CT270" s="1" t="s">
        <v>94</v>
      </c>
      <c r="CU270" s="1" t="s">
        <v>94</v>
      </c>
      <c r="CV270" s="1" t="s">
        <v>93</v>
      </c>
      <c r="CW270" s="1" t="s">
        <v>91</v>
      </c>
    </row>
    <row r="271" spans="52:101" ht="27" customHeight="1" x14ac:dyDescent="0.25">
      <c r="CJ271" s="435" t="s">
        <v>619</v>
      </c>
      <c r="CK271" s="17" t="s">
        <v>592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435"/>
      <c r="CK272" s="3" t="s">
        <v>593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435"/>
      <c r="CK273" s="3" t="s">
        <v>594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435"/>
      <c r="CK274" s="3" t="s">
        <v>603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435"/>
      <c r="CK275" s="3" t="s">
        <v>610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435"/>
      <c r="CK276" s="3" t="s">
        <v>612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435"/>
      <c r="CK277" s="4" t="s">
        <v>613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435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435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435"/>
      <c r="CK280" s="7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435"/>
      <c r="CK281" s="296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18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88</v>
      </c>
      <c r="CM283" s="1"/>
      <c r="CN283" s="3" t="s">
        <v>90</v>
      </c>
      <c r="CO283" s="3" t="s">
        <v>86</v>
      </c>
      <c r="CP283" s="1" t="s">
        <v>577</v>
      </c>
      <c r="CQ283" s="4"/>
      <c r="CR283" s="4"/>
      <c r="CV283" s="3" t="s">
        <v>95</v>
      </c>
      <c r="CW283" s="1" t="s">
        <v>92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8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39" t="s">
        <v>684</v>
      </c>
      <c r="D2" s="439"/>
      <c r="E2" s="439"/>
      <c r="F2" s="439"/>
      <c r="G2" s="439"/>
      <c r="H2" s="439"/>
      <c r="I2" s="439"/>
      <c r="J2" s="439"/>
      <c r="K2" s="439"/>
      <c r="L2" s="439"/>
      <c r="M2" s="439"/>
      <c r="N2" s="439"/>
    </row>
    <row r="3" spans="2:22" ht="18" x14ac:dyDescent="0.25">
      <c r="B3" s="4"/>
      <c r="C3" s="1" t="s">
        <v>516</v>
      </c>
      <c r="D3" s="1" t="s">
        <v>517</v>
      </c>
      <c r="E3" s="1" t="s">
        <v>646</v>
      </c>
      <c r="F3" s="1" t="s">
        <v>84</v>
      </c>
      <c r="G3" s="1" t="s">
        <v>576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518</v>
      </c>
      <c r="N3" s="1" t="s">
        <v>49</v>
      </c>
    </row>
    <row r="4" spans="2:22" ht="18" x14ac:dyDescent="0.25">
      <c r="B4" s="4" t="s">
        <v>40</v>
      </c>
      <c r="C4" s="1" t="s">
        <v>87</v>
      </c>
      <c r="D4" s="4" t="s">
        <v>279</v>
      </c>
      <c r="E4" s="2" t="s">
        <v>89</v>
      </c>
      <c r="F4" s="2" t="s">
        <v>85</v>
      </c>
      <c r="G4" s="1" t="s">
        <v>94</v>
      </c>
      <c r="H4" s="2" t="s">
        <v>94</v>
      </c>
      <c r="I4" s="2" t="s">
        <v>24</v>
      </c>
      <c r="J4" s="2" t="s">
        <v>97</v>
      </c>
      <c r="K4" s="2" t="s">
        <v>94</v>
      </c>
      <c r="L4" s="2" t="s">
        <v>94</v>
      </c>
      <c r="M4" s="2" t="s">
        <v>93</v>
      </c>
      <c r="N4" s="2" t="s">
        <v>91</v>
      </c>
      <c r="R4" s="427" t="s">
        <v>416</v>
      </c>
      <c r="S4" s="427"/>
      <c r="T4" s="427"/>
      <c r="U4" s="427"/>
      <c r="V4" s="427"/>
    </row>
    <row r="5" spans="2:22" ht="19" thickBot="1" x14ac:dyDescent="0.3">
      <c r="B5" s="27" t="s">
        <v>321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427"/>
      <c r="S5" s="427"/>
      <c r="T5" s="427"/>
      <c r="U5" s="427"/>
      <c r="V5" s="427"/>
    </row>
    <row r="6" spans="2:22" ht="18" x14ac:dyDescent="0.25">
      <c r="B6" s="6" t="s">
        <v>324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09" t="s">
        <v>332</v>
      </c>
    </row>
    <row r="7" spans="2:22" ht="16" x14ac:dyDescent="0.2">
      <c r="B7" s="27" t="s">
        <v>18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5"/>
      <c r="K7" s="125"/>
      <c r="L7" s="125"/>
      <c r="M7" s="27">
        <f>SUM(M5:M6)</f>
        <v>12.027717183038042</v>
      </c>
      <c r="N7" s="27">
        <f>SUM(N5:N6)</f>
        <v>25297.051877142174</v>
      </c>
      <c r="T7" s="132" t="s">
        <v>62</v>
      </c>
    </row>
    <row r="8" spans="2:22" ht="19" thickBot="1" x14ac:dyDescent="0.3">
      <c r="B8" s="6"/>
      <c r="C8" s="6" t="s">
        <v>318</v>
      </c>
      <c r="D8" s="6"/>
      <c r="E8" s="112" t="s">
        <v>325</v>
      </c>
      <c r="F8" s="112" t="s">
        <v>326</v>
      </c>
      <c r="G8" s="1" t="s">
        <v>577</v>
      </c>
      <c r="H8" s="6"/>
      <c r="I8" s="6"/>
      <c r="J8" s="112"/>
      <c r="K8" s="112"/>
      <c r="L8" s="112"/>
      <c r="M8" s="112" t="s">
        <v>327</v>
      </c>
      <c r="N8" s="6" t="s">
        <v>319</v>
      </c>
      <c r="T8" s="133">
        <v>1173.1500000000001</v>
      </c>
    </row>
    <row r="15" spans="2:22" ht="21" x14ac:dyDescent="0.3">
      <c r="C15" s="438" t="s">
        <v>683</v>
      </c>
      <c r="D15" s="438"/>
      <c r="E15" s="438"/>
      <c r="F15" s="438"/>
    </row>
    <row r="16" spans="2:22" ht="18" x14ac:dyDescent="0.25">
      <c r="B16" s="3"/>
      <c r="C16" s="278" t="s">
        <v>648</v>
      </c>
      <c r="D16" s="278" t="s">
        <v>649</v>
      </c>
      <c r="E16" s="3" t="s">
        <v>650</v>
      </c>
      <c r="F16" s="1" t="s">
        <v>651</v>
      </c>
    </row>
    <row r="17" spans="2:9" ht="17" x14ac:dyDescent="0.2">
      <c r="B17" s="3"/>
      <c r="C17" s="278" t="s">
        <v>57</v>
      </c>
      <c r="D17" s="278" t="s">
        <v>57</v>
      </c>
      <c r="E17" s="3" t="s">
        <v>62</v>
      </c>
      <c r="F17" s="278" t="s">
        <v>57</v>
      </c>
    </row>
    <row r="18" spans="2:9" ht="18" x14ac:dyDescent="0.25">
      <c r="B18" s="27" t="s">
        <v>321</v>
      </c>
      <c r="C18" s="17">
        <f>cp_CaCO3*(T8-Constants!N5)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324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 x14ac:dyDescent="0.2">
      <c r="B20" s="340"/>
      <c r="C20" s="340"/>
      <c r="D20" s="340"/>
      <c r="E20" s="340"/>
      <c r="F20" s="340"/>
    </row>
    <row r="22" spans="2:9" ht="21" x14ac:dyDescent="0.3">
      <c r="C22" s="363" t="s">
        <v>682</v>
      </c>
    </row>
    <row r="23" spans="2:9" ht="18" x14ac:dyDescent="0.25">
      <c r="C23" s="2" t="s">
        <v>94</v>
      </c>
    </row>
    <row r="24" spans="2:9" ht="18" x14ac:dyDescent="0.25">
      <c r="B24" s="27" t="s">
        <v>321</v>
      </c>
      <c r="C24" s="27">
        <f>b_ch_CaCO3</f>
        <v>11.256799999999885</v>
      </c>
    </row>
    <row r="25" spans="2:9" ht="18" x14ac:dyDescent="0.25">
      <c r="B25" s="6" t="s">
        <v>324</v>
      </c>
      <c r="C25" s="6">
        <f>b_ch_MgCO3</f>
        <v>33.790400000000034</v>
      </c>
    </row>
    <row r="26" spans="2:9" x14ac:dyDescent="0.2">
      <c r="B26" s="340"/>
      <c r="C26" s="340"/>
    </row>
    <row r="28" spans="2:9" ht="21" x14ac:dyDescent="0.3">
      <c r="C28" s="438" t="s">
        <v>686</v>
      </c>
      <c r="D28" s="438"/>
      <c r="E28" s="438"/>
      <c r="F28" s="438"/>
      <c r="G28" s="438"/>
      <c r="H28" s="438"/>
      <c r="I28" s="438"/>
    </row>
    <row r="29" spans="2:9" ht="18" x14ac:dyDescent="0.25">
      <c r="C29" s="1" t="s">
        <v>516</v>
      </c>
      <c r="D29" s="1" t="s">
        <v>517</v>
      </c>
      <c r="E29" s="1" t="s">
        <v>646</v>
      </c>
      <c r="F29" s="1" t="s">
        <v>84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87</v>
      </c>
      <c r="D30" s="4" t="s">
        <v>279</v>
      </c>
      <c r="E30" s="2" t="s">
        <v>89</v>
      </c>
      <c r="F30" s="2" t="s">
        <v>85</v>
      </c>
      <c r="G30" s="2" t="s">
        <v>24</v>
      </c>
      <c r="H30" s="2" t="s">
        <v>97</v>
      </c>
      <c r="I30" s="2" t="s">
        <v>94</v>
      </c>
    </row>
    <row r="31" spans="2:9" ht="18" x14ac:dyDescent="0.25">
      <c r="B31" s="27" t="s">
        <v>321</v>
      </c>
      <c r="C31" s="27">
        <f>Limestone_for_BF</f>
        <v>198.12782320839224</v>
      </c>
      <c r="D31" s="27">
        <v>0.95</v>
      </c>
      <c r="E31" s="27">
        <f>MW_CaCO3</f>
        <v>0.1000872</v>
      </c>
      <c r="F31" s="27">
        <f>C31/E31</f>
        <v>1979.5520626852608</v>
      </c>
      <c r="G31" s="27">
        <f>D31/D33</f>
        <v>0.95</v>
      </c>
      <c r="H31" s="27">
        <f>LN(G31)</f>
        <v>-5.1293294387550578E-2</v>
      </c>
      <c r="I31" s="27">
        <f>RT0*H31</f>
        <v>-0.12708282996235246</v>
      </c>
    </row>
    <row r="32" spans="2:9" ht="18" x14ac:dyDescent="0.25">
      <c r="B32" s="6" t="s">
        <v>324</v>
      </c>
      <c r="C32" s="6">
        <f>(C31*D32)/D31</f>
        <v>10.427780168862752</v>
      </c>
      <c r="D32" s="6">
        <v>0.05</v>
      </c>
      <c r="E32" s="6">
        <f>MW_MgCO3</f>
        <v>8.4314200000000006E-2</v>
      </c>
      <c r="F32" s="6">
        <f>C32/E32</f>
        <v>123.6776268868441</v>
      </c>
      <c r="G32" s="6">
        <f>D32/D33</f>
        <v>0.05</v>
      </c>
      <c r="H32" s="6">
        <f>LN(G32)</f>
        <v>-2.9957322735539909</v>
      </c>
      <c r="I32" s="6">
        <f>RT0*H32</f>
        <v>-7.4221424004537075</v>
      </c>
    </row>
    <row r="33" spans="2:9" ht="16" x14ac:dyDescent="0.2">
      <c r="B33" s="340"/>
      <c r="C33" s="27">
        <f>SUM(C31:C32)</f>
        <v>208.55560337725498</v>
      </c>
      <c r="D33" s="27">
        <f>SUM(D31:D32)</f>
        <v>1</v>
      </c>
      <c r="E33" s="27">
        <f>SUM(E31:E32)</f>
        <v>0.18440139999999999</v>
      </c>
      <c r="F33" s="27">
        <f>SUM(F31:F32)</f>
        <v>2103.2296895721047</v>
      </c>
      <c r="G33" s="27">
        <f>SUM(G31:G32)</f>
        <v>1</v>
      </c>
      <c r="H33" s="125"/>
      <c r="I33" s="125"/>
    </row>
    <row r="34" spans="2:9" ht="18" x14ac:dyDescent="0.25">
      <c r="C34" s="6" t="s">
        <v>318</v>
      </c>
      <c r="D34" s="6"/>
      <c r="E34" s="112" t="s">
        <v>325</v>
      </c>
      <c r="F34" s="112" t="s">
        <v>326</v>
      </c>
    </row>
    <row r="40" spans="2:9" ht="21" x14ac:dyDescent="0.3">
      <c r="C40" s="438" t="s">
        <v>687</v>
      </c>
      <c r="D40" s="438"/>
      <c r="E40" s="438"/>
      <c r="F40" s="438"/>
      <c r="G40" s="438"/>
      <c r="H40" s="438"/>
      <c r="I40" s="438"/>
    </row>
    <row r="41" spans="2:9" ht="17" x14ac:dyDescent="0.25">
      <c r="B41" s="3"/>
      <c r="C41" s="3" t="s">
        <v>655</v>
      </c>
      <c r="D41" s="3" t="s">
        <v>657</v>
      </c>
      <c r="E41" s="3" t="s">
        <v>658</v>
      </c>
      <c r="F41" s="3" t="s">
        <v>661</v>
      </c>
      <c r="G41" s="3" t="s">
        <v>661</v>
      </c>
      <c r="H41" s="3" t="s">
        <v>660</v>
      </c>
      <c r="I41" s="3" t="s">
        <v>660</v>
      </c>
    </row>
    <row r="42" spans="2:9" ht="18" x14ac:dyDescent="0.25">
      <c r="B42" s="3"/>
      <c r="C42" s="3" t="s">
        <v>97</v>
      </c>
      <c r="D42" s="3" t="s">
        <v>663</v>
      </c>
      <c r="E42" s="3" t="s">
        <v>656</v>
      </c>
      <c r="F42" s="3" t="s">
        <v>659</v>
      </c>
      <c r="G42" s="3" t="s">
        <v>662</v>
      </c>
      <c r="H42" s="3" t="s">
        <v>338</v>
      </c>
      <c r="I42" s="1" t="s">
        <v>94</v>
      </c>
    </row>
    <row r="43" spans="2:9" ht="18" x14ac:dyDescent="0.25">
      <c r="B43" s="27" t="s">
        <v>321</v>
      </c>
      <c r="C43" s="17">
        <v>1.373</v>
      </c>
      <c r="D43" s="17">
        <f>0.025*0.001</f>
        <v>2.5000000000000001E-5</v>
      </c>
      <c r="E43" s="17">
        <v>6</v>
      </c>
      <c r="F43" s="17">
        <v>1E-3</v>
      </c>
      <c r="G43" s="17">
        <f>1/1000</f>
        <v>1E-3</v>
      </c>
      <c r="H43" s="17">
        <f>((E43*C43)/D43)*F43*G43</f>
        <v>0.32951999999999992</v>
      </c>
      <c r="I43" s="17">
        <f>H43*MW_CaCO3</f>
        <v>3.298073414399999E-2</v>
      </c>
    </row>
    <row r="44" spans="2:9" ht="18" x14ac:dyDescent="0.25">
      <c r="B44" s="6" t="s">
        <v>324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7"/>
      <c r="C45" s="17"/>
      <c r="D45" s="17"/>
      <c r="E45" s="17"/>
      <c r="F45" s="17"/>
      <c r="G45" s="17"/>
      <c r="H45" s="17"/>
      <c r="I45" s="17"/>
    </row>
    <row r="48" spans="2:9" ht="21" x14ac:dyDescent="0.3">
      <c r="C48" s="438" t="s">
        <v>688</v>
      </c>
      <c r="D48" s="438"/>
      <c r="E48" s="438"/>
      <c r="F48" s="438"/>
      <c r="G48" s="438"/>
      <c r="H48" s="438"/>
      <c r="I48" s="364"/>
    </row>
    <row r="49" spans="2:8" ht="18" x14ac:dyDescent="0.25">
      <c r="C49" s="1" t="s">
        <v>7</v>
      </c>
      <c r="D49" s="1" t="s">
        <v>664</v>
      </c>
      <c r="E49" s="1" t="s">
        <v>665</v>
      </c>
      <c r="F49" s="1" t="s">
        <v>666</v>
      </c>
      <c r="G49" s="1" t="s">
        <v>667</v>
      </c>
      <c r="H49" s="1" t="s">
        <v>668</v>
      </c>
    </row>
    <row r="50" spans="2:8" ht="18" x14ac:dyDescent="0.25">
      <c r="C50" s="2" t="s">
        <v>24</v>
      </c>
      <c r="D50" s="2" t="s">
        <v>93</v>
      </c>
      <c r="E50" s="2" t="s">
        <v>93</v>
      </c>
      <c r="F50" s="2" t="s">
        <v>93</v>
      </c>
      <c r="G50" s="2" t="s">
        <v>93</v>
      </c>
      <c r="H50" s="2" t="s">
        <v>93</v>
      </c>
    </row>
    <row r="51" spans="2:8" ht="18" x14ac:dyDescent="0.25">
      <c r="B51" s="27" t="s">
        <v>321</v>
      </c>
      <c r="C51" s="27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6" t="s">
        <v>324</v>
      </c>
      <c r="C52" s="6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40"/>
      <c r="C53" s="27">
        <f>SUM(C51:C52)</f>
        <v>1</v>
      </c>
      <c r="D53" s="27">
        <f t="shared" ref="D53:F53" si="0">SUM(D51:D52)</f>
        <v>35.506552109896553</v>
      </c>
      <c r="E53" s="27">
        <f t="shared" si="0"/>
        <v>12.581858402814841</v>
      </c>
      <c r="F53" s="27">
        <f t="shared" si="0"/>
        <v>-0.55605911350848669</v>
      </c>
      <c r="G53" s="340">
        <f>G51+G52</f>
        <v>3.1067739359130622E-2</v>
      </c>
      <c r="H53" s="340">
        <f>H51+H52</f>
        <v>47.563419138562033</v>
      </c>
    </row>
    <row r="55" spans="2:8" x14ac:dyDescent="0.2">
      <c r="C55" s="368"/>
      <c r="D55" s="368"/>
      <c r="E55" s="368"/>
    </row>
    <row r="56" spans="2:8" ht="18" x14ac:dyDescent="0.25">
      <c r="C56" s="1" t="s">
        <v>670</v>
      </c>
      <c r="D56" s="1" t="s">
        <v>668</v>
      </c>
      <c r="E56" s="1" t="s">
        <v>669</v>
      </c>
    </row>
    <row r="57" spans="2:8" ht="18" x14ac:dyDescent="0.25">
      <c r="C57" s="2" t="s">
        <v>93</v>
      </c>
      <c r="D57" s="2" t="s">
        <v>93</v>
      </c>
      <c r="E57" s="3" t="s">
        <v>671</v>
      </c>
    </row>
    <row r="58" spans="2:8" x14ac:dyDescent="0.2">
      <c r="B58" s="94" t="s">
        <v>19</v>
      </c>
      <c r="C58" s="3">
        <f>G53</f>
        <v>3.1067739359130622E-2</v>
      </c>
      <c r="D58" s="3">
        <f>H53</f>
        <v>47.563419138562033</v>
      </c>
      <c r="E58" s="94">
        <f>(C58/D58)*100</f>
        <v>6.531855766849709E-2</v>
      </c>
    </row>
    <row r="59" spans="2:8" x14ac:dyDescent="0.2">
      <c r="C59" s="340"/>
      <c r="D59" s="340"/>
      <c r="E59" s="340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05"/>
      <c r="E5" s="206" t="s">
        <v>261</v>
      </c>
      <c r="F5" s="209" t="s">
        <v>232</v>
      </c>
      <c r="G5" s="212" t="s">
        <v>310</v>
      </c>
      <c r="H5" s="209" t="s">
        <v>232</v>
      </c>
      <c r="I5" s="212" t="s">
        <v>310</v>
      </c>
    </row>
    <row r="6" spans="4:9" ht="20" thickBot="1" x14ac:dyDescent="0.3">
      <c r="D6" s="205"/>
      <c r="E6" s="259" t="s">
        <v>97</v>
      </c>
      <c r="F6" s="260" t="s">
        <v>47</v>
      </c>
      <c r="G6" s="261" t="s">
        <v>47</v>
      </c>
      <c r="H6" s="260" t="s">
        <v>408</v>
      </c>
      <c r="I6" s="261" t="s">
        <v>408</v>
      </c>
    </row>
    <row r="7" spans="4:9" ht="19" x14ac:dyDescent="0.25">
      <c r="D7" s="440" t="s">
        <v>407</v>
      </c>
      <c r="E7" s="208" t="s">
        <v>529</v>
      </c>
      <c r="F7" s="211">
        <f>Ore_to_PI!F72</f>
        <v>88160.656904773379</v>
      </c>
      <c r="G7" s="262">
        <f>1.06*F7</f>
        <v>93450.29631905978</v>
      </c>
      <c r="H7" s="263">
        <f>F7/1000000000</f>
        <v>8.8160656904773385E-5</v>
      </c>
      <c r="I7" s="264">
        <f>G7/1000000000</f>
        <v>9.3450296319059779E-5</v>
      </c>
    </row>
    <row r="8" spans="4:9" ht="20" thickBot="1" x14ac:dyDescent="0.3">
      <c r="D8" s="441"/>
      <c r="E8" s="208" t="s">
        <v>409</v>
      </c>
      <c r="F8" s="211">
        <f>Ore_to_PI!$AS$28+Ore_to_PI!$BL$35</f>
        <v>622271.50143934821</v>
      </c>
      <c r="G8" s="262">
        <f>F8</f>
        <v>622271.50143934821</v>
      </c>
      <c r="H8" s="263">
        <f t="shared" ref="H8:H18" si="0">F8/1000000000</f>
        <v>6.2227150143934825E-4</v>
      </c>
      <c r="I8" s="264">
        <f t="shared" ref="I8:I18" si="1">G8/1000000000</f>
        <v>6.2227150143934825E-4</v>
      </c>
    </row>
    <row r="9" spans="4:9" ht="19" x14ac:dyDescent="0.25">
      <c r="D9" s="442" t="s">
        <v>19</v>
      </c>
      <c r="E9" s="208" t="s">
        <v>529</v>
      </c>
      <c r="F9" s="211">
        <f>Ore_to_PI!K144</f>
        <v>241.59146310558401</v>
      </c>
      <c r="G9" s="262">
        <f>F9*1.06</f>
        <v>256.08695089191906</v>
      </c>
      <c r="H9" s="263">
        <f t="shared" si="0"/>
        <v>2.4159146310558403E-7</v>
      </c>
      <c r="I9" s="264">
        <f t="shared" si="1"/>
        <v>2.5608695089191904E-7</v>
      </c>
    </row>
    <row r="10" spans="4:9" ht="19" x14ac:dyDescent="0.25">
      <c r="D10" s="443"/>
      <c r="E10" s="208" t="s">
        <v>530</v>
      </c>
      <c r="F10" s="211">
        <f>Ore_to_PI!K155</f>
        <v>22.443944839719084</v>
      </c>
      <c r="G10" s="262">
        <f>F10*1.04</f>
        <v>23.341702633307847</v>
      </c>
      <c r="H10" s="263">
        <f t="shared" si="0"/>
        <v>2.2443944839719083E-8</v>
      </c>
      <c r="I10" s="264">
        <f t="shared" si="1"/>
        <v>2.3341702633307846E-8</v>
      </c>
    </row>
    <row r="11" spans="4:9" ht="19" x14ac:dyDescent="0.25">
      <c r="D11" s="443"/>
      <c r="E11" s="208" t="s">
        <v>262</v>
      </c>
      <c r="F11" s="211">
        <f>Ore_to_PI!AS113+Ore_to_PI!BK116</f>
        <v>2859.5637429090343</v>
      </c>
      <c r="G11" s="262">
        <f>F11</f>
        <v>2859.5637429090343</v>
      </c>
      <c r="H11" s="263">
        <f t="shared" si="0"/>
        <v>2.8595637429090342E-6</v>
      </c>
      <c r="I11" s="264">
        <f t="shared" si="1"/>
        <v>2.8595637429090342E-6</v>
      </c>
    </row>
    <row r="12" spans="4:9" ht="20" thickBot="1" x14ac:dyDescent="0.3">
      <c r="D12" s="444"/>
      <c r="E12" s="208" t="s">
        <v>410</v>
      </c>
      <c r="F12" s="211">
        <f>Ore_to_PI!BQ156</f>
        <v>1881501.0603161759</v>
      </c>
      <c r="G12" s="262">
        <f>F12*1.04</f>
        <v>1956761.102728823</v>
      </c>
      <c r="H12" s="263">
        <f t="shared" si="0"/>
        <v>1.8815010603161759E-3</v>
      </c>
      <c r="I12" s="264">
        <f t="shared" si="1"/>
        <v>1.9567611027288228E-3</v>
      </c>
    </row>
    <row r="13" spans="4:9" ht="19" x14ac:dyDescent="0.25">
      <c r="D13" s="445" t="s">
        <v>345</v>
      </c>
      <c r="E13" s="208" t="s">
        <v>529</v>
      </c>
      <c r="F13" s="211">
        <f>Ore_to_PI!K226</f>
        <v>21827.121921766418</v>
      </c>
      <c r="G13" s="262">
        <f>F13*1.06</f>
        <v>23136.749237072403</v>
      </c>
      <c r="H13" s="263">
        <f t="shared" si="0"/>
        <v>2.1827121921766417E-5</v>
      </c>
      <c r="I13" s="264">
        <f t="shared" si="1"/>
        <v>2.3136749237072402E-5</v>
      </c>
    </row>
    <row r="14" spans="4:9" ht="19" x14ac:dyDescent="0.25">
      <c r="D14" s="446"/>
      <c r="E14" s="208" t="s">
        <v>410</v>
      </c>
      <c r="F14" s="211">
        <f>Ore_to_PI!BQ248</f>
        <v>10206361.17590105</v>
      </c>
      <c r="G14" s="262">
        <f>F14*1.04</f>
        <v>10614615.622937093</v>
      </c>
      <c r="H14" s="263">
        <f t="shared" si="0"/>
        <v>1.020636117590105E-2</v>
      </c>
      <c r="I14" s="264">
        <f t="shared" si="1"/>
        <v>1.0614615622937093E-2</v>
      </c>
    </row>
    <row r="15" spans="4:9" ht="20" thickBot="1" x14ac:dyDescent="0.3">
      <c r="D15" s="447"/>
      <c r="E15" s="208" t="s">
        <v>409</v>
      </c>
      <c r="F15" s="211">
        <f>Ore_to_PI!AA195+Ore_to_PI!AS190+Ore_to_PI!BK195+Ore_to_PI!DB229</f>
        <v>114140.71648877421</v>
      </c>
      <c r="G15" s="262">
        <f>F15</f>
        <v>114140.71648877421</v>
      </c>
      <c r="H15" s="263">
        <f t="shared" si="0"/>
        <v>1.1414071648877421E-4</v>
      </c>
      <c r="I15" s="264">
        <f t="shared" si="1"/>
        <v>1.1414071648877421E-4</v>
      </c>
    </row>
    <row r="16" spans="4:9" ht="19" x14ac:dyDescent="0.25">
      <c r="D16" s="448" t="s">
        <v>344</v>
      </c>
      <c r="E16" s="208" t="s">
        <v>409</v>
      </c>
      <c r="F16" s="211">
        <f>Ore_to_PI!ES117</f>
        <v>318930.1042317453</v>
      </c>
      <c r="G16" s="262">
        <f>F16</f>
        <v>318930.1042317453</v>
      </c>
      <c r="H16" s="263">
        <f t="shared" si="0"/>
        <v>3.1893010423174529E-4</v>
      </c>
      <c r="I16" s="264">
        <f t="shared" si="1"/>
        <v>3.1893010423174529E-4</v>
      </c>
    </row>
    <row r="17" spans="4:9" ht="19" x14ac:dyDescent="0.25">
      <c r="D17" s="448"/>
      <c r="E17" s="208" t="s">
        <v>410</v>
      </c>
      <c r="F17" s="211">
        <f>Ore_to_PI!EB118</f>
        <v>2246377.2558931625</v>
      </c>
      <c r="G17" s="262">
        <f>F17*1.04</f>
        <v>2336232.3461288889</v>
      </c>
      <c r="H17" s="263">
        <f t="shared" si="0"/>
        <v>2.2463772558931625E-3</v>
      </c>
      <c r="I17" s="264">
        <f t="shared" si="1"/>
        <v>2.3362323461288887E-3</v>
      </c>
    </row>
    <row r="18" spans="4:9" ht="20" thickBot="1" x14ac:dyDescent="0.3">
      <c r="D18" s="449"/>
      <c r="E18" s="207" t="s">
        <v>515</v>
      </c>
      <c r="F18" s="210">
        <f>Ore_to_PI!EB105</f>
        <v>194131.36779323628</v>
      </c>
      <c r="G18" s="265">
        <f>1.06*F18</f>
        <v>205779.24986083046</v>
      </c>
      <c r="H18" s="263">
        <f t="shared" si="0"/>
        <v>1.9413136779323627E-4</v>
      </c>
      <c r="I18" s="26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97" t="s">
        <v>532</v>
      </c>
      <c r="F23" s="3" t="s">
        <v>531</v>
      </c>
      <c r="G23" s="3" t="s">
        <v>559</v>
      </c>
    </row>
    <row r="24" spans="4:9" x14ac:dyDescent="0.2">
      <c r="E24" s="197" t="s">
        <v>529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97" t="s">
        <v>409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97" t="s">
        <v>410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97" t="s">
        <v>530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97" t="s">
        <v>515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6" zoomScale="88" zoomScaleNormal="20" workbookViewId="0">
      <selection activeCell="E216" sqref="E216:E230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0" t="s">
        <v>541</v>
      </c>
      <c r="AT1" s="246"/>
      <c r="AU1" s="200" t="s">
        <v>392</v>
      </c>
      <c r="AV1" s="200" t="s">
        <v>393</v>
      </c>
      <c r="AW1" s="200" t="s">
        <v>394</v>
      </c>
      <c r="AX1" s="200" t="s">
        <v>522</v>
      </c>
      <c r="AY1" s="200" t="s">
        <v>502</v>
      </c>
      <c r="AZ1" s="200" t="s">
        <v>501</v>
      </c>
      <c r="BA1" s="200" t="s">
        <v>418</v>
      </c>
      <c r="BB1" s="200" t="s">
        <v>415</v>
      </c>
      <c r="BC1" s="200" t="s">
        <v>429</v>
      </c>
      <c r="BD1" s="200" t="s">
        <v>416</v>
      </c>
      <c r="BE1" s="200" t="s">
        <v>411</v>
      </c>
      <c r="BF1" s="200" t="s">
        <v>581</v>
      </c>
      <c r="BG1" s="200" t="s">
        <v>583</v>
      </c>
      <c r="BH1" s="200" t="s">
        <v>80</v>
      </c>
      <c r="BI1" s="200" t="s">
        <v>404</v>
      </c>
      <c r="BN1" s="246"/>
      <c r="BO1" s="200" t="s">
        <v>392</v>
      </c>
      <c r="BP1" s="200" t="s">
        <v>393</v>
      </c>
      <c r="BQ1" s="200" t="s">
        <v>394</v>
      </c>
      <c r="BR1" s="200" t="s">
        <v>522</v>
      </c>
      <c r="BS1" s="200" t="s">
        <v>502</v>
      </c>
      <c r="BT1" s="200" t="s">
        <v>501</v>
      </c>
      <c r="BU1" s="200" t="s">
        <v>418</v>
      </c>
      <c r="BV1" s="200" t="s">
        <v>415</v>
      </c>
      <c r="BW1" s="200" t="s">
        <v>429</v>
      </c>
      <c r="BX1" s="200" t="s">
        <v>416</v>
      </c>
      <c r="BY1" s="200" t="s">
        <v>411</v>
      </c>
      <c r="BZ1" s="200" t="s">
        <v>581</v>
      </c>
      <c r="CA1" s="200" t="s">
        <v>583</v>
      </c>
      <c r="CB1" s="200" t="s">
        <v>80</v>
      </c>
      <c r="CC1" s="200" t="s">
        <v>404</v>
      </c>
    </row>
    <row r="2" spans="2:81" x14ac:dyDescent="0.2">
      <c r="B2" s="197" t="s">
        <v>400</v>
      </c>
      <c r="C2" s="270">
        <v>1</v>
      </c>
      <c r="AT2" s="197" t="s">
        <v>400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G2" s="270">
        <v>0</v>
      </c>
      <c r="BH2" s="270">
        <v>0</v>
      </c>
      <c r="BI2" s="270">
        <v>0</v>
      </c>
      <c r="BN2" s="197" t="s">
        <v>400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  <c r="CA2" s="270">
        <v>0</v>
      </c>
      <c r="CB2" s="270">
        <v>0</v>
      </c>
      <c r="CC2" s="270">
        <v>0</v>
      </c>
    </row>
    <row r="3" spans="2:81" x14ac:dyDescent="0.2">
      <c r="B3" s="197" t="s">
        <v>402</v>
      </c>
      <c r="C3" s="270">
        <v>1</v>
      </c>
      <c r="AT3" s="197" t="s">
        <v>402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G3" s="270">
        <v>0</v>
      </c>
      <c r="BH3" s="270">
        <v>0</v>
      </c>
      <c r="BI3" s="270">
        <v>0</v>
      </c>
      <c r="BN3" s="197" t="s">
        <v>402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  <c r="CA3" s="270">
        <v>0</v>
      </c>
      <c r="CB3" s="270">
        <v>0</v>
      </c>
      <c r="CC3" s="270">
        <v>0</v>
      </c>
    </row>
    <row r="4" spans="2:81" x14ac:dyDescent="0.2">
      <c r="B4" s="197" t="s">
        <v>403</v>
      </c>
      <c r="C4" s="270">
        <v>1</v>
      </c>
      <c r="AT4" s="197" t="s">
        <v>403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G4" s="270">
        <v>0</v>
      </c>
      <c r="BH4" s="270">
        <v>0</v>
      </c>
      <c r="BI4" s="270">
        <v>0</v>
      </c>
      <c r="BN4" s="197" t="s">
        <v>403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  <c r="CA4" s="270">
        <v>0</v>
      </c>
      <c r="CB4" s="270">
        <v>0</v>
      </c>
      <c r="CC4" s="270">
        <v>0</v>
      </c>
    </row>
    <row r="5" spans="2:81" x14ac:dyDescent="0.2">
      <c r="B5" s="197" t="s">
        <v>422</v>
      </c>
      <c r="C5" s="270">
        <v>1</v>
      </c>
      <c r="AT5" s="197" t="s">
        <v>422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G5" s="270">
        <v>0</v>
      </c>
      <c r="BH5" s="270">
        <v>0</v>
      </c>
      <c r="BI5" s="270">
        <v>0</v>
      </c>
      <c r="BN5" s="197" t="s">
        <v>422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  <c r="CA5" s="270">
        <v>0</v>
      </c>
      <c r="CB5" s="270">
        <v>0</v>
      </c>
      <c r="CC5" s="270">
        <v>0</v>
      </c>
    </row>
    <row r="6" spans="2:81" x14ac:dyDescent="0.2">
      <c r="B6" s="197" t="s">
        <v>444</v>
      </c>
      <c r="C6" s="270">
        <v>1</v>
      </c>
      <c r="AM6" s="197"/>
      <c r="AT6" s="197" t="s">
        <v>444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G6" s="270">
        <v>0</v>
      </c>
      <c r="BH6" s="270">
        <v>0</v>
      </c>
      <c r="BI6" s="270">
        <v>0</v>
      </c>
      <c r="BN6" s="197" t="s">
        <v>444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  <c r="CA6" s="270">
        <v>0</v>
      </c>
      <c r="CB6" s="270">
        <v>0</v>
      </c>
      <c r="CC6" s="270">
        <v>0</v>
      </c>
    </row>
    <row r="7" spans="2:81" x14ac:dyDescent="0.2">
      <c r="B7" s="197" t="s">
        <v>533</v>
      </c>
      <c r="C7" s="270">
        <v>1</v>
      </c>
      <c r="AM7" s="197"/>
      <c r="AT7" s="197" t="s">
        <v>533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G7" s="270">
        <v>0</v>
      </c>
      <c r="BH7" s="270">
        <v>0</v>
      </c>
      <c r="BI7" s="270">
        <v>0</v>
      </c>
      <c r="BN7" s="197" t="s">
        <v>533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  <c r="CA7" s="270">
        <v>0</v>
      </c>
      <c r="CB7" s="270">
        <v>0</v>
      </c>
      <c r="CC7" s="270">
        <v>0</v>
      </c>
    </row>
    <row r="8" spans="2:81" x14ac:dyDescent="0.2">
      <c r="B8" s="197" t="s">
        <v>534</v>
      </c>
      <c r="C8" s="270">
        <v>1</v>
      </c>
      <c r="AM8" s="197"/>
      <c r="AT8" s="197" t="s">
        <v>534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G8" s="270">
        <v>0</v>
      </c>
      <c r="BH8" s="270">
        <v>0</v>
      </c>
      <c r="BI8" s="270">
        <v>0</v>
      </c>
      <c r="BN8" s="197" t="s">
        <v>534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  <c r="CA8" s="270">
        <v>0</v>
      </c>
      <c r="CB8" s="270">
        <v>0</v>
      </c>
      <c r="CC8" s="270">
        <v>0</v>
      </c>
    </row>
    <row r="9" spans="2:81" x14ac:dyDescent="0.2">
      <c r="B9" s="197" t="s">
        <v>478</v>
      </c>
      <c r="C9" s="270">
        <v>1</v>
      </c>
      <c r="AM9" s="197"/>
      <c r="AT9" s="197" t="s">
        <v>478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G9" s="270">
        <v>0</v>
      </c>
      <c r="BH9" s="270">
        <v>0</v>
      </c>
      <c r="BI9" s="270">
        <v>0</v>
      </c>
      <c r="BN9" s="197" t="s">
        <v>478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  <c r="CA9" s="270">
        <v>0</v>
      </c>
      <c r="CB9" s="270">
        <v>0</v>
      </c>
      <c r="CC9" s="270">
        <v>0</v>
      </c>
    </row>
    <row r="10" spans="2:81" x14ac:dyDescent="0.2">
      <c r="B10" s="197" t="s">
        <v>526</v>
      </c>
      <c r="C10" s="270">
        <v>1</v>
      </c>
      <c r="AM10" s="197"/>
      <c r="AT10" s="197" t="s">
        <v>526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G10" s="270">
        <v>0</v>
      </c>
      <c r="BH10" s="270">
        <v>0</v>
      </c>
      <c r="BI10" s="270">
        <v>0</v>
      </c>
      <c r="BN10" s="197" t="s">
        <v>526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  <c r="CA10" s="270">
        <v>0</v>
      </c>
      <c r="CB10" s="270">
        <v>0</v>
      </c>
      <c r="CC10" s="270">
        <v>0</v>
      </c>
    </row>
    <row r="11" spans="2:81" ht="16" x14ac:dyDescent="0.2">
      <c r="B11" s="198" t="s">
        <v>509</v>
      </c>
      <c r="C11" s="270">
        <v>1</v>
      </c>
      <c r="AT11" s="198" t="s">
        <v>509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G11" s="270">
        <v>0</v>
      </c>
      <c r="BH11" s="270">
        <v>0</v>
      </c>
      <c r="BI11" s="270">
        <v>0</v>
      </c>
      <c r="BN11" s="198" t="s">
        <v>509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  <c r="CA11" s="270">
        <v>0</v>
      </c>
      <c r="CB11" s="270">
        <v>0</v>
      </c>
      <c r="CC11" s="270">
        <v>0</v>
      </c>
    </row>
    <row r="12" spans="2:81" x14ac:dyDescent="0.2">
      <c r="B12" s="197" t="s">
        <v>476</v>
      </c>
      <c r="C12" s="270">
        <v>1</v>
      </c>
      <c r="AT12" s="197" t="s">
        <v>476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G12" s="270">
        <v>0</v>
      </c>
      <c r="BH12" s="270">
        <v>0</v>
      </c>
      <c r="BI12" s="270">
        <v>0</v>
      </c>
      <c r="BN12" s="197" t="s">
        <v>476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  <c r="CA12" s="270">
        <v>0</v>
      </c>
      <c r="CB12" s="270">
        <v>0</v>
      </c>
      <c r="CC12" s="270">
        <v>0</v>
      </c>
    </row>
    <row r="13" spans="2:81" ht="16" x14ac:dyDescent="0.2">
      <c r="B13" s="198" t="s">
        <v>479</v>
      </c>
      <c r="C13" s="270">
        <v>1</v>
      </c>
      <c r="AT13" s="198" t="s">
        <v>479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G13" s="270">
        <v>0</v>
      </c>
      <c r="BH13" s="270">
        <v>0</v>
      </c>
      <c r="BI13" s="270">
        <v>0</v>
      </c>
      <c r="BN13" s="198" t="s">
        <v>479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  <c r="CA13" s="270">
        <v>0</v>
      </c>
      <c r="CB13" s="270">
        <v>0</v>
      </c>
      <c r="CC13" s="270">
        <v>0</v>
      </c>
    </row>
    <row r="14" spans="2:81" x14ac:dyDescent="0.2">
      <c r="B14" s="197" t="s">
        <v>504</v>
      </c>
      <c r="C14" s="270">
        <v>1</v>
      </c>
      <c r="AT14" s="197" t="s">
        <v>504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G14" s="270">
        <v>0</v>
      </c>
      <c r="BH14" s="270">
        <v>0</v>
      </c>
      <c r="BI14" s="270">
        <v>0</v>
      </c>
      <c r="BN14" s="197" t="s">
        <v>504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  <c r="CA14" s="270">
        <v>0</v>
      </c>
      <c r="CB14" s="270">
        <v>0</v>
      </c>
      <c r="CC14" s="270">
        <v>0</v>
      </c>
    </row>
    <row r="15" spans="2:81" x14ac:dyDescent="0.2">
      <c r="B15" s="199" t="s">
        <v>497</v>
      </c>
      <c r="C15" s="270">
        <v>1</v>
      </c>
      <c r="AT15" s="199" t="s">
        <v>497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G15" s="270">
        <v>0</v>
      </c>
      <c r="BH15" s="270">
        <v>0</v>
      </c>
      <c r="BI15" s="270">
        <v>0</v>
      </c>
      <c r="BN15" s="199" t="s">
        <v>497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  <c r="CA15" s="270">
        <v>0</v>
      </c>
      <c r="CB15" s="270">
        <v>0</v>
      </c>
      <c r="CC15" s="270">
        <v>0</v>
      </c>
    </row>
    <row r="16" spans="2:81" x14ac:dyDescent="0.2">
      <c r="B16" s="197" t="s">
        <v>483</v>
      </c>
      <c r="C16" s="270">
        <v>1</v>
      </c>
      <c r="AT16" s="197" t="s">
        <v>483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G16" s="270">
        <v>0</v>
      </c>
      <c r="BH16" s="270">
        <v>0</v>
      </c>
      <c r="BI16" s="270">
        <v>0</v>
      </c>
      <c r="BN16" s="197" t="s">
        <v>483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  <c r="CA16" s="270">
        <v>0</v>
      </c>
      <c r="CB16" s="270">
        <v>0</v>
      </c>
      <c r="CC16" s="270">
        <v>0</v>
      </c>
    </row>
    <row r="17" spans="2:81" ht="16" x14ac:dyDescent="0.2">
      <c r="B17" s="198" t="s">
        <v>508</v>
      </c>
      <c r="C17" s="270">
        <v>1</v>
      </c>
      <c r="AT17" s="198" t="s">
        <v>508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G17" s="270">
        <v>0</v>
      </c>
      <c r="BH17" s="270">
        <v>0</v>
      </c>
      <c r="BI17" s="270">
        <v>0</v>
      </c>
      <c r="BN17" s="198" t="s">
        <v>508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  <c r="CA17" s="270">
        <v>0</v>
      </c>
      <c r="CB17" s="270">
        <v>0</v>
      </c>
      <c r="CC17" s="270">
        <v>0</v>
      </c>
    </row>
    <row r="18" spans="2:81" ht="16" x14ac:dyDescent="0.2">
      <c r="B18" s="198" t="s">
        <v>503</v>
      </c>
      <c r="C18" s="270">
        <v>1</v>
      </c>
      <c r="AT18" s="198" t="s">
        <v>503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G18" s="270">
        <v>0</v>
      </c>
      <c r="BH18" s="270">
        <v>0</v>
      </c>
      <c r="BI18" s="270">
        <v>0</v>
      </c>
      <c r="BN18" s="198" t="s">
        <v>503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  <c r="CA18" s="270">
        <v>0</v>
      </c>
      <c r="CB18" s="270">
        <v>0</v>
      </c>
      <c r="CC18" s="270">
        <v>0</v>
      </c>
    </row>
    <row r="19" spans="2:81" ht="16" x14ac:dyDescent="0.2">
      <c r="B19" s="198" t="s">
        <v>500</v>
      </c>
      <c r="C19" s="270">
        <v>1</v>
      </c>
      <c r="AT19" s="198" t="s">
        <v>500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G19" s="270">
        <v>0</v>
      </c>
      <c r="BH19" s="270">
        <v>0</v>
      </c>
      <c r="BI19" s="270">
        <v>0</v>
      </c>
      <c r="BN19" s="198" t="s">
        <v>500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  <c r="CA19" s="270">
        <v>0</v>
      </c>
      <c r="CB19" s="270">
        <v>0</v>
      </c>
      <c r="CC19" s="270">
        <v>0</v>
      </c>
    </row>
    <row r="20" spans="2:81" ht="16" x14ac:dyDescent="0.2">
      <c r="B20" s="198" t="s">
        <v>506</v>
      </c>
      <c r="C20" s="270">
        <v>1</v>
      </c>
      <c r="AT20" s="198" t="s">
        <v>506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G20" s="270">
        <v>0</v>
      </c>
      <c r="BH20" s="270">
        <v>0</v>
      </c>
      <c r="BI20" s="270">
        <v>0</v>
      </c>
      <c r="BN20" s="198" t="s">
        <v>506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  <c r="CA20" s="270">
        <v>0</v>
      </c>
      <c r="CB20" s="270">
        <v>0</v>
      </c>
      <c r="CC20" s="270">
        <v>0</v>
      </c>
    </row>
    <row r="21" spans="2:81" x14ac:dyDescent="0.2">
      <c r="B21" s="199" t="s">
        <v>505</v>
      </c>
      <c r="C21" s="270">
        <v>1</v>
      </c>
      <c r="AT21" s="199" t="s">
        <v>505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G21" s="270">
        <v>0</v>
      </c>
      <c r="BH21" s="270">
        <v>0</v>
      </c>
      <c r="BI21" s="270">
        <v>0</v>
      </c>
      <c r="BN21" s="199" t="s">
        <v>505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  <c r="CA21" s="270">
        <v>0</v>
      </c>
      <c r="CB21" s="270">
        <v>0</v>
      </c>
      <c r="CC21" s="270">
        <v>0</v>
      </c>
    </row>
    <row r="22" spans="2:81" x14ac:dyDescent="0.2">
      <c r="B22" s="199" t="s">
        <v>491</v>
      </c>
      <c r="C22" s="270">
        <v>1</v>
      </c>
      <c r="AT22" s="199" t="s">
        <v>491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G22" s="270">
        <v>0</v>
      </c>
      <c r="BH22" s="270">
        <v>0</v>
      </c>
      <c r="BI22" s="270">
        <v>0</v>
      </c>
      <c r="BN22" s="199" t="s">
        <v>491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  <c r="CA22" s="270">
        <v>0</v>
      </c>
      <c r="CB22" s="270">
        <v>0</v>
      </c>
      <c r="CC22" s="270">
        <v>0</v>
      </c>
    </row>
    <row r="23" spans="2:81" x14ac:dyDescent="0.2">
      <c r="B23" s="199" t="s">
        <v>523</v>
      </c>
      <c r="C23" s="270">
        <v>1</v>
      </c>
      <c r="AT23" s="199" t="s">
        <v>523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G23" s="270">
        <v>0</v>
      </c>
      <c r="BH23" s="270">
        <v>0</v>
      </c>
      <c r="BI23" s="270">
        <v>0</v>
      </c>
      <c r="BN23" s="199" t="s">
        <v>523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  <c r="CA23" s="270">
        <v>0</v>
      </c>
      <c r="CB23" s="270">
        <v>0</v>
      </c>
      <c r="CC23" s="270">
        <v>0</v>
      </c>
    </row>
    <row r="24" spans="2:81" x14ac:dyDescent="0.2">
      <c r="B24" s="199" t="s">
        <v>492</v>
      </c>
      <c r="C24" s="270">
        <v>1</v>
      </c>
      <c r="AT24" s="199" t="s">
        <v>492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G24" s="270">
        <v>0</v>
      </c>
      <c r="BH24" s="270">
        <v>0</v>
      </c>
      <c r="BI24" s="270">
        <v>0</v>
      </c>
      <c r="BN24" s="199" t="s">
        <v>492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  <c r="CA24" s="270">
        <v>0</v>
      </c>
      <c r="CB24" s="270">
        <v>0</v>
      </c>
      <c r="CC24" s="270">
        <v>0</v>
      </c>
    </row>
    <row r="25" spans="2:81" x14ac:dyDescent="0.2">
      <c r="B25" s="199" t="s">
        <v>494</v>
      </c>
      <c r="C25" s="270">
        <v>1</v>
      </c>
      <c r="AT25" s="199" t="s">
        <v>494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G25" s="270">
        <v>0</v>
      </c>
      <c r="BH25" s="270">
        <v>0</v>
      </c>
      <c r="BI25" s="270">
        <v>0</v>
      </c>
      <c r="BN25" s="199" t="s">
        <v>494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  <c r="CA25" s="270">
        <v>0</v>
      </c>
      <c r="CB25" s="270">
        <v>0</v>
      </c>
      <c r="CC25" s="270">
        <v>0</v>
      </c>
    </row>
    <row r="26" spans="2:81" x14ac:dyDescent="0.2">
      <c r="B26" s="199" t="s">
        <v>493</v>
      </c>
      <c r="C26" s="270">
        <v>1</v>
      </c>
      <c r="AT26" s="199" t="s">
        <v>493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G26" s="270">
        <v>0</v>
      </c>
      <c r="BH26" s="270">
        <v>0</v>
      </c>
      <c r="BI26" s="270">
        <v>0</v>
      </c>
      <c r="BN26" s="199" t="s">
        <v>493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  <c r="CA26" s="270">
        <v>0</v>
      </c>
      <c r="CB26" s="270">
        <v>0</v>
      </c>
      <c r="CC26" s="270">
        <v>0</v>
      </c>
    </row>
    <row r="27" spans="2:81" x14ac:dyDescent="0.2">
      <c r="B27" s="199" t="s">
        <v>551</v>
      </c>
      <c r="C27" s="270">
        <v>1</v>
      </c>
      <c r="AT27" s="199" t="s">
        <v>551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G27" s="270">
        <v>0</v>
      </c>
      <c r="BH27" s="270">
        <v>0</v>
      </c>
      <c r="BI27" s="270">
        <v>0</v>
      </c>
      <c r="BN27" s="199" t="s">
        <v>551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  <c r="CA27" s="270">
        <v>0</v>
      </c>
      <c r="CB27" s="270">
        <v>0</v>
      </c>
      <c r="CC27" s="270">
        <v>0</v>
      </c>
    </row>
    <row r="28" spans="2:81" ht="16" x14ac:dyDescent="0.2">
      <c r="B28" s="239" t="s">
        <v>489</v>
      </c>
      <c r="C28" s="270">
        <v>1</v>
      </c>
      <c r="AT28" s="239" t="s">
        <v>489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G28" s="270">
        <v>0</v>
      </c>
      <c r="BH28" s="270">
        <v>0</v>
      </c>
      <c r="BI28" s="270">
        <v>0</v>
      </c>
      <c r="BN28" s="239" t="s">
        <v>489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  <c r="CA28" s="270">
        <v>0</v>
      </c>
      <c r="CB28" s="270">
        <v>0</v>
      </c>
      <c r="CC28" s="270">
        <v>0</v>
      </c>
    </row>
    <row r="29" spans="2:81" ht="16" x14ac:dyDescent="0.2">
      <c r="B29" s="239" t="s">
        <v>619</v>
      </c>
      <c r="C29" s="270">
        <v>1</v>
      </c>
      <c r="AT29" s="239" t="s">
        <v>619</v>
      </c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G29" s="270"/>
      <c r="BH29" s="270"/>
      <c r="BI29" s="270"/>
      <c r="BN29" s="239" t="s">
        <v>619</v>
      </c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  <c r="BZ29" s="270"/>
      <c r="CA29" s="270"/>
      <c r="CB29" s="270"/>
      <c r="CC29" s="270"/>
    </row>
    <row r="30" spans="2:81" x14ac:dyDescent="0.2">
      <c r="B30" s="199" t="s">
        <v>488</v>
      </c>
      <c r="C30" s="270">
        <v>1</v>
      </c>
      <c r="AT30" s="199" t="s">
        <v>488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G30" s="270">
        <v>0</v>
      </c>
      <c r="BH30" s="270">
        <v>0</v>
      </c>
      <c r="BI30" s="270">
        <v>0</v>
      </c>
      <c r="BN30" s="199" t="s">
        <v>488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  <c r="CA30" s="270">
        <v>0</v>
      </c>
      <c r="CB30" s="270">
        <v>0</v>
      </c>
      <c r="CC30" s="270">
        <v>0</v>
      </c>
    </row>
    <row r="31" spans="2:81" x14ac:dyDescent="0.2">
      <c r="B31" s="197" t="s">
        <v>490</v>
      </c>
      <c r="C31" s="270">
        <v>1</v>
      </c>
      <c r="AT31" s="197" t="s">
        <v>490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G31" s="270">
        <v>0</v>
      </c>
      <c r="BH31" s="270">
        <v>0</v>
      </c>
      <c r="BI31" s="270">
        <v>0</v>
      </c>
      <c r="BN31" s="197" t="s">
        <v>490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  <c r="CA31" s="270">
        <v>0</v>
      </c>
      <c r="CB31" s="270">
        <v>0</v>
      </c>
      <c r="CC31" s="270">
        <v>0</v>
      </c>
    </row>
    <row r="32" spans="2:81" x14ac:dyDescent="0.2">
      <c r="B32" s="199" t="s">
        <v>582</v>
      </c>
      <c r="C32" s="270">
        <v>1</v>
      </c>
      <c r="AT32" s="199" t="s">
        <v>582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G32" s="270">
        <v>0</v>
      </c>
      <c r="BH32" s="270">
        <v>0</v>
      </c>
      <c r="BI32" s="270">
        <v>0</v>
      </c>
      <c r="BN32" s="199" t="s">
        <v>582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  <c r="CA32" s="270">
        <v>0</v>
      </c>
      <c r="CB32" s="270">
        <v>0</v>
      </c>
      <c r="CC32" s="270">
        <v>0</v>
      </c>
    </row>
    <row r="33" spans="2:81" x14ac:dyDescent="0.2">
      <c r="B33" s="199" t="s">
        <v>584</v>
      </c>
      <c r="C33" s="270">
        <v>1</v>
      </c>
      <c r="AT33" s="199" t="s">
        <v>584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G33" s="270">
        <v>0</v>
      </c>
      <c r="BH33" s="270">
        <v>0</v>
      </c>
      <c r="BI33" s="270">
        <v>0</v>
      </c>
      <c r="BN33" s="199" t="s">
        <v>584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  <c r="CA33" s="270">
        <v>0</v>
      </c>
      <c r="CB33" s="270">
        <v>0</v>
      </c>
      <c r="CC33" s="270">
        <v>0</v>
      </c>
    </row>
    <row r="34" spans="2:81" x14ac:dyDescent="0.2">
      <c r="B34" s="199" t="s">
        <v>512</v>
      </c>
      <c r="C34" s="270">
        <v>1</v>
      </c>
      <c r="AT34" s="199" t="s">
        <v>512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G34" s="270">
        <v>0</v>
      </c>
      <c r="BH34" s="270">
        <v>0</v>
      </c>
      <c r="BI34" s="270">
        <v>0</v>
      </c>
      <c r="BN34" s="199" t="s">
        <v>512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  <c r="CA34" s="270">
        <v>0</v>
      </c>
      <c r="CB34" s="270">
        <v>0</v>
      </c>
      <c r="CC34" s="270">
        <v>0</v>
      </c>
    </row>
    <row r="35" spans="2:81" x14ac:dyDescent="0.2">
      <c r="B35" s="199" t="s">
        <v>513</v>
      </c>
      <c r="C35" s="270">
        <v>1</v>
      </c>
      <c r="AT35" s="199" t="s">
        <v>513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G35" s="270">
        <v>0</v>
      </c>
      <c r="BH35" s="270">
        <v>0</v>
      </c>
      <c r="BI35" s="270">
        <v>0</v>
      </c>
      <c r="BN35" s="199" t="s">
        <v>513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  <c r="CA35" s="270">
        <v>0</v>
      </c>
      <c r="CB35" s="270">
        <v>0</v>
      </c>
      <c r="CC35" s="270">
        <v>0</v>
      </c>
    </row>
    <row r="36" spans="2:81" x14ac:dyDescent="0.2">
      <c r="B36" s="199" t="s">
        <v>514</v>
      </c>
      <c r="C36" s="270">
        <v>1</v>
      </c>
      <c r="AT36" s="199" t="s">
        <v>514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G36" s="270">
        <v>0</v>
      </c>
      <c r="BH36" s="270">
        <v>0</v>
      </c>
      <c r="BI36" s="270">
        <v>0</v>
      </c>
      <c r="BN36" s="199" t="s">
        <v>514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  <c r="CA36" s="270">
        <v>0</v>
      </c>
      <c r="CB36" s="270">
        <v>0</v>
      </c>
      <c r="CC36" s="270">
        <v>0</v>
      </c>
    </row>
    <row r="37" spans="2:81" x14ac:dyDescent="0.2">
      <c r="B37" s="199" t="s">
        <v>524</v>
      </c>
      <c r="C37" s="270">
        <v>1</v>
      </c>
      <c r="AT37" s="199" t="s">
        <v>524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G37" s="270">
        <v>0</v>
      </c>
      <c r="BH37" s="270">
        <v>0</v>
      </c>
      <c r="BI37" s="270">
        <v>0</v>
      </c>
      <c r="BN37" s="199" t="s">
        <v>524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  <c r="CA37" s="270">
        <v>0</v>
      </c>
      <c r="CB37" s="270">
        <v>0</v>
      </c>
      <c r="CC37" s="270">
        <v>0</v>
      </c>
    </row>
    <row r="38" spans="2:81" x14ac:dyDescent="0.2">
      <c r="C38" s="165" t="s">
        <v>540</v>
      </c>
      <c r="AT38" s="199"/>
      <c r="AU38" s="450" t="s">
        <v>537</v>
      </c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/>
      <c r="BH38" s="450"/>
      <c r="BI38" s="450"/>
      <c r="BN38" s="199"/>
      <c r="BO38" s="450" t="s">
        <v>538</v>
      </c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  <c r="CA38" s="450"/>
      <c r="CB38" s="450"/>
      <c r="CC38" s="450"/>
    </row>
    <row r="39" spans="2:81" x14ac:dyDescent="0.2">
      <c r="AT39" s="199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199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199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199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46"/>
      <c r="AU41" s="200" t="s">
        <v>392</v>
      </c>
      <c r="AV41" s="200" t="s">
        <v>393</v>
      </c>
      <c r="AW41" s="200" t="s">
        <v>394</v>
      </c>
      <c r="AX41" s="200" t="s">
        <v>522</v>
      </c>
      <c r="AY41" s="200" t="s">
        <v>502</v>
      </c>
      <c r="AZ41" s="200" t="s">
        <v>501</v>
      </c>
      <c r="BA41" s="200" t="s">
        <v>418</v>
      </c>
      <c r="BB41" s="200" t="s">
        <v>415</v>
      </c>
      <c r="BC41" s="200" t="s">
        <v>429</v>
      </c>
      <c r="BD41" s="200" t="s">
        <v>416</v>
      </c>
      <c r="BE41" s="200" t="s">
        <v>411</v>
      </c>
      <c r="BF41" s="200" t="s">
        <v>581</v>
      </c>
      <c r="BG41" s="200" t="s">
        <v>583</v>
      </c>
      <c r="BH41" s="200" t="s">
        <v>80</v>
      </c>
      <c r="BI41" s="200" t="s">
        <v>404</v>
      </c>
      <c r="BN41" s="199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197" t="s">
        <v>400</v>
      </c>
      <c r="AU42" s="270">
        <f>AU87</f>
        <v>108184.8596728804</v>
      </c>
      <c r="AV42" s="270">
        <f t="shared" ref="AV42:BI42" si="0">AV87</f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  <c r="BG42" s="270">
        <f>BG87</f>
        <v>0</v>
      </c>
      <c r="BH42" s="270">
        <f t="shared" si="0"/>
        <v>0</v>
      </c>
      <c r="BI42" s="270">
        <f t="shared" si="0"/>
        <v>0</v>
      </c>
      <c r="BN42" s="199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197" t="s">
        <v>402</v>
      </c>
      <c r="AU43" s="270">
        <f t="shared" ref="AU43:AU68" si="1">AU88</f>
        <v>0</v>
      </c>
      <c r="AV43" s="270">
        <f t="shared" ref="AV43:BI43" si="2">AV88</f>
        <v>25297.051877142174</v>
      </c>
      <c r="AW43" s="270">
        <f t="shared" si="2"/>
        <v>0</v>
      </c>
      <c r="AX43" s="270">
        <f t="shared" si="2"/>
        <v>0</v>
      </c>
      <c r="AY43" s="270">
        <f t="shared" si="2"/>
        <v>0</v>
      </c>
      <c r="AZ43" s="270">
        <f t="shared" si="2"/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si="2"/>
        <v>0</v>
      </c>
      <c r="BE43" s="270">
        <f t="shared" si="2"/>
        <v>0</v>
      </c>
      <c r="BF43" s="270">
        <f t="shared" si="2"/>
        <v>0</v>
      </c>
      <c r="BG43" s="270">
        <f t="shared" si="2"/>
        <v>0</v>
      </c>
      <c r="BH43" s="270">
        <f t="shared" si="2"/>
        <v>0</v>
      </c>
      <c r="BI43" s="270">
        <f t="shared" si="2"/>
        <v>0</v>
      </c>
      <c r="BN43" s="199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197" t="s">
        <v>403</v>
      </c>
      <c r="AU44" s="270">
        <f t="shared" si="1"/>
        <v>0</v>
      </c>
      <c r="AV44" s="270">
        <f t="shared" ref="AV44:BI44" si="3">AV89</f>
        <v>0</v>
      </c>
      <c r="AW44" s="270">
        <f t="shared" si="3"/>
        <v>8850991.3601140417</v>
      </c>
      <c r="AX44" s="270">
        <f t="shared" si="3"/>
        <v>0</v>
      </c>
      <c r="AY44" s="270">
        <f t="shared" si="3"/>
        <v>0</v>
      </c>
      <c r="AZ44" s="270">
        <f t="shared" si="3"/>
        <v>0</v>
      </c>
      <c r="BA44" s="270">
        <f t="shared" si="3"/>
        <v>0</v>
      </c>
      <c r="BB44" s="270">
        <f t="shared" si="3"/>
        <v>0</v>
      </c>
      <c r="BC44" s="270">
        <f t="shared" si="3"/>
        <v>0</v>
      </c>
      <c r="BD44" s="270">
        <f t="shared" si="3"/>
        <v>0</v>
      </c>
      <c r="BE44" s="270">
        <f t="shared" si="3"/>
        <v>0</v>
      </c>
      <c r="BF44" s="270">
        <f t="shared" si="3"/>
        <v>0</v>
      </c>
      <c r="BG44" s="270">
        <f t="shared" si="3"/>
        <v>0</v>
      </c>
      <c r="BH44" s="270">
        <f t="shared" si="3"/>
        <v>0</v>
      </c>
      <c r="BI44" s="270">
        <f t="shared" si="3"/>
        <v>0</v>
      </c>
      <c r="BN44" s="199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197" t="s">
        <v>422</v>
      </c>
      <c r="AU45" s="270">
        <f t="shared" si="1"/>
        <v>125.02637472887361</v>
      </c>
      <c r="AV45" s="270">
        <f t="shared" ref="AV45:BI45" si="4">AV90</f>
        <v>0.37484270351331089</v>
      </c>
      <c r="AW45" s="270">
        <f t="shared" si="4"/>
        <v>30.954464502133519</v>
      </c>
      <c r="AX45" s="270">
        <f t="shared" si="4"/>
        <v>0</v>
      </c>
      <c r="AY45" s="270">
        <f t="shared" si="4"/>
        <v>0</v>
      </c>
      <c r="AZ45" s="270">
        <f t="shared" si="4"/>
        <v>0</v>
      </c>
      <c r="BA45" s="270">
        <f t="shared" si="4"/>
        <v>0</v>
      </c>
      <c r="BB45" s="270">
        <f t="shared" si="4"/>
        <v>0</v>
      </c>
      <c r="BC45" s="270">
        <f t="shared" si="4"/>
        <v>0</v>
      </c>
      <c r="BD45" s="270">
        <f t="shared" si="4"/>
        <v>2671.5132120132448</v>
      </c>
      <c r="BE45" s="270">
        <f t="shared" si="4"/>
        <v>14491.84871754296</v>
      </c>
      <c r="BF45" s="270">
        <f t="shared" si="4"/>
        <v>0</v>
      </c>
      <c r="BG45" s="270">
        <f t="shared" si="4"/>
        <v>0</v>
      </c>
      <c r="BH45" s="270">
        <f t="shared" si="4"/>
        <v>0</v>
      </c>
      <c r="BI45" s="270">
        <f t="shared" si="4"/>
        <v>11826.742854693757</v>
      </c>
      <c r="BN45" s="199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197" t="s">
        <v>444</v>
      </c>
      <c r="AU46" s="270">
        <f t="shared" si="1"/>
        <v>0</v>
      </c>
      <c r="AV46" s="270">
        <f t="shared" ref="AV46:BI46" si="5">AV91</f>
        <v>0</v>
      </c>
      <c r="AW46" s="270">
        <f t="shared" si="5"/>
        <v>0</v>
      </c>
      <c r="AX46" s="270">
        <f t="shared" si="5"/>
        <v>0</v>
      </c>
      <c r="AY46" s="270">
        <f t="shared" si="5"/>
        <v>0</v>
      </c>
      <c r="AZ46" s="270">
        <f t="shared" si="5"/>
        <v>0</v>
      </c>
      <c r="BA46" s="270">
        <f t="shared" si="5"/>
        <v>0</v>
      </c>
      <c r="BB46" s="270">
        <f t="shared" si="5"/>
        <v>0</v>
      </c>
      <c r="BC46" s="270">
        <f t="shared" si="5"/>
        <v>0</v>
      </c>
      <c r="BD46" s="270">
        <f t="shared" si="5"/>
        <v>1951076.4755827489</v>
      </c>
      <c r="BE46" s="270">
        <f t="shared" si="5"/>
        <v>10583778.883576756</v>
      </c>
      <c r="BF46" s="270">
        <f t="shared" si="5"/>
        <v>0</v>
      </c>
      <c r="BG46" s="270">
        <f t="shared" si="5"/>
        <v>0</v>
      </c>
      <c r="BH46" s="270">
        <f t="shared" si="5"/>
        <v>0</v>
      </c>
      <c r="BI46" s="270">
        <f t="shared" si="5"/>
        <v>2329445.3092260091</v>
      </c>
      <c r="BN46" s="199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197" t="s">
        <v>533</v>
      </c>
      <c r="AU47" s="270">
        <f t="shared" si="1"/>
        <v>94146.207140653787</v>
      </c>
      <c r="AV47" s="270">
        <f t="shared" ref="AV47:BI47" si="6">AV92</f>
        <v>257.99399332425372</v>
      </c>
      <c r="AW47" s="270">
        <f t="shared" si="6"/>
        <v>23309.045257575242</v>
      </c>
      <c r="AX47" s="270">
        <f t="shared" si="6"/>
        <v>0</v>
      </c>
      <c r="AY47" s="270">
        <f t="shared" si="6"/>
        <v>0</v>
      </c>
      <c r="AZ47" s="270">
        <f t="shared" si="6"/>
        <v>0</v>
      </c>
      <c r="BA47" s="270">
        <f t="shared" si="6"/>
        <v>0</v>
      </c>
      <c r="BB47" s="270">
        <f t="shared" si="6"/>
        <v>0</v>
      </c>
      <c r="BC47" s="270">
        <f t="shared" si="6"/>
        <v>0</v>
      </c>
      <c r="BD47" s="270">
        <f t="shared" si="6"/>
        <v>0</v>
      </c>
      <c r="BE47" s="270">
        <f t="shared" si="6"/>
        <v>0</v>
      </c>
      <c r="BF47" s="270">
        <f t="shared" si="6"/>
        <v>0</v>
      </c>
      <c r="BG47" s="270">
        <f t="shared" si="6"/>
        <v>0</v>
      </c>
      <c r="BH47" s="270">
        <f t="shared" si="6"/>
        <v>0</v>
      </c>
      <c r="BI47" s="270">
        <f t="shared" si="6"/>
        <v>0</v>
      </c>
      <c r="BN47" s="199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197" t="s">
        <v>534</v>
      </c>
      <c r="AU48" s="270">
        <f t="shared" si="1"/>
        <v>0</v>
      </c>
      <c r="AV48" s="270">
        <f t="shared" ref="AV48:BI48" si="7">AV93</f>
        <v>24.076233417548465</v>
      </c>
      <c r="AW48" s="270">
        <f t="shared" si="7"/>
        <v>0</v>
      </c>
      <c r="AX48" s="270">
        <f t="shared" si="7"/>
        <v>0</v>
      </c>
      <c r="AY48" s="270">
        <f t="shared" si="7"/>
        <v>0</v>
      </c>
      <c r="AZ48" s="270">
        <f t="shared" si="7"/>
        <v>0</v>
      </c>
      <c r="BA48" s="270">
        <f t="shared" si="7"/>
        <v>0</v>
      </c>
      <c r="BB48" s="270">
        <f t="shared" si="7"/>
        <v>0</v>
      </c>
      <c r="BC48" s="270">
        <f t="shared" si="7"/>
        <v>0</v>
      </c>
      <c r="BD48" s="270">
        <f t="shared" si="7"/>
        <v>0</v>
      </c>
      <c r="BE48" s="270">
        <f t="shared" si="7"/>
        <v>0</v>
      </c>
      <c r="BF48" s="270">
        <f t="shared" si="7"/>
        <v>0</v>
      </c>
      <c r="BG48" s="270">
        <f t="shared" si="7"/>
        <v>0</v>
      </c>
      <c r="BH48" s="270">
        <f t="shared" si="7"/>
        <v>0</v>
      </c>
      <c r="BI48" s="270">
        <f t="shared" si="7"/>
        <v>0</v>
      </c>
      <c r="BN48" s="199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197" t="s">
        <v>478</v>
      </c>
      <c r="AU49" s="270">
        <f t="shared" si="1"/>
        <v>0</v>
      </c>
      <c r="AV49" s="270">
        <f t="shared" ref="AV49:BI49" si="8">AV94</f>
        <v>0</v>
      </c>
      <c r="AW49" s="270">
        <f t="shared" si="8"/>
        <v>0</v>
      </c>
      <c r="AX49" s="270">
        <f t="shared" si="8"/>
        <v>0</v>
      </c>
      <c r="AY49" s="270">
        <f t="shared" si="8"/>
        <v>0</v>
      </c>
      <c r="AZ49" s="270">
        <f t="shared" si="8"/>
        <v>0</v>
      </c>
      <c r="BA49" s="270">
        <f t="shared" si="8"/>
        <v>0</v>
      </c>
      <c r="BB49" s="270">
        <f t="shared" si="8"/>
        <v>0</v>
      </c>
      <c r="BC49" s="270">
        <f t="shared" si="8"/>
        <v>0</v>
      </c>
      <c r="BD49" s="270">
        <f t="shared" si="8"/>
        <v>0</v>
      </c>
      <c r="BE49" s="270">
        <f t="shared" si="8"/>
        <v>0</v>
      </c>
      <c r="BF49" s="270">
        <f t="shared" si="8"/>
        <v>0</v>
      </c>
      <c r="BG49" s="270">
        <f t="shared" si="8"/>
        <v>0</v>
      </c>
      <c r="BH49" s="270">
        <f t="shared" si="8"/>
        <v>0</v>
      </c>
      <c r="BI49" s="270">
        <f t="shared" si="8"/>
        <v>29112.263489807588</v>
      </c>
      <c r="BN49" s="199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197" t="s">
        <v>526</v>
      </c>
      <c r="AU50" s="270">
        <f t="shared" si="1"/>
        <v>0</v>
      </c>
      <c r="AV50" s="270">
        <f t="shared" ref="AV50:BI50" si="9">AV95</f>
        <v>0</v>
      </c>
      <c r="AW50" s="270">
        <f t="shared" si="9"/>
        <v>80616.370239891301</v>
      </c>
      <c r="AX50" s="270">
        <f t="shared" si="9"/>
        <v>609792.2517593482</v>
      </c>
      <c r="AY50" s="270">
        <f t="shared" si="9"/>
        <v>2824.8856477449194</v>
      </c>
      <c r="AZ50" s="270">
        <f t="shared" si="9"/>
        <v>282.1287710315147</v>
      </c>
      <c r="BA50" s="270">
        <f t="shared" si="9"/>
        <v>12626.098826338684</v>
      </c>
      <c r="BB50" s="270">
        <f t="shared" si="9"/>
        <v>34.678095164114971</v>
      </c>
      <c r="BC50" s="270">
        <f t="shared" si="9"/>
        <v>50.358084153937838</v>
      </c>
      <c r="BD50" s="270">
        <f t="shared" si="9"/>
        <v>0</v>
      </c>
      <c r="BE50" s="270">
        <f t="shared" si="9"/>
        <v>0</v>
      </c>
      <c r="BF50" s="270">
        <f t="shared" si="9"/>
        <v>33191.859393697465</v>
      </c>
      <c r="BG50" s="270">
        <f t="shared" si="9"/>
        <v>0</v>
      </c>
      <c r="BH50" s="270">
        <f t="shared" si="9"/>
        <v>0</v>
      </c>
      <c r="BI50" s="270">
        <f t="shared" si="9"/>
        <v>318930.1042317453</v>
      </c>
      <c r="BN50" s="199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198" t="s">
        <v>509</v>
      </c>
      <c r="AU51" s="270">
        <f t="shared" si="1"/>
        <v>0</v>
      </c>
      <c r="AV51" s="270">
        <f t="shared" ref="AV51:BI51" si="10">AV96</f>
        <v>0</v>
      </c>
      <c r="AW51" s="270">
        <f t="shared" si="10"/>
        <v>0</v>
      </c>
      <c r="AX51" s="270">
        <f t="shared" si="10"/>
        <v>108184.8596728804</v>
      </c>
      <c r="AY51" s="270">
        <f t="shared" si="10"/>
        <v>0</v>
      </c>
      <c r="AZ51" s="270">
        <f t="shared" si="10"/>
        <v>0</v>
      </c>
      <c r="BA51" s="270">
        <f t="shared" si="10"/>
        <v>0</v>
      </c>
      <c r="BB51" s="270">
        <f t="shared" si="10"/>
        <v>0</v>
      </c>
      <c r="BC51" s="270">
        <f t="shared" si="10"/>
        <v>0</v>
      </c>
      <c r="BD51" s="270">
        <f t="shared" si="10"/>
        <v>0</v>
      </c>
      <c r="BE51" s="270">
        <f t="shared" si="10"/>
        <v>0</v>
      </c>
      <c r="BF51" s="270">
        <f t="shared" si="10"/>
        <v>0</v>
      </c>
      <c r="BG51" s="270">
        <f t="shared" si="10"/>
        <v>0</v>
      </c>
      <c r="BH51" s="270">
        <f t="shared" si="10"/>
        <v>0</v>
      </c>
      <c r="BI51" s="270">
        <f t="shared" si="10"/>
        <v>0</v>
      </c>
      <c r="BN51" s="199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197" t="s">
        <v>476</v>
      </c>
      <c r="AU52" s="270">
        <f t="shared" si="1"/>
        <v>0</v>
      </c>
      <c r="AV52" s="270">
        <f t="shared" ref="AV52:BI52" si="11">AV97</f>
        <v>0</v>
      </c>
      <c r="AW52" s="270">
        <f t="shared" si="11"/>
        <v>0</v>
      </c>
      <c r="AX52" s="270">
        <f t="shared" si="11"/>
        <v>0</v>
      </c>
      <c r="AY52" s="270">
        <f t="shared" si="11"/>
        <v>0</v>
      </c>
      <c r="AZ52" s="270">
        <f t="shared" si="11"/>
        <v>0</v>
      </c>
      <c r="BA52" s="270">
        <f t="shared" si="11"/>
        <v>0</v>
      </c>
      <c r="BB52" s="270">
        <f t="shared" si="11"/>
        <v>0</v>
      </c>
      <c r="BC52" s="270">
        <f t="shared" si="11"/>
        <v>0</v>
      </c>
      <c r="BD52" s="270">
        <f t="shared" si="11"/>
        <v>0</v>
      </c>
      <c r="BE52" s="270">
        <f t="shared" si="11"/>
        <v>0</v>
      </c>
      <c r="BF52" s="270">
        <f t="shared" si="11"/>
        <v>0</v>
      </c>
      <c r="BG52" s="270">
        <f t="shared" si="11"/>
        <v>0</v>
      </c>
      <c r="BH52" s="270">
        <f t="shared" si="11"/>
        <v>0</v>
      </c>
      <c r="BI52" s="270">
        <f t="shared" si="11"/>
        <v>0</v>
      </c>
      <c r="BN52" s="199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198" t="s">
        <v>479</v>
      </c>
      <c r="AU53" s="270">
        <f t="shared" si="1"/>
        <v>0</v>
      </c>
      <c r="AV53" s="270">
        <f t="shared" ref="AV53:BI53" si="12">AV98</f>
        <v>0</v>
      </c>
      <c r="AW53" s="270">
        <f t="shared" si="12"/>
        <v>0</v>
      </c>
      <c r="AX53" s="270">
        <f t="shared" si="12"/>
        <v>0</v>
      </c>
      <c r="AY53" s="270">
        <f t="shared" si="12"/>
        <v>25297.051877142174</v>
      </c>
      <c r="AZ53" s="270">
        <f t="shared" si="12"/>
        <v>0</v>
      </c>
      <c r="BA53" s="270">
        <f t="shared" si="12"/>
        <v>0</v>
      </c>
      <c r="BB53" s="270">
        <f t="shared" si="12"/>
        <v>0</v>
      </c>
      <c r="BC53" s="270">
        <f t="shared" si="12"/>
        <v>0</v>
      </c>
      <c r="BD53" s="270">
        <f t="shared" si="12"/>
        <v>0</v>
      </c>
      <c r="BE53" s="270">
        <f t="shared" si="12"/>
        <v>0</v>
      </c>
      <c r="BF53" s="270">
        <f t="shared" si="12"/>
        <v>0</v>
      </c>
      <c r="BG53" s="270">
        <f t="shared" si="12"/>
        <v>0</v>
      </c>
      <c r="BH53" s="270">
        <f t="shared" si="12"/>
        <v>0</v>
      </c>
      <c r="BI53" s="270">
        <f t="shared" si="12"/>
        <v>0</v>
      </c>
      <c r="BN53" s="199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197" t="s">
        <v>504</v>
      </c>
      <c r="AU54" s="270">
        <f t="shared" si="1"/>
        <v>0</v>
      </c>
      <c r="AV54" s="270">
        <f t="shared" ref="AV54:BI54" si="13">AV99</f>
        <v>0</v>
      </c>
      <c r="AW54" s="270">
        <f t="shared" si="13"/>
        <v>0</v>
      </c>
      <c r="AX54" s="270">
        <f t="shared" si="13"/>
        <v>0</v>
      </c>
      <c r="AY54" s="270">
        <f t="shared" si="13"/>
        <v>0</v>
      </c>
      <c r="AZ54" s="270">
        <f t="shared" si="13"/>
        <v>0</v>
      </c>
      <c r="BA54" s="270">
        <f t="shared" si="13"/>
        <v>0</v>
      </c>
      <c r="BB54" s="270">
        <f t="shared" si="13"/>
        <v>0</v>
      </c>
      <c r="BC54" s="270">
        <f t="shared" si="13"/>
        <v>0</v>
      </c>
      <c r="BD54" s="270">
        <f t="shared" si="13"/>
        <v>0</v>
      </c>
      <c r="BE54" s="270">
        <f t="shared" si="13"/>
        <v>0</v>
      </c>
      <c r="BF54" s="270">
        <f t="shared" si="13"/>
        <v>0</v>
      </c>
      <c r="BG54" s="270">
        <f t="shared" si="13"/>
        <v>0</v>
      </c>
      <c r="BH54" s="270">
        <f t="shared" si="13"/>
        <v>0</v>
      </c>
      <c r="BI54" s="270">
        <f t="shared" si="13"/>
        <v>0</v>
      </c>
      <c r="BN54" s="199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199" t="s">
        <v>497</v>
      </c>
      <c r="AU55" s="270">
        <f t="shared" si="1"/>
        <v>0</v>
      </c>
      <c r="AV55" s="270">
        <f t="shared" ref="AV55:BI55" si="14">AV100</f>
        <v>0</v>
      </c>
      <c r="AW55" s="270">
        <f t="shared" si="14"/>
        <v>0</v>
      </c>
      <c r="AX55" s="270">
        <f t="shared" si="14"/>
        <v>0</v>
      </c>
      <c r="AY55" s="270">
        <f t="shared" si="14"/>
        <v>0</v>
      </c>
      <c r="AZ55" s="270">
        <f t="shared" si="14"/>
        <v>8855804.320336977</v>
      </c>
      <c r="BA55" s="270">
        <f t="shared" si="14"/>
        <v>0</v>
      </c>
      <c r="BB55" s="270">
        <f t="shared" si="14"/>
        <v>0</v>
      </c>
      <c r="BC55" s="270">
        <f t="shared" si="14"/>
        <v>0</v>
      </c>
      <c r="BD55" s="270">
        <f t="shared" si="14"/>
        <v>0</v>
      </c>
      <c r="BE55" s="270">
        <f t="shared" si="14"/>
        <v>0</v>
      </c>
      <c r="BF55" s="270">
        <f t="shared" si="14"/>
        <v>0</v>
      </c>
      <c r="BG55" s="270">
        <f t="shared" si="14"/>
        <v>0</v>
      </c>
      <c r="BH55" s="270">
        <f t="shared" si="14"/>
        <v>0</v>
      </c>
      <c r="BI55" s="270">
        <f t="shared" si="14"/>
        <v>0</v>
      </c>
      <c r="BN55" s="199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197" t="s">
        <v>483</v>
      </c>
      <c r="AU56" s="270">
        <f t="shared" si="1"/>
        <v>0</v>
      </c>
      <c r="AV56" s="270">
        <f t="shared" ref="AV56:BI56" si="15">AV101</f>
        <v>0</v>
      </c>
      <c r="AW56" s="270">
        <f t="shared" si="15"/>
        <v>0</v>
      </c>
      <c r="AX56" s="270">
        <f t="shared" si="15"/>
        <v>0</v>
      </c>
      <c r="AY56" s="270">
        <f t="shared" si="15"/>
        <v>0</v>
      </c>
      <c r="AZ56" s="270">
        <f t="shared" si="15"/>
        <v>0</v>
      </c>
      <c r="BA56" s="270">
        <f t="shared" si="15"/>
        <v>0</v>
      </c>
      <c r="BB56" s="270">
        <f t="shared" si="15"/>
        <v>0</v>
      </c>
      <c r="BC56" s="270">
        <f t="shared" si="15"/>
        <v>0</v>
      </c>
      <c r="BD56" s="270">
        <f t="shared" si="15"/>
        <v>0</v>
      </c>
      <c r="BE56" s="270">
        <f t="shared" si="15"/>
        <v>0</v>
      </c>
      <c r="BF56" s="270">
        <f t="shared" si="15"/>
        <v>0</v>
      </c>
      <c r="BG56" s="270">
        <f t="shared" si="15"/>
        <v>0</v>
      </c>
      <c r="BH56" s="270">
        <f t="shared" si="15"/>
        <v>0</v>
      </c>
      <c r="BI56" s="270">
        <f t="shared" si="15"/>
        <v>0</v>
      </c>
      <c r="BN56" s="199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198" t="s">
        <v>508</v>
      </c>
      <c r="AU57" s="270">
        <f t="shared" si="1"/>
        <v>0</v>
      </c>
      <c r="AV57" s="270">
        <f t="shared" ref="AV57:BI57" si="16">AV102</f>
        <v>0</v>
      </c>
      <c r="AW57" s="270">
        <f t="shared" si="16"/>
        <v>0</v>
      </c>
      <c r="AX57" s="270">
        <f t="shared" si="16"/>
        <v>0</v>
      </c>
      <c r="AY57" s="270">
        <f t="shared" si="16"/>
        <v>0</v>
      </c>
      <c r="AZ57" s="270">
        <f t="shared" si="16"/>
        <v>0</v>
      </c>
      <c r="BA57" s="270">
        <f t="shared" si="16"/>
        <v>108184.8596728804</v>
      </c>
      <c r="BB57" s="270">
        <f t="shared" si="16"/>
        <v>0</v>
      </c>
      <c r="BC57" s="270">
        <f t="shared" si="16"/>
        <v>0</v>
      </c>
      <c r="BD57" s="270">
        <f t="shared" si="16"/>
        <v>0</v>
      </c>
      <c r="BE57" s="270">
        <f t="shared" si="16"/>
        <v>0</v>
      </c>
      <c r="BF57" s="270">
        <f t="shared" si="16"/>
        <v>0</v>
      </c>
      <c r="BG57" s="270">
        <f t="shared" si="16"/>
        <v>0</v>
      </c>
      <c r="BH57" s="270">
        <f t="shared" si="16"/>
        <v>0</v>
      </c>
      <c r="BI57" s="270">
        <f t="shared" si="16"/>
        <v>0</v>
      </c>
      <c r="BN57" s="199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198" t="s">
        <v>503</v>
      </c>
      <c r="AU58" s="270">
        <f t="shared" si="1"/>
        <v>0</v>
      </c>
      <c r="AV58" s="270">
        <f t="shared" ref="AV58:BI58" si="17">AV103</f>
        <v>0</v>
      </c>
      <c r="AW58" s="270">
        <f t="shared" si="17"/>
        <v>0</v>
      </c>
      <c r="AX58" s="270">
        <f t="shared" si="17"/>
        <v>0</v>
      </c>
      <c r="AY58" s="270">
        <f t="shared" si="17"/>
        <v>0</v>
      </c>
      <c r="AZ58" s="270">
        <f t="shared" si="17"/>
        <v>0</v>
      </c>
      <c r="BA58" s="270">
        <f t="shared" si="17"/>
        <v>0</v>
      </c>
      <c r="BB58" s="270">
        <f t="shared" si="17"/>
        <v>25297.051877142174</v>
      </c>
      <c r="BC58" s="270">
        <f t="shared" si="17"/>
        <v>0</v>
      </c>
      <c r="BD58" s="270">
        <f t="shared" si="17"/>
        <v>0</v>
      </c>
      <c r="BE58" s="270">
        <f t="shared" si="17"/>
        <v>0</v>
      </c>
      <c r="BF58" s="270">
        <f t="shared" si="17"/>
        <v>0</v>
      </c>
      <c r="BG58" s="270">
        <f t="shared" si="17"/>
        <v>0</v>
      </c>
      <c r="BH58" s="270">
        <f t="shared" si="17"/>
        <v>0</v>
      </c>
      <c r="BI58" s="270">
        <f t="shared" si="17"/>
        <v>0</v>
      </c>
      <c r="BN58" s="199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198" t="s">
        <v>500</v>
      </c>
      <c r="AU59" s="270">
        <f t="shared" si="1"/>
        <v>0</v>
      </c>
      <c r="AV59" s="270">
        <f t="shared" ref="AV59:BI59" si="18">AV104</f>
        <v>0</v>
      </c>
      <c r="AW59" s="270">
        <f t="shared" si="18"/>
        <v>0</v>
      </c>
      <c r="AX59" s="270">
        <f t="shared" si="18"/>
        <v>0</v>
      </c>
      <c r="AY59" s="270">
        <f t="shared" si="18"/>
        <v>0</v>
      </c>
      <c r="AZ59" s="270">
        <f t="shared" si="18"/>
        <v>0</v>
      </c>
      <c r="BA59" s="270">
        <f t="shared" si="18"/>
        <v>0</v>
      </c>
      <c r="BB59" s="270">
        <f t="shared" si="18"/>
        <v>0</v>
      </c>
      <c r="BC59" s="270">
        <f t="shared" si="18"/>
        <v>8855804.320336977</v>
      </c>
      <c r="BD59" s="270">
        <f t="shared" si="18"/>
        <v>0</v>
      </c>
      <c r="BE59" s="270">
        <f t="shared" si="18"/>
        <v>0</v>
      </c>
      <c r="BF59" s="270">
        <f t="shared" si="18"/>
        <v>0</v>
      </c>
      <c r="BG59" s="270">
        <f t="shared" si="18"/>
        <v>0</v>
      </c>
      <c r="BH59" s="270">
        <f t="shared" si="18"/>
        <v>0</v>
      </c>
      <c r="BI59" s="270">
        <f t="shared" si="18"/>
        <v>0</v>
      </c>
      <c r="BN59" s="199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198" t="s">
        <v>506</v>
      </c>
      <c r="AU60" s="270">
        <f t="shared" si="1"/>
        <v>0</v>
      </c>
      <c r="AV60" s="270">
        <f t="shared" ref="AV60:BI60" si="19">AV105</f>
        <v>0</v>
      </c>
      <c r="AW60" s="270">
        <f t="shared" si="19"/>
        <v>0</v>
      </c>
      <c r="AX60" s="270">
        <f t="shared" si="19"/>
        <v>0</v>
      </c>
      <c r="AY60" s="270">
        <f t="shared" si="19"/>
        <v>0</v>
      </c>
      <c r="AZ60" s="270">
        <f t="shared" si="19"/>
        <v>0</v>
      </c>
      <c r="BA60" s="270">
        <f t="shared" si="19"/>
        <v>0</v>
      </c>
      <c r="BB60" s="270">
        <f t="shared" si="19"/>
        <v>0</v>
      </c>
      <c r="BC60" s="270">
        <f t="shared" si="19"/>
        <v>0</v>
      </c>
      <c r="BD60" s="270">
        <f t="shared" si="19"/>
        <v>0</v>
      </c>
      <c r="BE60" s="270">
        <f t="shared" si="19"/>
        <v>0</v>
      </c>
      <c r="BF60" s="270">
        <f t="shared" si="19"/>
        <v>0</v>
      </c>
      <c r="BG60" s="270">
        <f t="shared" si="19"/>
        <v>0</v>
      </c>
      <c r="BH60" s="270">
        <f t="shared" si="19"/>
        <v>88071.706245154463</v>
      </c>
      <c r="BI60" s="270">
        <f t="shared" si="19"/>
        <v>0</v>
      </c>
      <c r="BN60" s="199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199" t="s">
        <v>505</v>
      </c>
      <c r="AU61" s="270">
        <f t="shared" si="1"/>
        <v>0</v>
      </c>
      <c r="AV61" s="270">
        <f t="shared" ref="AV61:BI61" si="20">AV106</f>
        <v>0</v>
      </c>
      <c r="AW61" s="270">
        <f t="shared" si="20"/>
        <v>0</v>
      </c>
      <c r="AX61" s="270">
        <f t="shared" si="20"/>
        <v>0</v>
      </c>
      <c r="AY61" s="270">
        <f t="shared" si="20"/>
        <v>0</v>
      </c>
      <c r="AZ61" s="270">
        <f t="shared" si="20"/>
        <v>0</v>
      </c>
      <c r="BA61" s="270">
        <f t="shared" si="20"/>
        <v>0</v>
      </c>
      <c r="BB61" s="270">
        <f t="shared" si="20"/>
        <v>0</v>
      </c>
      <c r="BC61" s="270">
        <f t="shared" si="20"/>
        <v>0</v>
      </c>
      <c r="BD61" s="270">
        <f t="shared" si="20"/>
        <v>0</v>
      </c>
      <c r="BE61" s="270">
        <f t="shared" si="20"/>
        <v>0</v>
      </c>
      <c r="BF61" s="270">
        <f t="shared" si="20"/>
        <v>0</v>
      </c>
      <c r="BG61" s="270">
        <f t="shared" si="20"/>
        <v>0</v>
      </c>
      <c r="BH61" s="270">
        <f t="shared" si="20"/>
        <v>0</v>
      </c>
      <c r="BI61" s="270">
        <f t="shared" si="20"/>
        <v>0</v>
      </c>
      <c r="BN61" s="199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199" t="s">
        <v>491</v>
      </c>
      <c r="AU62" s="270">
        <f t="shared" si="1"/>
        <v>0</v>
      </c>
      <c r="AV62" s="270">
        <f t="shared" ref="AV62:BI62" si="21">AV107</f>
        <v>0</v>
      </c>
      <c r="AW62" s="270">
        <f t="shared" si="21"/>
        <v>0</v>
      </c>
      <c r="AX62" s="270">
        <f t="shared" si="21"/>
        <v>0</v>
      </c>
      <c r="AY62" s="270">
        <f t="shared" si="21"/>
        <v>0</v>
      </c>
      <c r="AZ62" s="270">
        <f t="shared" si="21"/>
        <v>0</v>
      </c>
      <c r="BA62" s="270">
        <f t="shared" si="21"/>
        <v>0</v>
      </c>
      <c r="BB62" s="270">
        <f t="shared" si="21"/>
        <v>0</v>
      </c>
      <c r="BC62" s="270">
        <f t="shared" si="21"/>
        <v>0</v>
      </c>
      <c r="BD62" s="270">
        <f t="shared" si="21"/>
        <v>25297.051877142174</v>
      </c>
      <c r="BE62" s="270">
        <f t="shared" si="21"/>
        <v>0</v>
      </c>
      <c r="BF62" s="270">
        <f t="shared" si="21"/>
        <v>0</v>
      </c>
      <c r="BG62" s="270">
        <f t="shared" si="21"/>
        <v>0</v>
      </c>
      <c r="BH62" s="270">
        <f t="shared" si="21"/>
        <v>0</v>
      </c>
      <c r="BI62" s="270">
        <f t="shared" si="21"/>
        <v>0</v>
      </c>
      <c r="BN62" s="199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199" t="s">
        <v>523</v>
      </c>
      <c r="AU63" s="270">
        <f t="shared" si="1"/>
        <v>0</v>
      </c>
      <c r="AV63" s="270">
        <f t="shared" ref="AV63:BI63" si="22">AV108</f>
        <v>0</v>
      </c>
      <c r="AW63" s="270">
        <f t="shared" si="22"/>
        <v>0</v>
      </c>
      <c r="AX63" s="270">
        <f t="shared" si="22"/>
        <v>0</v>
      </c>
      <c r="AY63" s="270">
        <f t="shared" si="22"/>
        <v>0</v>
      </c>
      <c r="AZ63" s="270">
        <f t="shared" si="22"/>
        <v>0</v>
      </c>
      <c r="BA63" s="270">
        <f t="shared" si="22"/>
        <v>0</v>
      </c>
      <c r="BB63" s="270">
        <f t="shared" si="22"/>
        <v>0</v>
      </c>
      <c r="BC63" s="270">
        <f t="shared" si="22"/>
        <v>0</v>
      </c>
      <c r="BD63" s="270">
        <f t="shared" si="22"/>
        <v>0</v>
      </c>
      <c r="BE63" s="270">
        <f t="shared" si="22"/>
        <v>8855804.320336977</v>
      </c>
      <c r="BF63" s="270">
        <f t="shared" si="22"/>
        <v>0</v>
      </c>
      <c r="BG63" s="270">
        <f t="shared" si="22"/>
        <v>0</v>
      </c>
      <c r="BH63" s="270">
        <f t="shared" si="22"/>
        <v>0</v>
      </c>
      <c r="BI63" s="270">
        <f t="shared" si="22"/>
        <v>0</v>
      </c>
      <c r="BN63" s="199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199" t="s">
        <v>492</v>
      </c>
      <c r="AU64" s="270">
        <f t="shared" si="1"/>
        <v>0</v>
      </c>
      <c r="AV64" s="270">
        <f t="shared" ref="AV64:BI64" si="23">AV109</f>
        <v>0</v>
      </c>
      <c r="AW64" s="270">
        <f t="shared" si="23"/>
        <v>0</v>
      </c>
      <c r="AX64" s="270">
        <f t="shared" si="23"/>
        <v>0</v>
      </c>
      <c r="AY64" s="270">
        <f t="shared" si="23"/>
        <v>0</v>
      </c>
      <c r="AZ64" s="270">
        <f t="shared" si="23"/>
        <v>0</v>
      </c>
      <c r="BA64" s="270">
        <f t="shared" si="23"/>
        <v>0</v>
      </c>
      <c r="BB64" s="270">
        <f t="shared" si="23"/>
        <v>0</v>
      </c>
      <c r="BC64" s="270">
        <f t="shared" si="23"/>
        <v>0</v>
      </c>
      <c r="BD64" s="270">
        <f t="shared" si="23"/>
        <v>0</v>
      </c>
      <c r="BE64" s="270">
        <f t="shared" si="23"/>
        <v>0</v>
      </c>
      <c r="BF64" s="270">
        <f t="shared" si="23"/>
        <v>0</v>
      </c>
      <c r="BG64" s="270">
        <f t="shared" si="23"/>
        <v>0</v>
      </c>
      <c r="BH64" s="270">
        <f t="shared" si="23"/>
        <v>242016.07607977447</v>
      </c>
      <c r="BI64" s="270">
        <f t="shared" si="23"/>
        <v>0</v>
      </c>
      <c r="BN64" s="199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199" t="s">
        <v>494</v>
      </c>
      <c r="AU65" s="270">
        <f t="shared" si="1"/>
        <v>0</v>
      </c>
      <c r="AV65" s="270">
        <f t="shared" ref="AV65:BI65" si="24">AV110</f>
        <v>0</v>
      </c>
      <c r="AW65" s="270">
        <f t="shared" si="24"/>
        <v>0</v>
      </c>
      <c r="AX65" s="270">
        <f t="shared" si="24"/>
        <v>0</v>
      </c>
      <c r="AY65" s="270">
        <f t="shared" si="24"/>
        <v>0</v>
      </c>
      <c r="AZ65" s="270">
        <f t="shared" si="24"/>
        <v>0</v>
      </c>
      <c r="BA65" s="270">
        <f t="shared" si="24"/>
        <v>0</v>
      </c>
      <c r="BB65" s="270">
        <f t="shared" si="24"/>
        <v>0</v>
      </c>
      <c r="BC65" s="270">
        <f t="shared" si="24"/>
        <v>0</v>
      </c>
      <c r="BD65" s="270">
        <f t="shared" si="24"/>
        <v>0</v>
      </c>
      <c r="BE65" s="270">
        <f t="shared" si="24"/>
        <v>0</v>
      </c>
      <c r="BF65" s="270">
        <f t="shared" si="24"/>
        <v>0</v>
      </c>
      <c r="BG65" s="270">
        <f t="shared" si="24"/>
        <v>0</v>
      </c>
      <c r="BH65" s="270">
        <f t="shared" si="24"/>
        <v>0</v>
      </c>
      <c r="BI65" s="270">
        <f t="shared" si="24"/>
        <v>0</v>
      </c>
      <c r="BN65" s="199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199" t="s">
        <v>493</v>
      </c>
      <c r="AU66" s="270">
        <f t="shared" si="1"/>
        <v>0</v>
      </c>
      <c r="AV66" s="270">
        <f t="shared" ref="AV66:BI66" si="25">AV111</f>
        <v>0</v>
      </c>
      <c r="AW66" s="270">
        <f t="shared" si="25"/>
        <v>0</v>
      </c>
      <c r="AX66" s="270">
        <f t="shared" si="25"/>
        <v>0</v>
      </c>
      <c r="AY66" s="270">
        <f t="shared" si="25"/>
        <v>0</v>
      </c>
      <c r="AZ66" s="270">
        <f t="shared" si="25"/>
        <v>0</v>
      </c>
      <c r="BA66" s="270">
        <f t="shared" si="25"/>
        <v>0</v>
      </c>
      <c r="BB66" s="270">
        <f t="shared" si="25"/>
        <v>0</v>
      </c>
      <c r="BC66" s="270">
        <f t="shared" si="25"/>
        <v>0</v>
      </c>
      <c r="BD66" s="270">
        <f t="shared" si="25"/>
        <v>0</v>
      </c>
      <c r="BE66" s="270">
        <f t="shared" si="25"/>
        <v>0</v>
      </c>
      <c r="BF66" s="270">
        <f t="shared" si="25"/>
        <v>0</v>
      </c>
      <c r="BG66" s="270">
        <f t="shared" si="25"/>
        <v>0</v>
      </c>
      <c r="BH66" s="270">
        <f t="shared" si="25"/>
        <v>0</v>
      </c>
      <c r="BI66" s="270">
        <f t="shared" si="25"/>
        <v>0</v>
      </c>
      <c r="BN66" s="199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199" t="s">
        <v>551</v>
      </c>
      <c r="AU67" s="270">
        <f t="shared" si="1"/>
        <v>0</v>
      </c>
      <c r="AV67" s="270">
        <f t="shared" ref="AV67:BI67" si="26">AV112</f>
        <v>0</v>
      </c>
      <c r="AW67" s="270">
        <f t="shared" si="26"/>
        <v>0</v>
      </c>
      <c r="AX67" s="270">
        <f t="shared" si="26"/>
        <v>0</v>
      </c>
      <c r="AY67" s="270">
        <f t="shared" si="26"/>
        <v>0</v>
      </c>
      <c r="AZ67" s="270">
        <f t="shared" si="26"/>
        <v>0</v>
      </c>
      <c r="BA67" s="270">
        <f t="shared" si="26"/>
        <v>0</v>
      </c>
      <c r="BB67" s="270">
        <f t="shared" si="26"/>
        <v>0</v>
      </c>
      <c r="BC67" s="270">
        <f t="shared" si="26"/>
        <v>0</v>
      </c>
      <c r="BD67" s="270">
        <f t="shared" si="26"/>
        <v>0</v>
      </c>
      <c r="BE67" s="270">
        <f t="shared" si="26"/>
        <v>0</v>
      </c>
      <c r="BF67" s="270">
        <f t="shared" si="26"/>
        <v>0</v>
      </c>
      <c r="BG67" s="270">
        <f t="shared" si="26"/>
        <v>0</v>
      </c>
      <c r="BH67" s="270">
        <f t="shared" si="26"/>
        <v>6408288.6211381694</v>
      </c>
      <c r="BI67" s="270">
        <f t="shared" si="26"/>
        <v>0</v>
      </c>
      <c r="BN67" s="199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39" t="s">
        <v>489</v>
      </c>
      <c r="AU68" s="270">
        <f t="shared" si="1"/>
        <v>0</v>
      </c>
      <c r="AV68" s="270">
        <f t="shared" ref="AV68:BI68" si="27">AV113</f>
        <v>0</v>
      </c>
      <c r="AW68" s="270">
        <f t="shared" si="27"/>
        <v>0</v>
      </c>
      <c r="AX68" s="270">
        <f t="shared" si="27"/>
        <v>0</v>
      </c>
      <c r="AY68" s="270">
        <f t="shared" si="27"/>
        <v>0</v>
      </c>
      <c r="AZ68" s="270">
        <f t="shared" si="27"/>
        <v>0</v>
      </c>
      <c r="BA68" s="270">
        <f t="shared" si="27"/>
        <v>0</v>
      </c>
      <c r="BB68" s="270">
        <f t="shared" si="27"/>
        <v>0</v>
      </c>
      <c r="BC68" s="270">
        <f t="shared" si="27"/>
        <v>0</v>
      </c>
      <c r="BD68" s="270">
        <f t="shared" si="27"/>
        <v>0</v>
      </c>
      <c r="BE68" s="270">
        <f t="shared" si="27"/>
        <v>0</v>
      </c>
      <c r="BF68" s="270">
        <f t="shared" si="27"/>
        <v>4026178.1360752485</v>
      </c>
      <c r="BG68" s="270">
        <f t="shared" si="27"/>
        <v>0</v>
      </c>
      <c r="BH68" s="270">
        <f t="shared" si="27"/>
        <v>0</v>
      </c>
      <c r="BI68" s="270">
        <f t="shared" si="27"/>
        <v>0</v>
      </c>
      <c r="BN68" s="199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39" t="s">
        <v>619</v>
      </c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  <c r="BG69" s="270"/>
      <c r="BH69" s="270"/>
      <c r="BI69" s="270"/>
      <c r="BN69" s="199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199" t="s">
        <v>488</v>
      </c>
      <c r="AU70" s="270">
        <f t="shared" ref="AU70:AU77" si="28">AU115</f>
        <v>0</v>
      </c>
      <c r="AV70" s="270">
        <f t="shared" ref="AV70:BI70" si="29">AV115</f>
        <v>0</v>
      </c>
      <c r="AW70" s="270">
        <f t="shared" si="29"/>
        <v>0</v>
      </c>
      <c r="AX70" s="270">
        <f t="shared" si="29"/>
        <v>0</v>
      </c>
      <c r="AY70" s="270">
        <f t="shared" si="29"/>
        <v>0</v>
      </c>
      <c r="AZ70" s="270">
        <f t="shared" si="29"/>
        <v>0</v>
      </c>
      <c r="BA70" s="270">
        <f t="shared" si="29"/>
        <v>0</v>
      </c>
      <c r="BB70" s="270">
        <f t="shared" si="29"/>
        <v>0</v>
      </c>
      <c r="BC70" s="270">
        <f t="shared" si="29"/>
        <v>0</v>
      </c>
      <c r="BD70" s="270">
        <f t="shared" si="29"/>
        <v>0</v>
      </c>
      <c r="BE70" s="270">
        <f t="shared" si="29"/>
        <v>0</v>
      </c>
      <c r="BF70" s="270">
        <f t="shared" si="29"/>
        <v>0</v>
      </c>
      <c r="BG70" s="270">
        <f t="shared" si="29"/>
        <v>0</v>
      </c>
      <c r="BH70" s="270">
        <f t="shared" si="29"/>
        <v>0</v>
      </c>
      <c r="BI70" s="270">
        <f t="shared" si="29"/>
        <v>0</v>
      </c>
      <c r="BN70" s="199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197" t="s">
        <v>490</v>
      </c>
      <c r="AU71" s="270">
        <f t="shared" si="28"/>
        <v>0</v>
      </c>
      <c r="AV71" s="270">
        <f t="shared" ref="AV71:BI71" si="30">AV116</f>
        <v>0</v>
      </c>
      <c r="AW71" s="270">
        <f t="shared" si="30"/>
        <v>0</v>
      </c>
      <c r="AX71" s="270">
        <f t="shared" si="30"/>
        <v>0</v>
      </c>
      <c r="AY71" s="270">
        <f t="shared" si="30"/>
        <v>0</v>
      </c>
      <c r="AZ71" s="270">
        <f t="shared" si="30"/>
        <v>0</v>
      </c>
      <c r="BA71" s="270">
        <f t="shared" si="30"/>
        <v>0</v>
      </c>
      <c r="BB71" s="270">
        <f t="shared" si="30"/>
        <v>0</v>
      </c>
      <c r="BC71" s="270">
        <f t="shared" si="30"/>
        <v>0</v>
      </c>
      <c r="BD71" s="270">
        <f t="shared" si="30"/>
        <v>0</v>
      </c>
      <c r="BE71" s="270">
        <f t="shared" si="30"/>
        <v>0</v>
      </c>
      <c r="BF71" s="270">
        <f t="shared" si="30"/>
        <v>0</v>
      </c>
      <c r="BG71" s="270">
        <f t="shared" si="30"/>
        <v>0</v>
      </c>
      <c r="BH71" s="270">
        <f t="shared" si="30"/>
        <v>0</v>
      </c>
      <c r="BI71" s="270">
        <f t="shared" si="30"/>
        <v>0</v>
      </c>
      <c r="BN71" s="199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199" t="s">
        <v>582</v>
      </c>
      <c r="AU72" s="270">
        <f t="shared" si="28"/>
        <v>0</v>
      </c>
      <c r="AV72" s="270">
        <f t="shared" ref="AV72:BI72" si="31">AV117</f>
        <v>0</v>
      </c>
      <c r="AW72" s="270">
        <f t="shared" si="31"/>
        <v>0</v>
      </c>
      <c r="AX72" s="270">
        <f t="shared" si="31"/>
        <v>0</v>
      </c>
      <c r="AY72" s="270">
        <f t="shared" si="31"/>
        <v>0</v>
      </c>
      <c r="AZ72" s="270">
        <f t="shared" si="31"/>
        <v>0</v>
      </c>
      <c r="BA72" s="270">
        <f t="shared" si="31"/>
        <v>0</v>
      </c>
      <c r="BB72" s="270">
        <f t="shared" si="31"/>
        <v>0</v>
      </c>
      <c r="BC72" s="270">
        <f t="shared" si="31"/>
        <v>0</v>
      </c>
      <c r="BD72" s="270">
        <f t="shared" si="31"/>
        <v>0</v>
      </c>
      <c r="BE72" s="270">
        <f t="shared" si="31"/>
        <v>0</v>
      </c>
      <c r="BF72" s="270">
        <f t="shared" si="31"/>
        <v>0</v>
      </c>
      <c r="BG72" s="270">
        <f t="shared" si="31"/>
        <v>4043367.3234254471</v>
      </c>
      <c r="BH72" s="270">
        <f t="shared" si="31"/>
        <v>0</v>
      </c>
      <c r="BI72" s="270">
        <f t="shared" si="31"/>
        <v>0</v>
      </c>
      <c r="BN72" s="199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199" t="s">
        <v>584</v>
      </c>
      <c r="AU73" s="270">
        <f t="shared" si="28"/>
        <v>0</v>
      </c>
      <c r="AV73" s="270">
        <f t="shared" ref="AV73" si="32">AV118</f>
        <v>0</v>
      </c>
      <c r="AW73" s="270">
        <f t="shared" ref="AW73" si="33">AW118</f>
        <v>0</v>
      </c>
      <c r="AX73" s="270">
        <f t="shared" ref="AX73" si="34">AX118</f>
        <v>0</v>
      </c>
      <c r="AY73" s="270">
        <f t="shared" ref="AY73" si="35">AY118</f>
        <v>0</v>
      </c>
      <c r="AZ73" s="270">
        <f t="shared" ref="AZ73" si="36">AZ118</f>
        <v>0</v>
      </c>
      <c r="BA73" s="270">
        <f t="shared" ref="BA73" si="37">BA118</f>
        <v>0</v>
      </c>
      <c r="BB73" s="270">
        <f t="shared" ref="BB73" si="38">BB118</f>
        <v>0</v>
      </c>
      <c r="BC73" s="270">
        <f t="shared" ref="BC73" si="39">BC118</f>
        <v>0</v>
      </c>
      <c r="BD73" s="270">
        <f t="shared" ref="BD73" si="40">BD118</f>
        <v>0</v>
      </c>
      <c r="BE73" s="270">
        <f t="shared" ref="BE73" si="41">BE118</f>
        <v>0</v>
      </c>
      <c r="BF73" s="270">
        <f t="shared" ref="BF73:BI73" si="42">BF118</f>
        <v>0</v>
      </c>
      <c r="BG73" s="270">
        <f t="shared" si="42"/>
        <v>0</v>
      </c>
      <c r="BH73" s="270">
        <f t="shared" si="42"/>
        <v>0</v>
      </c>
      <c r="BI73" s="270">
        <f t="shared" si="42"/>
        <v>2830357.1263978118</v>
      </c>
      <c r="BN73" s="199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199" t="s">
        <v>512</v>
      </c>
      <c r="AU74" s="270">
        <f t="shared" si="28"/>
        <v>0</v>
      </c>
      <c r="AV74" s="270">
        <f t="shared" ref="AV74:BI74" si="43">AV119</f>
        <v>0</v>
      </c>
      <c r="AW74" s="270">
        <f t="shared" si="43"/>
        <v>0</v>
      </c>
      <c r="AX74" s="270">
        <f t="shared" si="43"/>
        <v>0</v>
      </c>
      <c r="AY74" s="270">
        <f t="shared" si="43"/>
        <v>0</v>
      </c>
      <c r="AZ74" s="270">
        <f t="shared" si="43"/>
        <v>0</v>
      </c>
      <c r="BA74" s="270">
        <f t="shared" si="43"/>
        <v>0</v>
      </c>
      <c r="BB74" s="270">
        <f t="shared" si="43"/>
        <v>0</v>
      </c>
      <c r="BC74" s="270">
        <f t="shared" si="43"/>
        <v>0</v>
      </c>
      <c r="BD74" s="270">
        <f t="shared" si="43"/>
        <v>0</v>
      </c>
      <c r="BE74" s="270">
        <f t="shared" si="43"/>
        <v>0</v>
      </c>
      <c r="BF74" s="270">
        <f t="shared" si="43"/>
        <v>0</v>
      </c>
      <c r="BG74" s="270">
        <f t="shared" si="43"/>
        <v>0</v>
      </c>
      <c r="BH74" s="270">
        <f t="shared" si="43"/>
        <v>0</v>
      </c>
      <c r="BI74" s="270">
        <f t="shared" si="43"/>
        <v>6682782.3361421349</v>
      </c>
      <c r="BN74" s="199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199" t="s">
        <v>513</v>
      </c>
      <c r="AU75" s="270">
        <f t="shared" si="28"/>
        <v>0</v>
      </c>
      <c r="AV75" s="270">
        <f t="shared" ref="AV75:BI75" si="44">AV120</f>
        <v>0</v>
      </c>
      <c r="AW75" s="270">
        <f t="shared" si="44"/>
        <v>0</v>
      </c>
      <c r="AX75" s="270">
        <f t="shared" si="44"/>
        <v>0</v>
      </c>
      <c r="AY75" s="270">
        <f t="shared" si="44"/>
        <v>0</v>
      </c>
      <c r="AZ75" s="270">
        <f t="shared" si="44"/>
        <v>0</v>
      </c>
      <c r="BA75" s="270">
        <f t="shared" si="44"/>
        <v>0</v>
      </c>
      <c r="BB75" s="270">
        <f t="shared" si="44"/>
        <v>0</v>
      </c>
      <c r="BC75" s="270">
        <f t="shared" si="44"/>
        <v>0</v>
      </c>
      <c r="BD75" s="270">
        <f t="shared" si="44"/>
        <v>0</v>
      </c>
      <c r="BE75" s="270">
        <f t="shared" si="44"/>
        <v>0</v>
      </c>
      <c r="BF75" s="270">
        <f t="shared" si="44"/>
        <v>0</v>
      </c>
      <c r="BG75" s="270">
        <f t="shared" si="44"/>
        <v>0</v>
      </c>
      <c r="BH75" s="270">
        <f t="shared" si="44"/>
        <v>0</v>
      </c>
      <c r="BI75" s="270">
        <f t="shared" si="44"/>
        <v>0</v>
      </c>
      <c r="BN75" s="199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199" t="s">
        <v>514</v>
      </c>
      <c r="AU76" s="270">
        <f t="shared" si="28"/>
        <v>0</v>
      </c>
      <c r="AV76" s="270">
        <f t="shared" ref="AV76:BI76" si="45">AV121</f>
        <v>0</v>
      </c>
      <c r="AW76" s="270">
        <f t="shared" si="45"/>
        <v>0</v>
      </c>
      <c r="AX76" s="270">
        <f t="shared" si="45"/>
        <v>0</v>
      </c>
      <c r="AY76" s="270">
        <f t="shared" si="45"/>
        <v>0</v>
      </c>
      <c r="AZ76" s="270">
        <f t="shared" si="45"/>
        <v>0</v>
      </c>
      <c r="BA76" s="270">
        <f t="shared" si="45"/>
        <v>0</v>
      </c>
      <c r="BB76" s="270">
        <f t="shared" si="45"/>
        <v>0</v>
      </c>
      <c r="BC76" s="270">
        <f t="shared" si="45"/>
        <v>0</v>
      </c>
      <c r="BD76" s="270">
        <f t="shared" si="45"/>
        <v>0</v>
      </c>
      <c r="BE76" s="270">
        <f t="shared" si="45"/>
        <v>0</v>
      </c>
      <c r="BF76" s="270">
        <f t="shared" si="45"/>
        <v>0</v>
      </c>
      <c r="BG76" s="270">
        <f t="shared" si="45"/>
        <v>0</v>
      </c>
      <c r="BH76" s="270">
        <f t="shared" si="45"/>
        <v>0</v>
      </c>
      <c r="BI76" s="270">
        <f t="shared" si="45"/>
        <v>0</v>
      </c>
      <c r="BN76" s="199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199" t="s">
        <v>524</v>
      </c>
      <c r="AU77" s="270">
        <f t="shared" si="28"/>
        <v>0</v>
      </c>
      <c r="AV77" s="270">
        <f t="shared" ref="AV77:BI77" si="46">AV122</f>
        <v>0</v>
      </c>
      <c r="AW77" s="270">
        <f t="shared" si="46"/>
        <v>0</v>
      </c>
      <c r="AX77" s="270">
        <f t="shared" si="46"/>
        <v>0</v>
      </c>
      <c r="AY77" s="270">
        <f t="shared" si="46"/>
        <v>0</v>
      </c>
      <c r="AZ77" s="270">
        <f t="shared" si="46"/>
        <v>0</v>
      </c>
      <c r="BA77" s="270">
        <f t="shared" si="46"/>
        <v>0</v>
      </c>
      <c r="BB77" s="270">
        <f t="shared" si="46"/>
        <v>0</v>
      </c>
      <c r="BC77" s="270">
        <f t="shared" si="46"/>
        <v>0</v>
      </c>
      <c r="BD77" s="270">
        <f t="shared" si="46"/>
        <v>0</v>
      </c>
      <c r="BE77" s="270">
        <f t="shared" si="46"/>
        <v>0</v>
      </c>
      <c r="BF77" s="270">
        <f t="shared" si="46"/>
        <v>0</v>
      </c>
      <c r="BG77" s="270">
        <f t="shared" si="46"/>
        <v>0</v>
      </c>
      <c r="BH77" s="270">
        <f t="shared" si="46"/>
        <v>0</v>
      </c>
      <c r="BI77" s="270">
        <f t="shared" si="46"/>
        <v>0</v>
      </c>
      <c r="BN77" s="199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199"/>
      <c r="AU78" s="450" t="s">
        <v>539</v>
      </c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  <c r="BG78" s="450"/>
      <c r="BH78" s="450"/>
      <c r="BI78" s="450"/>
      <c r="BN78" s="199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199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199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199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199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199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199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46"/>
      <c r="AU86" s="200" t="s">
        <v>392</v>
      </c>
      <c r="AV86" s="200" t="s">
        <v>393</v>
      </c>
      <c r="AW86" s="200" t="s">
        <v>394</v>
      </c>
      <c r="AX86" s="200" t="s">
        <v>522</v>
      </c>
      <c r="AY86" s="200" t="s">
        <v>502</v>
      </c>
      <c r="AZ86" s="200" t="s">
        <v>501</v>
      </c>
      <c r="BA86" s="200" t="s">
        <v>418</v>
      </c>
      <c r="BB86" s="200" t="s">
        <v>415</v>
      </c>
      <c r="BC86" s="200" t="s">
        <v>429</v>
      </c>
      <c r="BD86" s="200" t="s">
        <v>416</v>
      </c>
      <c r="BE86" s="200" t="s">
        <v>411</v>
      </c>
      <c r="BF86" s="200" t="s">
        <v>581</v>
      </c>
      <c r="BG86" s="200" t="s">
        <v>583</v>
      </c>
      <c r="BH86" s="200" t="s">
        <v>80</v>
      </c>
      <c r="BI86" s="200" t="s">
        <v>404</v>
      </c>
      <c r="BN86" s="200"/>
      <c r="BO86" s="200" t="s">
        <v>398</v>
      </c>
      <c r="BP86" s="200" t="s">
        <v>346</v>
      </c>
    </row>
    <row r="87" spans="36:81" x14ac:dyDescent="0.2">
      <c r="AJ87" s="197"/>
      <c r="AK87" s="197"/>
      <c r="AT87" s="197" t="s">
        <v>400</v>
      </c>
      <c r="AU87" s="219">
        <f>Ore_to_PI!$V$42</f>
        <v>108184.8596728804</v>
      </c>
      <c r="AV87" s="219"/>
      <c r="AW87" s="219"/>
      <c r="AX87" s="219"/>
      <c r="AY87" s="219"/>
      <c r="AZ87" s="219"/>
      <c r="BA87" s="219"/>
      <c r="BB87" s="219"/>
      <c r="BC87" s="219"/>
      <c r="BD87" s="219"/>
      <c r="BE87" s="219"/>
      <c r="BF87" s="219"/>
      <c r="BG87" s="219"/>
      <c r="BH87" s="219"/>
      <c r="BI87" s="219"/>
      <c r="BJ87" s="238">
        <f>SUM(AU87:BI87)</f>
        <v>108184.8596728804</v>
      </c>
      <c r="BN87" s="197" t="s">
        <v>400</v>
      </c>
      <c r="BO87" s="230"/>
      <c r="BP87" s="230"/>
      <c r="BQ87" s="238">
        <f>SUM(BO87:BP87)</f>
        <v>0</v>
      </c>
    </row>
    <row r="88" spans="36:81" x14ac:dyDescent="0.2">
      <c r="AJ88" s="197"/>
      <c r="AK88" s="197"/>
      <c r="AT88" s="197" t="s">
        <v>402</v>
      </c>
      <c r="AU88" s="219"/>
      <c r="AV88" s="219">
        <f>Ore_to_PI!$V$126</f>
        <v>25297.051877142174</v>
      </c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38">
        <f>SUM(AU88:BI88)</f>
        <v>25297.051877142174</v>
      </c>
      <c r="BN88" s="197" t="s">
        <v>402</v>
      </c>
      <c r="BO88" s="230"/>
      <c r="BP88" s="230"/>
      <c r="BQ88" s="238">
        <f>SUM(BO88:BP88)</f>
        <v>0</v>
      </c>
    </row>
    <row r="89" spans="36:81" x14ac:dyDescent="0.2">
      <c r="AJ89" s="197"/>
      <c r="AK89" s="197"/>
      <c r="AT89" s="197" t="s">
        <v>403</v>
      </c>
      <c r="AU89" s="219"/>
      <c r="AV89" s="219"/>
      <c r="AW89" s="219">
        <f>Ore_to_PI!$V$206</f>
        <v>8850991.3601140417</v>
      </c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38">
        <f t="shared" ref="BJ89:BJ122" si="47">SUM(AU89:BI89)</f>
        <v>8850991.3601140417</v>
      </c>
      <c r="BN89" s="197" t="s">
        <v>403</v>
      </c>
      <c r="BO89" s="230"/>
      <c r="BP89" s="230"/>
      <c r="BQ89" s="238">
        <f>SUM(BO89:BP89)</f>
        <v>0</v>
      </c>
    </row>
    <row r="90" spans="36:81" x14ac:dyDescent="0.2">
      <c r="AJ90" s="197"/>
      <c r="AK90" s="197"/>
      <c r="AT90" s="197" t="s">
        <v>422</v>
      </c>
      <c r="AU90" s="219">
        <f>Ore_to_PI!V72</f>
        <v>125.02637472887361</v>
      </c>
      <c r="AV90" s="219">
        <f>Ore_to_PI!V163</f>
        <v>0.37484270351331089</v>
      </c>
      <c r="AW90" s="219">
        <f>Ore_to_PI!V236</f>
        <v>30.954464502133519</v>
      </c>
      <c r="AX90" s="219"/>
      <c r="AY90" s="219"/>
      <c r="AZ90" s="219"/>
      <c r="BA90" s="219"/>
      <c r="BB90" s="219"/>
      <c r="BC90" s="219"/>
      <c r="BD90" s="219">
        <f>Ore_to_PI!CB140</f>
        <v>2671.5132120132448</v>
      </c>
      <c r="BE90" s="219">
        <f>Ore_to_PI!CB232</f>
        <v>14491.84871754296</v>
      </c>
      <c r="BF90" s="219"/>
      <c r="BG90" s="219"/>
      <c r="BH90" s="219"/>
      <c r="BI90" s="229">
        <f>Ore_to_PI!EM140</f>
        <v>11826.742854693757</v>
      </c>
      <c r="BJ90" s="238">
        <f t="shared" si="47"/>
        <v>29146.460466184486</v>
      </c>
      <c r="BN90" s="197" t="s">
        <v>422</v>
      </c>
      <c r="BO90" s="230"/>
      <c r="BP90" s="230"/>
      <c r="BQ90" s="238">
        <f t="shared" ref="BQ90:BQ94" si="48">SUM(BO90:BP90)</f>
        <v>0</v>
      </c>
    </row>
    <row r="91" spans="36:81" x14ac:dyDescent="0.2">
      <c r="AJ91" s="197"/>
      <c r="AK91" s="197"/>
      <c r="AM91" s="197"/>
      <c r="AT91" s="197" t="s">
        <v>444</v>
      </c>
      <c r="AU91" s="219"/>
      <c r="AV91" s="219"/>
      <c r="AW91" s="219"/>
      <c r="AX91" s="219"/>
      <c r="AY91" s="219"/>
      <c r="AZ91" s="219"/>
      <c r="BA91" s="219"/>
      <c r="BB91" s="219"/>
      <c r="BC91" s="219"/>
      <c r="BD91" s="219">
        <f>Ore_to_PI!CB152</f>
        <v>1951076.4755827489</v>
      </c>
      <c r="BE91" s="219">
        <f>Ore_to_PI!CB244</f>
        <v>10583778.883576756</v>
      </c>
      <c r="BF91" s="219"/>
      <c r="BG91" s="219"/>
      <c r="BH91" s="219"/>
      <c r="BI91" s="219">
        <f>Ore_to_PI!EM114</f>
        <v>2329445.3092260091</v>
      </c>
      <c r="BJ91" s="238">
        <f t="shared" si="47"/>
        <v>14864300.668385513</v>
      </c>
      <c r="BN91" s="197" t="s">
        <v>444</v>
      </c>
      <c r="BO91" s="230"/>
      <c r="BP91" s="230"/>
      <c r="BQ91" s="238">
        <f t="shared" si="48"/>
        <v>0</v>
      </c>
    </row>
    <row r="92" spans="36:81" x14ac:dyDescent="0.2">
      <c r="AJ92" s="197"/>
      <c r="AK92" s="197"/>
      <c r="AM92" s="197"/>
      <c r="AT92" s="197" t="s">
        <v>533</v>
      </c>
      <c r="AU92" s="219">
        <f>Ore_to_PI!V59</f>
        <v>94146.207140653787</v>
      </c>
      <c r="AV92" s="219">
        <f>Ore_to_PI!V140</f>
        <v>257.99399332425372</v>
      </c>
      <c r="AW92" s="219">
        <f>Ore_to_PI!V222</f>
        <v>23309.045257575242</v>
      </c>
      <c r="AX92" s="219"/>
      <c r="AY92" s="219"/>
      <c r="AZ92" s="219"/>
      <c r="BA92" s="219"/>
      <c r="BB92" s="219"/>
      <c r="BC92" s="219"/>
      <c r="BD92" s="219"/>
      <c r="BE92" s="219"/>
      <c r="BF92" s="219"/>
      <c r="BG92" s="219"/>
      <c r="BH92" s="219"/>
      <c r="BI92" s="219"/>
      <c r="BJ92" s="238">
        <f t="shared" si="47"/>
        <v>117713.24639155329</v>
      </c>
      <c r="BN92" s="197" t="s">
        <v>533</v>
      </c>
      <c r="BO92" s="230"/>
      <c r="BP92" s="230"/>
      <c r="BQ92" s="238">
        <f t="shared" si="48"/>
        <v>0</v>
      </c>
    </row>
    <row r="93" spans="36:81" x14ac:dyDescent="0.2">
      <c r="AJ93" s="197"/>
      <c r="AK93" s="197"/>
      <c r="AM93" s="197"/>
      <c r="AT93" s="197" t="s">
        <v>534</v>
      </c>
      <c r="AU93" s="219"/>
      <c r="AV93" s="219">
        <f>Ore_to_PI!V151</f>
        <v>24.076233417548465</v>
      </c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  <c r="BI93" s="219"/>
      <c r="BJ93" s="238">
        <f t="shared" si="47"/>
        <v>24.076233417548465</v>
      </c>
      <c r="BN93" s="197" t="s">
        <v>534</v>
      </c>
      <c r="BO93" s="230"/>
      <c r="BP93" s="230"/>
      <c r="BQ93" s="238">
        <f t="shared" si="48"/>
        <v>0</v>
      </c>
    </row>
    <row r="94" spans="36:81" x14ac:dyDescent="0.2">
      <c r="AJ94" s="197"/>
      <c r="AK94" s="197"/>
      <c r="AM94" s="197"/>
      <c r="AT94" s="197" t="s">
        <v>478</v>
      </c>
      <c r="AU94" s="219"/>
      <c r="AV94" s="219"/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  <c r="BI94" s="219">
        <f>Ore_to_PI!EM101</f>
        <v>29112.263489807588</v>
      </c>
      <c r="BJ94" s="238">
        <f t="shared" si="47"/>
        <v>29112.263489807588</v>
      </c>
      <c r="BN94" s="197" t="s">
        <v>478</v>
      </c>
      <c r="BO94" s="230"/>
      <c r="BP94" s="230"/>
      <c r="BQ94" s="238">
        <f t="shared" si="48"/>
        <v>0</v>
      </c>
    </row>
    <row r="95" spans="36:81" x14ac:dyDescent="0.2">
      <c r="AJ95" s="197"/>
      <c r="AK95" s="197"/>
      <c r="AM95" s="197"/>
      <c r="AT95" s="197" t="s">
        <v>526</v>
      </c>
      <c r="AU95" s="219"/>
      <c r="AV95" s="219"/>
      <c r="AW95" s="219">
        <f>Ore_to_PI!AC195</f>
        <v>80616.370239891301</v>
      </c>
      <c r="AX95" s="219">
        <f>Ore_to_PI!AU28</f>
        <v>609792.2517593482</v>
      </c>
      <c r="AY95" s="219">
        <f>Ore_to_PI!AU113</f>
        <v>2824.8856477449194</v>
      </c>
      <c r="AZ95" s="219">
        <f>Ore_to_PI!AU190</f>
        <v>282.1287710315147</v>
      </c>
      <c r="BA95" s="219">
        <f>Ore_to_PI!BN35</f>
        <v>12626.098826338684</v>
      </c>
      <c r="BB95" s="219">
        <f>Ore_to_PI!BM116</f>
        <v>34.678095164114971</v>
      </c>
      <c r="BC95" s="219">
        <f>Ore_to_PI!BM195</f>
        <v>50.358084153937838</v>
      </c>
      <c r="BD95" s="219"/>
      <c r="BE95" s="219"/>
      <c r="BF95" s="219">
        <f>Ore_to_PI!DD229</f>
        <v>33191.859393697465</v>
      </c>
      <c r="BG95" s="219"/>
      <c r="BH95" s="219"/>
      <c r="BI95" s="219">
        <f>Ore_to_PI!EU117</f>
        <v>318930.1042317453</v>
      </c>
      <c r="BJ95" s="238">
        <f t="shared" si="47"/>
        <v>1058348.7350491155</v>
      </c>
      <c r="BN95" s="197" t="s">
        <v>526</v>
      </c>
      <c r="BO95" s="230"/>
      <c r="BP95" s="230"/>
      <c r="BQ95" s="238">
        <f t="shared" ref="BQ95:BQ101" si="49">SUM(BO95:BP95)</f>
        <v>0</v>
      </c>
    </row>
    <row r="96" spans="36:81" ht="16" x14ac:dyDescent="0.2">
      <c r="AJ96" s="232"/>
      <c r="AK96" s="232"/>
      <c r="AT96" s="198" t="s">
        <v>509</v>
      </c>
      <c r="AU96" s="219"/>
      <c r="AV96" s="219"/>
      <c r="AW96" s="219"/>
      <c r="AX96" s="219">
        <f>Ore_to_PI!$AO$42</f>
        <v>108184.8596728804</v>
      </c>
      <c r="AY96" s="219"/>
      <c r="AZ96" s="219"/>
      <c r="BA96" s="219"/>
      <c r="BB96" s="219"/>
      <c r="BC96" s="219"/>
      <c r="BD96" s="219"/>
      <c r="BE96" s="219"/>
      <c r="BF96" s="219"/>
      <c r="BG96" s="219"/>
      <c r="BH96" s="219"/>
      <c r="BI96" s="219"/>
      <c r="BJ96" s="238">
        <f t="shared" si="47"/>
        <v>108184.8596728804</v>
      </c>
      <c r="BN96" s="198" t="s">
        <v>509</v>
      </c>
      <c r="BO96" s="230"/>
      <c r="BP96" s="230"/>
      <c r="BQ96" s="238">
        <f t="shared" si="49"/>
        <v>0</v>
      </c>
    </row>
    <row r="97" spans="36:74" ht="16" x14ac:dyDescent="0.2">
      <c r="AJ97" s="198"/>
      <c r="AK97" s="198"/>
      <c r="AT97" s="197" t="s">
        <v>476</v>
      </c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19"/>
      <c r="BH97" s="219"/>
      <c r="BI97" s="219"/>
      <c r="BJ97" s="238">
        <f t="shared" si="47"/>
        <v>0</v>
      </c>
      <c r="BN97" s="197" t="s">
        <v>476</v>
      </c>
      <c r="BO97" s="230"/>
      <c r="BP97" s="230">
        <f>Ore_to_PI!AO63</f>
        <v>2244.7960862667505</v>
      </c>
      <c r="BQ97" s="238">
        <f t="shared" si="49"/>
        <v>2244.7960862667505</v>
      </c>
    </row>
    <row r="98" spans="36:74" ht="16" x14ac:dyDescent="0.2">
      <c r="AJ98" s="199"/>
      <c r="AK98" s="199"/>
      <c r="AT98" s="198" t="s">
        <v>479</v>
      </c>
      <c r="AU98" s="219"/>
      <c r="AV98" s="219"/>
      <c r="AW98" s="219"/>
      <c r="AX98" s="219"/>
      <c r="AY98" s="219">
        <f>Ore_to_PI!$AP$126</f>
        <v>25297.051877142174</v>
      </c>
      <c r="AZ98" s="219"/>
      <c r="BA98" s="219"/>
      <c r="BB98" s="219"/>
      <c r="BC98" s="219"/>
      <c r="BD98" s="219"/>
      <c r="BE98" s="219"/>
      <c r="BF98" s="219"/>
      <c r="BG98" s="219"/>
      <c r="BH98" s="219"/>
      <c r="BI98" s="219"/>
      <c r="BJ98" s="238">
        <f t="shared" si="47"/>
        <v>25297.051877142174</v>
      </c>
      <c r="BN98" s="198" t="s">
        <v>479</v>
      </c>
      <c r="BO98" s="230"/>
      <c r="BP98" s="234"/>
      <c r="BQ98" s="238">
        <f t="shared" si="49"/>
        <v>0</v>
      </c>
    </row>
    <row r="99" spans="36:74" x14ac:dyDescent="0.2">
      <c r="AJ99" s="199"/>
      <c r="AK99" s="199"/>
      <c r="AT99" s="197" t="s">
        <v>504</v>
      </c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19"/>
      <c r="BG99" s="219"/>
      <c r="BH99" s="229"/>
      <c r="BI99" s="219"/>
      <c r="BJ99" s="238">
        <f t="shared" si="47"/>
        <v>0</v>
      </c>
      <c r="BN99" s="197" t="s">
        <v>504</v>
      </c>
      <c r="BO99" s="230"/>
      <c r="BP99" s="230">
        <f>Ore_to_PI!AP142</f>
        <v>6.7177820097776806</v>
      </c>
      <c r="BQ99" s="238">
        <f t="shared" si="49"/>
        <v>6.7177820097776806</v>
      </c>
    </row>
    <row r="100" spans="36:74" x14ac:dyDescent="0.2">
      <c r="AJ100" s="199"/>
      <c r="AK100" s="199"/>
      <c r="AT100" s="199" t="s">
        <v>497</v>
      </c>
      <c r="AU100" s="219"/>
      <c r="AV100" s="219"/>
      <c r="AW100" s="219"/>
      <c r="AX100" s="219"/>
      <c r="AY100" s="219"/>
      <c r="AZ100" s="219">
        <f>Ore_to_PI!$AP$206</f>
        <v>8855804.320336977</v>
      </c>
      <c r="BA100" s="219"/>
      <c r="BB100" s="219"/>
      <c r="BC100" s="219"/>
      <c r="BD100" s="219"/>
      <c r="BE100" s="219"/>
      <c r="BF100" s="219"/>
      <c r="BG100" s="219"/>
      <c r="BH100" s="219"/>
      <c r="BI100" s="229"/>
      <c r="BJ100" s="238">
        <f t="shared" si="47"/>
        <v>8855804.320336977</v>
      </c>
      <c r="BN100" s="199" t="s">
        <v>497</v>
      </c>
      <c r="BO100" s="230"/>
      <c r="BP100" s="230"/>
      <c r="BQ100" s="238">
        <f t="shared" si="49"/>
        <v>0</v>
      </c>
    </row>
    <row r="101" spans="36:74" x14ac:dyDescent="0.2">
      <c r="AJ101" s="199"/>
      <c r="AK101" s="199"/>
      <c r="AT101" s="197" t="s">
        <v>483</v>
      </c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/>
      <c r="BI101" s="219"/>
      <c r="BJ101" s="238">
        <f t="shared" si="47"/>
        <v>0</v>
      </c>
      <c r="BN101" s="197" t="s">
        <v>483</v>
      </c>
      <c r="BO101" s="230"/>
      <c r="BP101" s="230">
        <f>Ore_to_PI!AP227</f>
        <v>555.77441893806406</v>
      </c>
      <c r="BQ101" s="23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199"/>
      <c r="AK102" s="199"/>
      <c r="AT102" s="198" t="s">
        <v>508</v>
      </c>
      <c r="AU102" s="219"/>
      <c r="AV102" s="219"/>
      <c r="AW102" s="219"/>
      <c r="AX102" s="219"/>
      <c r="AY102" s="219"/>
      <c r="AZ102" s="219"/>
      <c r="BA102" s="219">
        <f>Ore_to_PI!$BH$42</f>
        <v>108184.8596728804</v>
      </c>
      <c r="BB102" s="219"/>
      <c r="BC102" s="219"/>
      <c r="BD102" s="219"/>
      <c r="BE102" s="219"/>
      <c r="BF102" s="219"/>
      <c r="BG102" s="219"/>
      <c r="BH102" s="219"/>
      <c r="BI102" s="219"/>
      <c r="BJ102" s="238">
        <f t="shared" si="47"/>
        <v>108184.8596728804</v>
      </c>
      <c r="BN102" s="198" t="s">
        <v>508</v>
      </c>
      <c r="BO102" s="230"/>
      <c r="BP102" s="230"/>
      <c r="BQ102" s="238">
        <f t="shared" ref="BQ102:BQ122" si="50">SUM(BO102:BP102)</f>
        <v>0</v>
      </c>
    </row>
    <row r="103" spans="36:74" ht="16" x14ac:dyDescent="0.2">
      <c r="AJ103" s="199"/>
      <c r="AK103" s="199"/>
      <c r="AT103" s="198" t="s">
        <v>503</v>
      </c>
      <c r="AU103" s="219"/>
      <c r="AV103" s="219"/>
      <c r="AW103" s="219"/>
      <c r="AX103" s="219"/>
      <c r="AY103" s="219"/>
      <c r="AZ103" s="219"/>
      <c r="BA103" s="219"/>
      <c r="BB103" s="219">
        <f>Ore_to_PI!$BI$126</f>
        <v>25297.051877142174</v>
      </c>
      <c r="BC103" s="219"/>
      <c r="BD103" s="219"/>
      <c r="BE103" s="219"/>
      <c r="BF103" s="219"/>
      <c r="BG103" s="219"/>
      <c r="BH103" s="219"/>
      <c r="BI103" s="219"/>
      <c r="BJ103" s="238">
        <f t="shared" si="47"/>
        <v>25297.051877142174</v>
      </c>
      <c r="BN103" s="198" t="s">
        <v>503</v>
      </c>
      <c r="BO103" s="230"/>
      <c r="BP103" s="230"/>
      <c r="BQ103" s="238">
        <f t="shared" si="50"/>
        <v>0</v>
      </c>
    </row>
    <row r="104" spans="36:74" ht="16" x14ac:dyDescent="0.2">
      <c r="AJ104" s="199"/>
      <c r="AK104" s="199"/>
      <c r="AT104" s="198" t="s">
        <v>500</v>
      </c>
      <c r="AU104" s="219"/>
      <c r="AV104" s="219"/>
      <c r="AW104" s="219"/>
      <c r="AX104" s="219"/>
      <c r="AY104" s="219"/>
      <c r="AZ104" s="219"/>
      <c r="BA104" s="219"/>
      <c r="BB104" s="219"/>
      <c r="BC104" s="219">
        <f>Ore_to_PI!$BI$206</f>
        <v>8855804.320336977</v>
      </c>
      <c r="BD104" s="219"/>
      <c r="BE104" s="219"/>
      <c r="BF104" s="219"/>
      <c r="BG104" s="219"/>
      <c r="BH104" s="219"/>
      <c r="BI104" s="219"/>
      <c r="BJ104" s="238">
        <f t="shared" si="47"/>
        <v>8855804.320336977</v>
      </c>
      <c r="BN104" s="198" t="s">
        <v>500</v>
      </c>
      <c r="BO104" s="230"/>
      <c r="BP104" s="230"/>
      <c r="BQ104" s="238">
        <f t="shared" si="50"/>
        <v>0</v>
      </c>
    </row>
    <row r="105" spans="36:74" ht="16" x14ac:dyDescent="0.2">
      <c r="AJ105" s="239"/>
      <c r="AK105" s="239"/>
      <c r="AT105" s="198" t="s">
        <v>506</v>
      </c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/>
      <c r="BF105" s="219"/>
      <c r="BG105" s="219"/>
      <c r="BH105" s="219">
        <f>Ore_to_PI!CA42</f>
        <v>88071.706245154463</v>
      </c>
      <c r="BI105" s="219"/>
      <c r="BJ105" s="238">
        <f t="shared" si="47"/>
        <v>88071.706245154463</v>
      </c>
      <c r="BN105" s="198" t="s">
        <v>506</v>
      </c>
      <c r="BO105" s="230"/>
      <c r="BP105" s="230"/>
      <c r="BQ105" s="238">
        <f t="shared" si="50"/>
        <v>0</v>
      </c>
    </row>
    <row r="106" spans="36:74" x14ac:dyDescent="0.2">
      <c r="AJ106" s="199"/>
      <c r="AK106" s="199"/>
      <c r="AT106" s="199" t="s">
        <v>505</v>
      </c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19"/>
      <c r="BG106" s="219"/>
      <c r="BH106" s="219"/>
      <c r="BI106" s="229"/>
      <c r="BJ106" s="238">
        <f t="shared" si="47"/>
        <v>0</v>
      </c>
      <c r="BK106" s="25"/>
      <c r="BL106" s="25"/>
      <c r="BN106" s="199" t="s">
        <v>505</v>
      </c>
      <c r="BO106" s="230"/>
      <c r="BP106" s="230">
        <f>Ore_to_PI!CA55</f>
        <v>21722.892325740406</v>
      </c>
      <c r="BQ106" s="238">
        <f t="shared" si="50"/>
        <v>21722.892325740406</v>
      </c>
    </row>
    <row r="107" spans="36:74" x14ac:dyDescent="0.2">
      <c r="AJ107" s="199"/>
      <c r="AK107" s="199"/>
      <c r="AT107" s="199" t="s">
        <v>491</v>
      </c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>
        <f>Ore_to_PI!$CB$126</f>
        <v>25297.051877142174</v>
      </c>
      <c r="BE107" s="219"/>
      <c r="BF107" s="219"/>
      <c r="BG107" s="219"/>
      <c r="BH107" s="219"/>
      <c r="BI107" s="219"/>
      <c r="BJ107" s="238">
        <f t="shared" si="47"/>
        <v>25297.051877142174</v>
      </c>
      <c r="BN107" s="199" t="s">
        <v>491</v>
      </c>
      <c r="BO107" s="230"/>
      <c r="BP107" s="230"/>
      <c r="BQ107" s="238">
        <f t="shared" si="50"/>
        <v>0</v>
      </c>
    </row>
    <row r="108" spans="36:74" x14ac:dyDescent="0.2">
      <c r="AJ108" s="199"/>
      <c r="AK108" s="199"/>
      <c r="AT108" s="199" t="s">
        <v>523</v>
      </c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Ore_to_PI!$CB$206</f>
        <v>8855804.320336977</v>
      </c>
      <c r="BF108" s="219"/>
      <c r="BG108" s="219"/>
      <c r="BH108" s="219"/>
      <c r="BI108" s="219"/>
      <c r="BJ108" s="238">
        <f t="shared" si="47"/>
        <v>8855804.320336977</v>
      </c>
      <c r="BN108" s="199" t="s">
        <v>523</v>
      </c>
      <c r="BO108" s="230"/>
      <c r="BP108" s="230"/>
      <c r="BQ108" s="238">
        <f t="shared" si="50"/>
        <v>0</v>
      </c>
    </row>
    <row r="109" spans="36:74" x14ac:dyDescent="0.2">
      <c r="AJ109" s="199"/>
      <c r="AK109" s="199"/>
      <c r="AT109" s="199" t="s">
        <v>492</v>
      </c>
      <c r="AU109" s="219"/>
      <c r="AV109" s="219"/>
      <c r="AW109" s="219"/>
      <c r="AX109" s="219"/>
      <c r="AY109" s="219"/>
      <c r="AZ109" s="219"/>
      <c r="BA109" s="219"/>
      <c r="BB109" s="219"/>
      <c r="BC109" s="219"/>
      <c r="BD109" s="219"/>
      <c r="BE109" s="219"/>
      <c r="BF109" s="219"/>
      <c r="BG109" s="219"/>
      <c r="BH109" s="219">
        <f>Ore_to_PI!$CW$126</f>
        <v>242016.07607977447</v>
      </c>
      <c r="BI109" s="219"/>
      <c r="BJ109" s="238">
        <f t="shared" si="47"/>
        <v>242016.07607977447</v>
      </c>
      <c r="BN109" s="199" t="s">
        <v>492</v>
      </c>
      <c r="BO109" s="230"/>
      <c r="BP109" s="230"/>
      <c r="BQ109" s="238">
        <f t="shared" si="50"/>
        <v>0</v>
      </c>
    </row>
    <row r="110" spans="36:74" x14ac:dyDescent="0.2">
      <c r="AJ110" s="199"/>
      <c r="AK110" s="199"/>
      <c r="AT110" s="199" t="s">
        <v>494</v>
      </c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19"/>
      <c r="BH110" s="219"/>
      <c r="BI110" s="229"/>
      <c r="BJ110" s="238">
        <f t="shared" si="47"/>
        <v>0</v>
      </c>
      <c r="BN110" s="199" t="s">
        <v>494</v>
      </c>
      <c r="BO110" s="230"/>
      <c r="BP110" s="230">
        <f>Ore_to_PI!CW114</f>
        <v>7739.2511800711582</v>
      </c>
      <c r="BQ110" s="238">
        <f t="shared" si="50"/>
        <v>7739.2511800711582</v>
      </c>
    </row>
    <row r="111" spans="36:74" x14ac:dyDescent="0.2">
      <c r="AJ111" s="199"/>
      <c r="AK111" s="199"/>
      <c r="AT111" s="199" t="s">
        <v>493</v>
      </c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19"/>
      <c r="BH111" s="219"/>
      <c r="BI111" s="219"/>
      <c r="BJ111" s="238">
        <f t="shared" si="47"/>
        <v>0</v>
      </c>
      <c r="BN111" s="199" t="s">
        <v>493</v>
      </c>
      <c r="BO111" s="230"/>
      <c r="BP111" s="230">
        <f>Ore_to_PI!CW138</f>
        <v>87222.135331413883</v>
      </c>
      <c r="BQ111" s="238">
        <f t="shared" si="50"/>
        <v>87222.135331413883</v>
      </c>
    </row>
    <row r="112" spans="36:74" x14ac:dyDescent="0.2">
      <c r="AJ112" s="199"/>
      <c r="AK112" s="199"/>
      <c r="AT112" s="199" t="s">
        <v>551</v>
      </c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19"/>
      <c r="BH112" s="219">
        <f>Ore_to_PI!$CW$206</f>
        <v>6408288.6211381694</v>
      </c>
      <c r="BI112" s="219"/>
      <c r="BJ112" s="238">
        <f t="shared" si="47"/>
        <v>6408288.6211381694</v>
      </c>
      <c r="BN112" s="199" t="s">
        <v>551</v>
      </c>
      <c r="BO112" s="230"/>
      <c r="BP112" s="230"/>
      <c r="BQ112" s="238">
        <f t="shared" si="50"/>
        <v>0</v>
      </c>
    </row>
    <row r="113" spans="5:69" ht="16" x14ac:dyDescent="0.2">
      <c r="AJ113" s="199"/>
      <c r="AK113" s="199"/>
      <c r="AT113" s="239" t="s">
        <v>489</v>
      </c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/>
      <c r="BE113" s="219"/>
      <c r="BF113" s="219">
        <f>Ore_to_PI!$CW$234</f>
        <v>4026178.1360752485</v>
      </c>
      <c r="BG113" s="219"/>
      <c r="BH113" s="219"/>
      <c r="BI113" s="219"/>
      <c r="BJ113" s="238">
        <f t="shared" si="47"/>
        <v>4026178.1360752485</v>
      </c>
      <c r="BN113" s="239" t="s">
        <v>489</v>
      </c>
      <c r="BO113" s="230"/>
      <c r="BP113" s="230"/>
      <c r="BQ113" s="238">
        <f t="shared" si="50"/>
        <v>0</v>
      </c>
    </row>
    <row r="114" spans="5:69" ht="16" x14ac:dyDescent="0.2">
      <c r="AJ114" s="199"/>
      <c r="AK114" s="199"/>
      <c r="AT114" s="239" t="s">
        <v>619</v>
      </c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19"/>
      <c r="BG114" s="219"/>
      <c r="BH114" s="219"/>
      <c r="BI114" s="219"/>
      <c r="BJ114" s="238">
        <f t="shared" si="47"/>
        <v>0</v>
      </c>
      <c r="BN114" s="239" t="s">
        <v>619</v>
      </c>
      <c r="BO114" s="230"/>
      <c r="BP114" s="230">
        <f>Ore_to_PI!CW267</f>
        <v>955411.7785075705</v>
      </c>
      <c r="BQ114" s="238">
        <f t="shared" si="50"/>
        <v>955411.7785075705</v>
      </c>
    </row>
    <row r="115" spans="5:69" x14ac:dyDescent="0.2">
      <c r="AJ115" s="199"/>
      <c r="AK115" s="199"/>
      <c r="AT115" s="199" t="s">
        <v>488</v>
      </c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19"/>
      <c r="BG115" s="219"/>
      <c r="BH115" s="219"/>
      <c r="BI115" s="219"/>
      <c r="BJ115" s="238">
        <f t="shared" si="47"/>
        <v>0</v>
      </c>
      <c r="BN115" s="199" t="s">
        <v>488</v>
      </c>
      <c r="BO115" s="230"/>
      <c r="BP115" s="230">
        <f>Ore_to_PI!CW218</f>
        <v>8991.620323109395</v>
      </c>
      <c r="BQ115" s="238">
        <f t="shared" si="50"/>
        <v>8991.620323109395</v>
      </c>
    </row>
    <row r="116" spans="5:69" x14ac:dyDescent="0.2">
      <c r="AJ116" s="199"/>
      <c r="AK116" s="199"/>
      <c r="AT116" s="197" t="s">
        <v>490</v>
      </c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19"/>
      <c r="BH116" s="219"/>
      <c r="BI116" s="219"/>
      <c r="BJ116" s="238">
        <f t="shared" si="47"/>
        <v>0</v>
      </c>
      <c r="BN116" s="197" t="s">
        <v>490</v>
      </c>
      <c r="BO116" s="230"/>
      <c r="BP116" s="230">
        <f>Ore_to_PI!CW251</f>
        <v>303788.26554911444</v>
      </c>
      <c r="BQ116" s="238">
        <f t="shared" si="50"/>
        <v>303788.26554911444</v>
      </c>
    </row>
    <row r="117" spans="5:69" x14ac:dyDescent="0.2">
      <c r="AJ117" s="199"/>
      <c r="AK117" s="199"/>
      <c r="AT117" s="199" t="s">
        <v>582</v>
      </c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19">
        <f>Ore_to_PI!$DQ$233</f>
        <v>4043367.3234254471</v>
      </c>
      <c r="BH117" s="219"/>
      <c r="BI117" s="229"/>
      <c r="BJ117" s="238">
        <f t="shared" si="47"/>
        <v>4043367.3234254471</v>
      </c>
      <c r="BN117" s="199" t="s">
        <v>582</v>
      </c>
      <c r="BO117" s="230"/>
      <c r="BP117" s="230"/>
      <c r="BQ117" s="238">
        <f t="shared" si="50"/>
        <v>0</v>
      </c>
    </row>
    <row r="118" spans="5:69" x14ac:dyDescent="0.2">
      <c r="AJ118" s="199"/>
      <c r="AK118" s="199"/>
      <c r="AT118" s="199" t="s">
        <v>584</v>
      </c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29">
        <f>Ore_to_PI!$EM$152</f>
        <v>2830357.1263978118</v>
      </c>
      <c r="BJ118" s="238">
        <f t="shared" si="47"/>
        <v>2830357.1263978118</v>
      </c>
      <c r="BN118" s="199" t="s">
        <v>584</v>
      </c>
      <c r="BO118" s="230">
        <f>Ore_to_PI!$FG$233</f>
        <v>1213010.1970276341</v>
      </c>
      <c r="BP118" s="230"/>
      <c r="BQ118" s="238">
        <f t="shared" si="50"/>
        <v>1213010.1970276341</v>
      </c>
    </row>
    <row r="119" spans="5:69" x14ac:dyDescent="0.2">
      <c r="AJ119" s="199"/>
      <c r="AK119" s="199"/>
      <c r="AT119" s="199" t="s">
        <v>512</v>
      </c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29">
        <f>Ore_to_PI!EM126</f>
        <v>6682782.3361421349</v>
      </c>
      <c r="BJ119" s="238">
        <f t="shared" si="47"/>
        <v>6682782.3361421349</v>
      </c>
      <c r="BN119" s="199" t="s">
        <v>512</v>
      </c>
      <c r="BO119" s="230"/>
      <c r="BP119" s="230"/>
      <c r="BQ119" s="238">
        <f t="shared" si="50"/>
        <v>0</v>
      </c>
    </row>
    <row r="120" spans="5:69" x14ac:dyDescent="0.2">
      <c r="AJ120" s="199"/>
      <c r="AK120" s="199"/>
      <c r="AT120" s="199" t="s">
        <v>513</v>
      </c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  <c r="BJ120" s="238">
        <f t="shared" si="47"/>
        <v>0</v>
      </c>
      <c r="BN120" s="199" t="s">
        <v>513</v>
      </c>
      <c r="BO120" s="230">
        <f>Ore_to_PI!FM126</f>
        <v>4157895.2984628798</v>
      </c>
      <c r="BP120" s="230"/>
      <c r="BQ120" s="238">
        <f t="shared" si="50"/>
        <v>4157895.2984628798</v>
      </c>
    </row>
    <row r="121" spans="5:69" x14ac:dyDescent="0.2">
      <c r="AJ121" s="199"/>
      <c r="AK121" s="199"/>
      <c r="AT121" s="199" t="s">
        <v>514</v>
      </c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38">
        <f t="shared" si="47"/>
        <v>0</v>
      </c>
      <c r="BN121" s="199" t="s">
        <v>514</v>
      </c>
      <c r="BO121" s="230"/>
      <c r="BP121" s="230">
        <f>Ore_to_PI!FM141</f>
        <v>404209.15818875749</v>
      </c>
      <c r="BQ121" s="238">
        <f t="shared" si="50"/>
        <v>404209.15818875749</v>
      </c>
    </row>
    <row r="122" spans="5:69" x14ac:dyDescent="0.2">
      <c r="AJ122" s="199"/>
      <c r="AK122" s="199"/>
      <c r="AT122" s="199" t="s">
        <v>524</v>
      </c>
      <c r="AU122" s="219"/>
      <c r="AV122" s="219"/>
      <c r="AW122" s="219"/>
      <c r="AX122" s="219"/>
      <c r="AY122" s="219"/>
      <c r="AZ122" s="219"/>
      <c r="BA122" s="219"/>
      <c r="BB122" s="219"/>
      <c r="BC122" s="219"/>
      <c r="BD122" s="219"/>
      <c r="BE122" s="219"/>
      <c r="BF122" s="219"/>
      <c r="BG122" s="219"/>
      <c r="BH122" s="219"/>
      <c r="BI122" s="219"/>
      <c r="BJ122" s="238">
        <f t="shared" si="47"/>
        <v>0</v>
      </c>
      <c r="BN122" s="199" t="s">
        <v>524</v>
      </c>
      <c r="BO122" s="230"/>
      <c r="BP122" s="230">
        <f>Ore_to_PI!FM104</f>
        <v>67875.356217847453</v>
      </c>
      <c r="BQ122" s="238">
        <f t="shared" si="50"/>
        <v>67875.356217847453</v>
      </c>
    </row>
    <row r="123" spans="5:69" x14ac:dyDescent="0.2">
      <c r="AJ123" s="199"/>
      <c r="AK123" s="199"/>
      <c r="AT123" s="199"/>
      <c r="AU123" s="450" t="s">
        <v>395</v>
      </c>
      <c r="AV123" s="450"/>
      <c r="AW123" s="450"/>
      <c r="AX123" s="450"/>
      <c r="AY123" s="450"/>
      <c r="AZ123" s="450"/>
      <c r="BA123" s="450"/>
      <c r="BB123" s="450"/>
      <c r="BC123" s="450"/>
      <c r="BD123" s="450"/>
      <c r="BE123" s="450"/>
      <c r="BF123" s="450"/>
      <c r="BG123" s="450"/>
      <c r="BH123" s="450"/>
      <c r="BI123" s="450"/>
      <c r="BJ123" s="25" t="s">
        <v>436</v>
      </c>
      <c r="BO123" s="450" t="s">
        <v>397</v>
      </c>
      <c r="BP123" s="450"/>
      <c r="BQ123" s="25" t="s">
        <v>448</v>
      </c>
    </row>
    <row r="124" spans="5:69" x14ac:dyDescent="0.2">
      <c r="AJ124" s="199"/>
      <c r="AK124" s="199"/>
      <c r="AT124" s="199"/>
      <c r="AU124" s="238">
        <f>SUM(AU87:AU122)</f>
        <v>202456.09318826307</v>
      </c>
      <c r="AV124" s="238">
        <f>SUM(AV87:AV122)</f>
        <v>25579.496946587489</v>
      </c>
      <c r="AW124" s="238">
        <f>SUM(AW87:AW122)</f>
        <v>8954947.7300760113</v>
      </c>
      <c r="AX124" s="238">
        <f t="shared" ref="AX124:BI124" si="51">SUM(AX87:AX122)</f>
        <v>717977.11143222859</v>
      </c>
      <c r="AY124" s="238">
        <f t="shared" si="51"/>
        <v>28121.937524887093</v>
      </c>
      <c r="AZ124" s="238">
        <f t="shared" si="51"/>
        <v>8856086.4491080083</v>
      </c>
      <c r="BA124" s="238">
        <f t="shared" si="51"/>
        <v>120810.95849921908</v>
      </c>
      <c r="BB124" s="238">
        <f t="shared" si="51"/>
        <v>25331.72997230629</v>
      </c>
      <c r="BC124" s="238">
        <f t="shared" si="51"/>
        <v>8855854.6784211304</v>
      </c>
      <c r="BD124" s="238">
        <f t="shared" si="51"/>
        <v>1979045.0406719043</v>
      </c>
      <c r="BE124" s="238">
        <f t="shared" si="51"/>
        <v>19454075.052631274</v>
      </c>
      <c r="BF124" s="238">
        <f t="shared" si="51"/>
        <v>4059369.9954689462</v>
      </c>
      <c r="BG124" s="238">
        <f t="shared" si="51"/>
        <v>4043367.3234254471</v>
      </c>
      <c r="BH124" s="238">
        <f t="shared" si="51"/>
        <v>6738376.4034630982</v>
      </c>
      <c r="BI124" s="238">
        <f t="shared" si="51"/>
        <v>12202453.882342203</v>
      </c>
      <c r="BO124" s="25"/>
      <c r="BP124" s="25"/>
    </row>
    <row r="125" spans="5:69" ht="13" customHeight="1" x14ac:dyDescent="0.2">
      <c r="F125" s="451"/>
      <c r="G125" s="451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1"/>
      <c r="AI125" s="221"/>
      <c r="AJ125" s="199"/>
      <c r="AK125" s="199"/>
      <c r="AL125" s="221"/>
      <c r="AM125" s="221"/>
      <c r="AN125" s="221"/>
      <c r="AO125" s="221"/>
      <c r="AP125" s="221"/>
      <c r="AQ125" s="221"/>
      <c r="AR125" s="221"/>
      <c r="AU125" s="450" t="s">
        <v>435</v>
      </c>
      <c r="AV125" s="450"/>
      <c r="AW125" s="450"/>
      <c r="AX125" s="450"/>
      <c r="AY125" s="450"/>
      <c r="AZ125" s="450"/>
      <c r="BA125" s="450"/>
      <c r="BB125" s="450"/>
      <c r="BC125" s="450"/>
      <c r="BD125" s="450"/>
      <c r="BE125" s="450"/>
      <c r="BF125" s="450"/>
      <c r="BG125" s="450"/>
      <c r="BH125" s="450"/>
      <c r="BI125" s="450"/>
      <c r="BO125" s="25"/>
      <c r="BP125" s="25"/>
    </row>
    <row r="126" spans="5:69" ht="236" x14ac:dyDescent="0.2">
      <c r="E126" s="226"/>
      <c r="F126" s="200" t="s">
        <v>400</v>
      </c>
      <c r="G126" s="200" t="s">
        <v>402</v>
      </c>
      <c r="H126" s="200" t="s">
        <v>403</v>
      </c>
      <c r="I126" s="200" t="s">
        <v>422</v>
      </c>
      <c r="J126" s="200" t="s">
        <v>444</v>
      </c>
      <c r="K126" s="200" t="s">
        <v>533</v>
      </c>
      <c r="L126" s="200" t="s">
        <v>534</v>
      </c>
      <c r="M126" s="200" t="s">
        <v>478</v>
      </c>
      <c r="N126" s="200" t="s">
        <v>526</v>
      </c>
      <c r="O126" s="201" t="s">
        <v>509</v>
      </c>
      <c r="P126" s="200" t="s">
        <v>476</v>
      </c>
      <c r="Q126" s="201" t="s">
        <v>479</v>
      </c>
      <c r="R126" s="200" t="s">
        <v>504</v>
      </c>
      <c r="S126" s="202" t="s">
        <v>497</v>
      </c>
      <c r="T126" s="200" t="s">
        <v>483</v>
      </c>
      <c r="U126" s="201" t="s">
        <v>508</v>
      </c>
      <c r="V126" s="201" t="s">
        <v>503</v>
      </c>
      <c r="W126" s="201" t="s">
        <v>500</v>
      </c>
      <c r="X126" s="201" t="s">
        <v>506</v>
      </c>
      <c r="Y126" s="202" t="s">
        <v>505</v>
      </c>
      <c r="Z126" s="202" t="s">
        <v>491</v>
      </c>
      <c r="AA126" s="202" t="s">
        <v>523</v>
      </c>
      <c r="AB126" s="202" t="s">
        <v>492</v>
      </c>
      <c r="AC126" s="202" t="s">
        <v>494</v>
      </c>
      <c r="AD126" s="202" t="s">
        <v>493</v>
      </c>
      <c r="AE126" s="202" t="s">
        <v>551</v>
      </c>
      <c r="AF126" s="220" t="s">
        <v>489</v>
      </c>
      <c r="AG126" s="220" t="s">
        <v>619</v>
      </c>
      <c r="AH126" s="202" t="s">
        <v>488</v>
      </c>
      <c r="AI126" s="200" t="s">
        <v>490</v>
      </c>
      <c r="AJ126" s="202" t="s">
        <v>582</v>
      </c>
      <c r="AK126" s="202" t="s">
        <v>584</v>
      </c>
      <c r="AL126" s="202" t="s">
        <v>512</v>
      </c>
      <c r="AM126" s="202" t="s">
        <v>513</v>
      </c>
      <c r="AN126" s="202" t="s">
        <v>514</v>
      </c>
      <c r="AO126" s="202" t="s">
        <v>524</v>
      </c>
    </row>
    <row r="127" spans="5:69" x14ac:dyDescent="0.2">
      <c r="E127" s="197" t="s">
        <v>392</v>
      </c>
      <c r="F127" s="219"/>
      <c r="G127" s="219"/>
      <c r="H127" s="219"/>
      <c r="I127" s="219"/>
      <c r="J127" s="219"/>
      <c r="K127" s="219"/>
      <c r="L127" s="219"/>
      <c r="M127" s="219"/>
      <c r="N127" s="219"/>
      <c r="O127" s="219">
        <f>Ore_to_PI!AO42</f>
        <v>108184.8596728804</v>
      </c>
      <c r="P127" s="219">
        <f>Ore_to_PI!AO63</f>
        <v>2244.7960862667505</v>
      </c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19"/>
      <c r="AN127" s="219"/>
      <c r="AO127" s="219"/>
      <c r="AP127" s="238">
        <f>SUM(F127:AO127)</f>
        <v>110429.65575914715</v>
      </c>
    </row>
    <row r="128" spans="5:69" x14ac:dyDescent="0.2">
      <c r="E128" s="197" t="s">
        <v>393</v>
      </c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>
        <f>Ore_to_PI!AP126</f>
        <v>25297.051877142174</v>
      </c>
      <c r="R128" s="219">
        <f>Ore_to_PI!AP142</f>
        <v>6.7177820097776806</v>
      </c>
      <c r="S128" s="219"/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19"/>
      <c r="AN128" s="219"/>
      <c r="AO128" s="219"/>
      <c r="AP128" s="238">
        <f>SUM(F128:AO128)</f>
        <v>25303.769659151953</v>
      </c>
    </row>
    <row r="129" spans="5:68" x14ac:dyDescent="0.2">
      <c r="E129" s="197" t="s">
        <v>394</v>
      </c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>
        <f>Ore_to_PI!AP206</f>
        <v>8855804.320336977</v>
      </c>
      <c r="T129" s="219">
        <f>Ore_to_PI!AP227</f>
        <v>555.77441893806406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19"/>
      <c r="AN129" s="219"/>
      <c r="AO129" s="219"/>
      <c r="AP129" s="23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197" t="s">
        <v>522</v>
      </c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Ore_to_PI!BH42</f>
        <v>108184.8596728804</v>
      </c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19"/>
      <c r="AN130" s="219"/>
      <c r="AO130" s="219"/>
      <c r="AP130" s="23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197" t="s">
        <v>502</v>
      </c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>
        <f>Ore_to_PI!BI126</f>
        <v>25297.051877142174</v>
      </c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3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197" t="s">
        <v>501</v>
      </c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>
        <f>Ore_to_PI!BI206</f>
        <v>8855804.320336977</v>
      </c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3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197" t="s">
        <v>418</v>
      </c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>
        <f>Ore_to_PI!CA42</f>
        <v>88071.706245154463</v>
      </c>
      <c r="Y133" s="219">
        <f>Ore_to_PI!CA55</f>
        <v>21722.892325740406</v>
      </c>
      <c r="Z133" s="219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19"/>
      <c r="AN133" s="219"/>
      <c r="AO133" s="219"/>
      <c r="AP133" s="23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197" t="s">
        <v>415</v>
      </c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>
        <f>Ore_to_PI!CB126</f>
        <v>25297.051877142174</v>
      </c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19"/>
      <c r="AL134" s="219"/>
      <c r="AM134" s="219"/>
      <c r="AN134" s="219"/>
      <c r="AO134" s="219"/>
      <c r="AP134" s="23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197" t="s">
        <v>429</v>
      </c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>
        <f>Ore_to_PI!CB206</f>
        <v>8855804.320336977</v>
      </c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19"/>
      <c r="AL135" s="219"/>
      <c r="AM135" s="219"/>
      <c r="AN135" s="219"/>
      <c r="AO135" s="219"/>
      <c r="AP135" s="23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197" t="s">
        <v>416</v>
      </c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>
        <f>Ore_to_PI!CW126</f>
        <v>242016.07607977447</v>
      </c>
      <c r="AC136" s="219">
        <f>Ore_to_PI!CW114</f>
        <v>7739.2511800711582</v>
      </c>
      <c r="AD136" s="219">
        <f>Ore_to_PI!CW138</f>
        <v>87222.135331413883</v>
      </c>
      <c r="AE136" s="219"/>
      <c r="AF136" s="219"/>
      <c r="AG136" s="219"/>
      <c r="AH136" s="219"/>
      <c r="AI136" s="219"/>
      <c r="AJ136" s="219"/>
      <c r="AK136" s="219"/>
      <c r="AL136" s="219"/>
      <c r="AM136" s="219"/>
      <c r="AN136" s="219"/>
      <c r="AO136" s="219"/>
      <c r="AP136" s="23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197" t="s">
        <v>411</v>
      </c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>
        <f>Ore_to_PI!CW206</f>
        <v>6408288.6211381694</v>
      </c>
      <c r="AF137" s="219">
        <f>Ore_to_PI!CW234</f>
        <v>4026178.1360752485</v>
      </c>
      <c r="AG137" s="219">
        <f>Ore_to_PI!CW267</f>
        <v>955411.7785075705</v>
      </c>
      <c r="AH137" s="219">
        <f>Ore_to_PI!CW218</f>
        <v>8991.620323109395</v>
      </c>
      <c r="AI137" s="219">
        <f>Ore_to_PI!CW251</f>
        <v>303788.26554911444</v>
      </c>
      <c r="AJ137" s="219"/>
      <c r="AK137" s="219"/>
      <c r="AL137" s="219"/>
      <c r="AM137" s="219"/>
      <c r="AN137" s="219"/>
      <c r="AO137" s="219"/>
      <c r="AP137" s="23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197" t="s">
        <v>581</v>
      </c>
      <c r="F138" s="21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Ore_to_PI!DQ233</f>
        <v>4043367.3234254471</v>
      </c>
      <c r="AK138" s="219"/>
      <c r="AL138" s="219"/>
      <c r="AM138" s="219"/>
      <c r="AN138" s="219"/>
      <c r="AO138" s="219"/>
      <c r="AP138" s="238">
        <f t="shared" si="52"/>
        <v>4043367.3234254471</v>
      </c>
    </row>
    <row r="139" spans="5:68" x14ac:dyDescent="0.2">
      <c r="E139" s="197" t="s">
        <v>583</v>
      </c>
      <c r="F139" s="219"/>
      <c r="G139" s="219"/>
      <c r="H139" s="219"/>
      <c r="I139" s="219"/>
      <c r="J139" s="219"/>
      <c r="K139" s="219"/>
      <c r="L139" s="219"/>
      <c r="M139" s="219"/>
      <c r="N139" s="219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9">
        <f>Ore_to_PI!$EL$233</f>
        <v>4043367.3234254471</v>
      </c>
      <c r="AL139" s="219"/>
      <c r="AM139" s="219"/>
      <c r="AN139" s="219"/>
      <c r="AO139" s="219"/>
      <c r="AP139" s="238">
        <f t="shared" si="52"/>
        <v>4043367.3234254471</v>
      </c>
    </row>
    <row r="140" spans="5:68" x14ac:dyDescent="0.2">
      <c r="E140" s="197" t="s">
        <v>80</v>
      </c>
      <c r="F140" s="219"/>
      <c r="G140" s="219"/>
      <c r="H140" s="219"/>
      <c r="I140" s="219"/>
      <c r="J140" s="219"/>
      <c r="K140" s="219"/>
      <c r="L140" s="219"/>
      <c r="M140" s="219"/>
      <c r="N140" s="219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29"/>
      <c r="AJ140" s="219"/>
      <c r="AK140" s="219"/>
      <c r="AL140" s="229">
        <f>Ore_to_PI!EM126</f>
        <v>6682782.3361421349</v>
      </c>
      <c r="AM140" s="219"/>
      <c r="AN140" s="219"/>
      <c r="AO140" s="219"/>
      <c r="AP140" s="238">
        <f t="shared" si="52"/>
        <v>6682782.3361421349</v>
      </c>
    </row>
    <row r="141" spans="5:68" x14ac:dyDescent="0.2">
      <c r="E141" s="197" t="s">
        <v>404</v>
      </c>
      <c r="F141" s="219"/>
      <c r="G141" s="219"/>
      <c r="H141" s="219"/>
      <c r="I141" s="229"/>
      <c r="J141" s="219"/>
      <c r="K141" s="219"/>
      <c r="L141" s="219"/>
      <c r="M141" s="219"/>
      <c r="N141" s="219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19"/>
      <c r="Z141" s="219"/>
      <c r="AA141" s="219"/>
      <c r="AB141" s="219"/>
      <c r="AC141" s="219"/>
      <c r="AD141" s="233"/>
      <c r="AE141" s="219"/>
      <c r="AF141" s="219"/>
      <c r="AG141" s="219"/>
      <c r="AH141" s="219"/>
      <c r="AI141" s="219"/>
      <c r="AJ141" s="219"/>
      <c r="AK141" s="219"/>
      <c r="AL141" s="219"/>
      <c r="AM141" s="219">
        <f>Ore_to_PI!FM126</f>
        <v>4157895.2984628798</v>
      </c>
      <c r="AN141" s="219">
        <f>Ore_to_PI!FM141</f>
        <v>404209.15818875749</v>
      </c>
      <c r="AO141" s="219">
        <f>Ore_to_PI!FM104</f>
        <v>67875.356217847453</v>
      </c>
      <c r="AP141" s="238">
        <f t="shared" si="52"/>
        <v>4629979.8128694845</v>
      </c>
    </row>
    <row r="142" spans="5:68" x14ac:dyDescent="0.2">
      <c r="E142" s="197"/>
      <c r="F142" s="450" t="s">
        <v>396</v>
      </c>
      <c r="G142" s="450"/>
      <c r="H142" s="450"/>
      <c r="I142" s="450"/>
      <c r="J142" s="450"/>
      <c r="K142" s="450"/>
      <c r="L142" s="450"/>
      <c r="M142" s="450"/>
      <c r="N142" s="450"/>
      <c r="O142" s="450"/>
      <c r="P142" s="450"/>
      <c r="Q142" s="450"/>
      <c r="R142" s="450"/>
      <c r="S142" s="450"/>
      <c r="T142" s="450"/>
      <c r="U142" s="450"/>
      <c r="V142" s="450"/>
      <c r="W142" s="450"/>
      <c r="X142" s="450"/>
      <c r="Y142" s="450"/>
      <c r="Z142" s="450"/>
      <c r="AA142" s="450"/>
      <c r="AB142" s="450"/>
      <c r="AC142" s="450"/>
      <c r="AD142" s="450"/>
      <c r="AE142" s="450"/>
      <c r="AF142" s="450"/>
      <c r="AG142" s="450"/>
      <c r="AH142" s="450"/>
      <c r="AI142" s="450"/>
      <c r="AJ142" s="450"/>
      <c r="AK142" s="450"/>
      <c r="AL142" s="450"/>
      <c r="AM142" s="450"/>
      <c r="AN142" s="450"/>
      <c r="AO142" s="450"/>
      <c r="AP142" s="25" t="s">
        <v>432</v>
      </c>
      <c r="AQ142" s="25"/>
    </row>
    <row r="143" spans="5:68" x14ac:dyDescent="0.2">
      <c r="E143" s="197"/>
      <c r="F143" s="238">
        <f t="shared" ref="F143:AO143" si="53">SUM(F127:F141)</f>
        <v>0</v>
      </c>
      <c r="G143" s="238">
        <f t="shared" si="53"/>
        <v>0</v>
      </c>
      <c r="H143" s="238">
        <f t="shared" si="53"/>
        <v>0</v>
      </c>
      <c r="I143" s="238">
        <f t="shared" si="53"/>
        <v>0</v>
      </c>
      <c r="J143" s="238">
        <f t="shared" si="53"/>
        <v>0</v>
      </c>
      <c r="K143" s="238">
        <f t="shared" si="53"/>
        <v>0</v>
      </c>
      <c r="L143" s="238">
        <f t="shared" si="53"/>
        <v>0</v>
      </c>
      <c r="M143" s="238">
        <f t="shared" si="53"/>
        <v>0</v>
      </c>
      <c r="N143" s="238">
        <f t="shared" si="53"/>
        <v>0</v>
      </c>
      <c r="O143" s="238">
        <f t="shared" si="53"/>
        <v>108184.8596728804</v>
      </c>
      <c r="P143" s="238">
        <f t="shared" si="53"/>
        <v>2244.7960862667505</v>
      </c>
      <c r="Q143" s="238">
        <f t="shared" si="53"/>
        <v>25297.051877142174</v>
      </c>
      <c r="R143" s="238">
        <f t="shared" si="53"/>
        <v>6.7177820097776806</v>
      </c>
      <c r="S143" s="238">
        <f t="shared" si="53"/>
        <v>8855804.320336977</v>
      </c>
      <c r="T143" s="238">
        <f t="shared" si="53"/>
        <v>555.77441893806406</v>
      </c>
      <c r="U143" s="238">
        <f t="shared" si="53"/>
        <v>108184.8596728804</v>
      </c>
      <c r="V143" s="238">
        <f t="shared" si="53"/>
        <v>25297.051877142174</v>
      </c>
      <c r="W143" s="238">
        <f t="shared" si="53"/>
        <v>8855804.320336977</v>
      </c>
      <c r="X143" s="238">
        <f t="shared" si="53"/>
        <v>88071.706245154463</v>
      </c>
      <c r="Y143" s="238">
        <f t="shared" si="53"/>
        <v>21722.892325740406</v>
      </c>
      <c r="Z143" s="238">
        <f t="shared" si="53"/>
        <v>25297.051877142174</v>
      </c>
      <c r="AA143" s="238">
        <f t="shared" si="53"/>
        <v>8855804.320336977</v>
      </c>
      <c r="AB143" s="238">
        <f t="shared" si="53"/>
        <v>242016.07607977447</v>
      </c>
      <c r="AC143" s="238">
        <f t="shared" si="53"/>
        <v>7739.2511800711582</v>
      </c>
      <c r="AD143" s="238">
        <f t="shared" si="53"/>
        <v>87222.135331413883</v>
      </c>
      <c r="AE143" s="238">
        <f t="shared" si="53"/>
        <v>6408288.6211381694</v>
      </c>
      <c r="AF143" s="238">
        <f t="shared" si="53"/>
        <v>4026178.1360752485</v>
      </c>
      <c r="AG143" s="238">
        <f t="shared" si="53"/>
        <v>955411.7785075705</v>
      </c>
      <c r="AH143" s="238">
        <f t="shared" si="53"/>
        <v>8991.620323109395</v>
      </c>
      <c r="AI143" s="238">
        <f t="shared" si="53"/>
        <v>303788.26554911444</v>
      </c>
      <c r="AJ143" s="238">
        <f t="shared" si="53"/>
        <v>4043367.3234254471</v>
      </c>
      <c r="AK143" s="238">
        <f t="shared" si="53"/>
        <v>4043367.3234254471</v>
      </c>
      <c r="AL143" s="238">
        <f t="shared" si="53"/>
        <v>6682782.3361421349</v>
      </c>
      <c r="AM143" s="238">
        <f t="shared" si="53"/>
        <v>4157895.2984628798</v>
      </c>
      <c r="AN143" s="238">
        <f t="shared" si="53"/>
        <v>404209.15818875749</v>
      </c>
      <c r="AO143" s="238">
        <f t="shared" si="53"/>
        <v>67875.356217847453</v>
      </c>
    </row>
    <row r="144" spans="5:68" x14ac:dyDescent="0.2">
      <c r="E144" s="197"/>
      <c r="F144" s="450" t="s">
        <v>433</v>
      </c>
      <c r="G144" s="450"/>
      <c r="H144" s="450"/>
      <c r="I144" s="450"/>
      <c r="J144" s="450"/>
      <c r="K144" s="450"/>
      <c r="L144" s="450"/>
      <c r="M144" s="450"/>
      <c r="N144" s="450"/>
      <c r="O144" s="450"/>
      <c r="P144" s="450"/>
      <c r="Q144" s="450"/>
      <c r="R144" s="450"/>
      <c r="S144" s="450"/>
      <c r="T144" s="450"/>
      <c r="U144" s="450"/>
      <c r="V144" s="450"/>
      <c r="W144" s="450"/>
      <c r="X144" s="450"/>
      <c r="Y144" s="450"/>
      <c r="Z144" s="450"/>
      <c r="AA144" s="450"/>
      <c r="AB144" s="450"/>
      <c r="AC144" s="450"/>
      <c r="AD144" s="450"/>
      <c r="AE144" s="450"/>
      <c r="AF144" s="450"/>
      <c r="AG144" s="450"/>
      <c r="AH144" s="450"/>
      <c r="AI144" s="450"/>
      <c r="AJ144" s="450"/>
      <c r="AK144" s="450"/>
      <c r="AL144" s="450"/>
      <c r="AM144" s="450"/>
      <c r="AN144" s="450"/>
      <c r="AO144" s="450"/>
    </row>
    <row r="145" spans="5:43" x14ac:dyDescent="0.2">
      <c r="E145" s="197"/>
    </row>
    <row r="146" spans="5:43" x14ac:dyDescent="0.2">
      <c r="E146" s="197"/>
    </row>
    <row r="147" spans="5:43" x14ac:dyDescent="0.2">
      <c r="E147" s="197"/>
    </row>
    <row r="148" spans="5:43" x14ac:dyDescent="0.2">
      <c r="E148" s="197"/>
    </row>
    <row r="149" spans="5:43" x14ac:dyDescent="0.2">
      <c r="E149" s="197"/>
    </row>
    <row r="150" spans="5:43" x14ac:dyDescent="0.2">
      <c r="E150" s="197"/>
    </row>
    <row r="151" spans="5:43" x14ac:dyDescent="0.2">
      <c r="E151" s="197"/>
    </row>
    <row r="152" spans="5:43" x14ac:dyDescent="0.2">
      <c r="E152" s="197"/>
    </row>
    <row r="153" spans="5:43" x14ac:dyDescent="0.2">
      <c r="E153" s="197"/>
    </row>
    <row r="154" spans="5:43" x14ac:dyDescent="0.2">
      <c r="E154" s="197"/>
    </row>
    <row r="155" spans="5:43" ht="236" x14ac:dyDescent="0.2">
      <c r="E155" s="197"/>
      <c r="F155" s="200" t="s">
        <v>400</v>
      </c>
      <c r="G155" s="200" t="s">
        <v>402</v>
      </c>
      <c r="H155" s="200" t="s">
        <v>403</v>
      </c>
      <c r="I155" s="200" t="s">
        <v>422</v>
      </c>
      <c r="J155" s="200" t="s">
        <v>444</v>
      </c>
      <c r="K155" s="200" t="s">
        <v>533</v>
      </c>
      <c r="L155" s="200" t="s">
        <v>534</v>
      </c>
      <c r="M155" s="200" t="s">
        <v>478</v>
      </c>
      <c r="N155" s="200" t="s">
        <v>526</v>
      </c>
      <c r="O155" s="201" t="s">
        <v>509</v>
      </c>
      <c r="P155" s="200" t="s">
        <v>476</v>
      </c>
      <c r="Q155" s="201" t="s">
        <v>479</v>
      </c>
      <c r="R155" s="200" t="s">
        <v>504</v>
      </c>
      <c r="S155" s="202" t="s">
        <v>497</v>
      </c>
      <c r="T155" s="200" t="s">
        <v>483</v>
      </c>
      <c r="U155" s="201" t="s">
        <v>508</v>
      </c>
      <c r="V155" s="201" t="s">
        <v>503</v>
      </c>
      <c r="W155" s="201" t="s">
        <v>500</v>
      </c>
      <c r="X155" s="201" t="s">
        <v>506</v>
      </c>
      <c r="Y155" s="202" t="s">
        <v>505</v>
      </c>
      <c r="Z155" s="202" t="s">
        <v>491</v>
      </c>
      <c r="AA155" s="202" t="s">
        <v>523</v>
      </c>
      <c r="AB155" s="202" t="s">
        <v>492</v>
      </c>
      <c r="AC155" s="202" t="s">
        <v>494</v>
      </c>
      <c r="AD155" s="202" t="s">
        <v>493</v>
      </c>
      <c r="AE155" s="202" t="s">
        <v>551</v>
      </c>
      <c r="AF155" s="220" t="s">
        <v>489</v>
      </c>
      <c r="AG155" s="220" t="s">
        <v>619</v>
      </c>
      <c r="AH155" s="202" t="s">
        <v>488</v>
      </c>
      <c r="AI155" s="200" t="s">
        <v>490</v>
      </c>
      <c r="AJ155" s="202" t="s">
        <v>582</v>
      </c>
      <c r="AK155" s="202" t="s">
        <v>584</v>
      </c>
      <c r="AL155" s="202" t="s">
        <v>512</v>
      </c>
      <c r="AM155" s="202" t="s">
        <v>513</v>
      </c>
      <c r="AN155" s="202" t="s">
        <v>514</v>
      </c>
      <c r="AO155" s="202" t="s">
        <v>524</v>
      </c>
      <c r="AP155" s="202"/>
      <c r="AQ155" s="202"/>
    </row>
    <row r="156" spans="5:43" x14ac:dyDescent="0.2">
      <c r="E156" s="197" t="s">
        <v>399</v>
      </c>
      <c r="F156" s="230">
        <f>Ore_to_PI!V42</f>
        <v>108184.8596728804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  <c r="AM156" s="230"/>
      <c r="AN156" s="230"/>
      <c r="AO156" s="230"/>
    </row>
    <row r="157" spans="5:43" ht="16" x14ac:dyDescent="0.2">
      <c r="E157" s="198" t="s">
        <v>401</v>
      </c>
      <c r="F157" s="230"/>
      <c r="G157" s="230">
        <f>Ore_to_PI!V126</f>
        <v>25297.051877142174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M157" s="230"/>
      <c r="AN157" s="230"/>
      <c r="AO157" s="230"/>
    </row>
    <row r="158" spans="5:43" x14ac:dyDescent="0.2">
      <c r="E158" s="199" t="s">
        <v>423</v>
      </c>
      <c r="F158" s="230"/>
      <c r="G158" s="230"/>
      <c r="H158" s="230">
        <f>Ore_to_PI!V206</f>
        <v>8850991.3601140417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  <c r="AM158" s="230"/>
      <c r="AN158" s="230"/>
      <c r="AO158" s="230"/>
    </row>
    <row r="159" spans="5:43" x14ac:dyDescent="0.2">
      <c r="E159" s="197" t="s">
        <v>447</v>
      </c>
      <c r="F159" s="230"/>
      <c r="G159" s="230"/>
      <c r="H159" s="230"/>
      <c r="I159" s="236">
        <f>Ore_to_PI!V236+Ore_to_PI!V163+Ore_to_PI!V72+Ore_to_PI!CB232+Ore_to_PI!CB140+Ore_to_PI!EM140</f>
        <v>29146.460466184486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  <c r="AM159" s="230"/>
      <c r="AN159" s="230"/>
      <c r="AO159" s="230"/>
    </row>
    <row r="160" spans="5:43" x14ac:dyDescent="0.2">
      <c r="E160" s="197" t="s">
        <v>443</v>
      </c>
      <c r="F160" s="230"/>
      <c r="G160" s="230"/>
      <c r="H160" s="230"/>
      <c r="I160" s="230"/>
      <c r="J160" s="230">
        <f>Ore_to_PI!EM114+Ore_to_PI!CB152+Ore_to_PI!CB244</f>
        <v>14864300.668385513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M160" s="230"/>
      <c r="AN160" s="230"/>
      <c r="AO160" s="230"/>
    </row>
    <row r="161" spans="5:47" x14ac:dyDescent="0.2">
      <c r="E161" s="197" t="s">
        <v>536</v>
      </c>
      <c r="F161" s="230"/>
      <c r="G161" s="230"/>
      <c r="H161" s="230"/>
      <c r="I161" s="230"/>
      <c r="J161" s="230"/>
      <c r="K161" s="230">
        <f>Ore_to_PI!V59+Ore_to_PI!V140+Ore_to_PI!V222</f>
        <v>117713.24639155329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  <c r="AM161" s="230"/>
      <c r="AN161" s="230"/>
      <c r="AO161" s="230"/>
      <c r="AU161" s="220"/>
    </row>
    <row r="162" spans="5:47" x14ac:dyDescent="0.2">
      <c r="E162" s="197" t="s">
        <v>535</v>
      </c>
      <c r="F162" s="230"/>
      <c r="G162" s="230"/>
      <c r="H162" s="230"/>
      <c r="I162" s="230"/>
      <c r="J162" s="230"/>
      <c r="K162" s="230"/>
      <c r="L162" s="230">
        <f>Ore_to_PI!V151</f>
        <v>24.076233417548465</v>
      </c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230"/>
      <c r="Z162" s="230"/>
      <c r="AA162" s="230"/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230"/>
    </row>
    <row r="163" spans="5:47" x14ac:dyDescent="0.2">
      <c r="E163" s="197" t="s">
        <v>477</v>
      </c>
      <c r="F163" s="230"/>
      <c r="G163" s="230"/>
      <c r="H163" s="230"/>
      <c r="I163" s="230"/>
      <c r="J163" s="230"/>
      <c r="K163" s="230"/>
      <c r="L163" s="230"/>
      <c r="M163" s="230">
        <f>Ore_to_PI!EM101</f>
        <v>29112.263489807588</v>
      </c>
      <c r="N163" s="230"/>
      <c r="O163" s="230"/>
      <c r="P163" s="230"/>
      <c r="Q163" s="230"/>
      <c r="R163" s="230"/>
      <c r="S163" s="230"/>
      <c r="T163" s="230"/>
      <c r="U163" s="230"/>
      <c r="V163" s="230"/>
      <c r="W163" s="230"/>
      <c r="X163" s="230"/>
      <c r="Y163" s="230"/>
      <c r="Z163" s="230"/>
      <c r="AA163" s="230"/>
      <c r="AB163" s="230"/>
      <c r="AC163" s="230"/>
      <c r="AD163" s="230"/>
      <c r="AE163" s="230"/>
      <c r="AF163" s="230"/>
      <c r="AG163" s="230"/>
      <c r="AH163" s="230"/>
      <c r="AI163" s="230"/>
      <c r="AJ163" s="230"/>
      <c r="AK163" s="230"/>
      <c r="AL163" s="230"/>
      <c r="AM163" s="230"/>
      <c r="AN163" s="230"/>
      <c r="AO163" s="230"/>
    </row>
    <row r="164" spans="5:47" x14ac:dyDescent="0.2">
      <c r="E164" s="197" t="s">
        <v>525</v>
      </c>
      <c r="F164" s="230"/>
      <c r="G164" s="230"/>
      <c r="H164" s="230"/>
      <c r="I164" s="230"/>
      <c r="J164" s="230"/>
      <c r="K164" s="230"/>
      <c r="L164" s="230"/>
      <c r="M164" s="230"/>
      <c r="N164" s="230">
        <f>Ore_to_PI!EU117+Ore_to_PI!BM116+Ore_to_PI!AU113+Ore_to_PI!AC195+Ore_to_PI!AU190+Ore_to_PI!BM195+Ore_to_PI!DD229+Ore_to_PI!BN35+Ore_to_PI!AU28</f>
        <v>1058348.7350491155</v>
      </c>
      <c r="O164" s="230"/>
      <c r="P164" s="230"/>
      <c r="Q164" s="230"/>
      <c r="R164" s="230"/>
      <c r="S164" s="230"/>
      <c r="T164" s="230"/>
      <c r="U164" s="230"/>
      <c r="V164" s="230"/>
      <c r="W164" s="230"/>
      <c r="X164" s="230"/>
      <c r="Y164" s="230"/>
      <c r="Z164" s="230"/>
      <c r="AA164" s="230"/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230"/>
    </row>
    <row r="165" spans="5:47" x14ac:dyDescent="0.2">
      <c r="F165" s="450" t="s">
        <v>56</v>
      </c>
      <c r="G165" s="450"/>
      <c r="H165" s="450"/>
      <c r="I165" s="450"/>
      <c r="J165" s="450"/>
      <c r="K165" s="450"/>
      <c r="L165" s="450"/>
      <c r="M165" s="450"/>
      <c r="N165" s="450"/>
      <c r="O165" s="450"/>
      <c r="P165" s="450"/>
      <c r="Q165" s="450"/>
      <c r="R165" s="450"/>
      <c r="S165" s="450"/>
      <c r="T165" s="450"/>
      <c r="U165" s="450"/>
      <c r="V165" s="450"/>
      <c r="W165" s="450"/>
      <c r="X165" s="450"/>
      <c r="Y165" s="450"/>
      <c r="Z165" s="450"/>
      <c r="AA165" s="450"/>
      <c r="AB165" s="450"/>
      <c r="AC165" s="450"/>
      <c r="AD165" s="450"/>
      <c r="AE165" s="450"/>
      <c r="AF165" s="450"/>
      <c r="AG165" s="450"/>
      <c r="AH165" s="450"/>
      <c r="AI165" s="450"/>
      <c r="AJ165" s="450"/>
      <c r="AK165" s="450"/>
      <c r="AL165" s="450"/>
      <c r="AM165" s="450"/>
      <c r="AN165" s="450"/>
      <c r="AO165" s="450"/>
      <c r="AP165" s="25"/>
      <c r="AQ165" s="25"/>
    </row>
    <row r="166" spans="5:47" x14ac:dyDescent="0.2">
      <c r="F166" s="238">
        <f t="shared" ref="F166:AO166" si="54">SUM(F156:F164)</f>
        <v>108184.8596728804</v>
      </c>
      <c r="G166" s="238">
        <f t="shared" si="54"/>
        <v>25297.051877142174</v>
      </c>
      <c r="H166" s="238">
        <f t="shared" si="54"/>
        <v>8850991.3601140417</v>
      </c>
      <c r="I166" s="238">
        <f t="shared" si="54"/>
        <v>29146.460466184486</v>
      </c>
      <c r="J166" s="238">
        <f t="shared" si="54"/>
        <v>14864300.668385513</v>
      </c>
      <c r="K166" s="238">
        <f t="shared" si="54"/>
        <v>117713.24639155329</v>
      </c>
      <c r="L166" s="238">
        <f t="shared" si="54"/>
        <v>24.076233417548465</v>
      </c>
      <c r="M166" s="238">
        <f t="shared" si="54"/>
        <v>29112.263489807588</v>
      </c>
      <c r="N166" s="238">
        <f t="shared" si="54"/>
        <v>1058348.7350491155</v>
      </c>
      <c r="O166" s="238">
        <f t="shared" si="54"/>
        <v>0</v>
      </c>
      <c r="P166" s="238">
        <f t="shared" si="54"/>
        <v>0</v>
      </c>
      <c r="Q166" s="238">
        <f t="shared" si="54"/>
        <v>0</v>
      </c>
      <c r="R166" s="238">
        <f t="shared" si="54"/>
        <v>0</v>
      </c>
      <c r="S166" s="238">
        <f t="shared" si="54"/>
        <v>0</v>
      </c>
      <c r="T166" s="238">
        <f t="shared" si="54"/>
        <v>0</v>
      </c>
      <c r="U166" s="238">
        <f t="shared" si="54"/>
        <v>0</v>
      </c>
      <c r="V166" s="238">
        <f t="shared" si="54"/>
        <v>0</v>
      </c>
      <c r="W166" s="238">
        <f t="shared" si="54"/>
        <v>0</v>
      </c>
      <c r="X166" s="238">
        <f t="shared" si="54"/>
        <v>0</v>
      </c>
      <c r="Y166" s="238">
        <f t="shared" si="54"/>
        <v>0</v>
      </c>
      <c r="Z166" s="238">
        <f t="shared" si="54"/>
        <v>0</v>
      </c>
      <c r="AA166" s="238">
        <f t="shared" si="54"/>
        <v>0</v>
      </c>
      <c r="AB166" s="238">
        <f t="shared" si="54"/>
        <v>0</v>
      </c>
      <c r="AC166" s="238">
        <f t="shared" si="54"/>
        <v>0</v>
      </c>
      <c r="AD166" s="238">
        <f t="shared" si="54"/>
        <v>0</v>
      </c>
      <c r="AE166" s="238">
        <f t="shared" si="54"/>
        <v>0</v>
      </c>
      <c r="AF166" s="238">
        <f t="shared" si="54"/>
        <v>0</v>
      </c>
      <c r="AG166" s="238">
        <f t="shared" si="54"/>
        <v>0</v>
      </c>
      <c r="AH166" s="238">
        <f t="shared" si="54"/>
        <v>0</v>
      </c>
      <c r="AI166" s="238">
        <f t="shared" si="54"/>
        <v>0</v>
      </c>
      <c r="AJ166" s="238">
        <f t="shared" si="54"/>
        <v>0</v>
      </c>
      <c r="AK166" s="238">
        <f t="shared" si="54"/>
        <v>0</v>
      </c>
      <c r="AL166" s="238">
        <f t="shared" si="54"/>
        <v>0</v>
      </c>
      <c r="AM166" s="238">
        <f t="shared" si="54"/>
        <v>0</v>
      </c>
      <c r="AN166" s="238">
        <f t="shared" si="54"/>
        <v>0</v>
      </c>
      <c r="AO166" s="238">
        <f t="shared" si="54"/>
        <v>0</v>
      </c>
    </row>
    <row r="167" spans="5:47" x14ac:dyDescent="0.2">
      <c r="F167" s="450" t="s">
        <v>434</v>
      </c>
      <c r="G167" s="450"/>
      <c r="H167" s="450"/>
      <c r="I167" s="450"/>
      <c r="J167" s="450"/>
      <c r="K167" s="450"/>
      <c r="L167" s="450"/>
      <c r="M167" s="450"/>
      <c r="N167" s="450"/>
      <c r="O167" s="450"/>
      <c r="P167" s="450"/>
      <c r="Q167" s="450"/>
      <c r="R167" s="450"/>
      <c r="S167" s="450"/>
      <c r="T167" s="450"/>
      <c r="U167" s="450"/>
      <c r="V167" s="450"/>
      <c r="W167" s="450"/>
      <c r="X167" s="450"/>
      <c r="Y167" s="450"/>
      <c r="Z167" s="450"/>
      <c r="AA167" s="450"/>
      <c r="AB167" s="450"/>
      <c r="AC167" s="450"/>
      <c r="AD167" s="450"/>
      <c r="AE167" s="450"/>
      <c r="AF167" s="450"/>
      <c r="AG167" s="450"/>
      <c r="AH167" s="450"/>
      <c r="AI167" s="450"/>
      <c r="AJ167" s="450"/>
      <c r="AK167" s="450"/>
      <c r="AL167" s="450"/>
      <c r="AM167" s="450"/>
      <c r="AN167" s="450"/>
      <c r="AO167" s="450"/>
      <c r="AP167" s="25"/>
      <c r="AQ167" s="25"/>
    </row>
    <row r="171" spans="5:47" x14ac:dyDescent="0.2">
      <c r="F171" s="450" t="s">
        <v>528</v>
      </c>
      <c r="G171" s="450"/>
      <c r="H171" s="450"/>
      <c r="I171" s="450"/>
      <c r="J171" s="450"/>
      <c r="K171" s="450"/>
      <c r="L171" s="450"/>
      <c r="M171" s="450"/>
      <c r="N171" s="450"/>
      <c r="O171" s="231"/>
      <c r="P171" s="231"/>
      <c r="Q171" s="231"/>
      <c r="R171" s="231"/>
      <c r="S171" s="231"/>
      <c r="T171" s="231"/>
      <c r="U171" s="231"/>
      <c r="V171" s="231"/>
      <c r="W171" s="231"/>
      <c r="X171" s="25"/>
      <c r="Y171" s="25"/>
    </row>
    <row r="174" spans="5:47" x14ac:dyDescent="0.2">
      <c r="E174" s="197" t="s">
        <v>400</v>
      </c>
      <c r="F174" s="238" cm="1">
        <f t="array" ref="F174:F209">TRANSPOSE((F166:AO166))</f>
        <v>108184.8596728804</v>
      </c>
      <c r="H174" s="238" cm="1">
        <f t="array" ref="H174:H209">TRANSPOSE(F143:AO143)</f>
        <v>0</v>
      </c>
      <c r="J174" s="238">
        <f t="shared" ref="J174:J200" si="55">BJ87</f>
        <v>108184.8596728804</v>
      </c>
      <c r="L174" s="238" cm="1">
        <f t="array" ref="L174:L209">BQ87:BQ122</f>
        <v>0</v>
      </c>
      <c r="N174" s="281">
        <f>F174+H174-J174-L174</f>
        <v>0</v>
      </c>
    </row>
    <row r="175" spans="5:47" x14ac:dyDescent="0.2">
      <c r="E175" s="197" t="s">
        <v>402</v>
      </c>
      <c r="F175" s="238">
        <v>25297.051877142174</v>
      </c>
      <c r="H175" s="238">
        <v>0</v>
      </c>
      <c r="J175" s="238">
        <f t="shared" si="55"/>
        <v>25297.051877142174</v>
      </c>
      <c r="L175" s="238">
        <v>0</v>
      </c>
      <c r="N175" s="281">
        <f>F175+H175-J175-L175</f>
        <v>0</v>
      </c>
    </row>
    <row r="176" spans="5:47" x14ac:dyDescent="0.2">
      <c r="E176" s="197" t="s">
        <v>403</v>
      </c>
      <c r="F176" s="238">
        <v>8850991.3601140417</v>
      </c>
      <c r="H176" s="238">
        <v>0</v>
      </c>
      <c r="J176" s="238">
        <f t="shared" si="55"/>
        <v>8850991.3601140417</v>
      </c>
      <c r="L176" s="238">
        <v>0</v>
      </c>
      <c r="N176" s="281">
        <f>F176+H176-J176-L176</f>
        <v>0</v>
      </c>
    </row>
    <row r="177" spans="5:14" x14ac:dyDescent="0.2">
      <c r="E177" s="197" t="s">
        <v>422</v>
      </c>
      <c r="F177" s="238">
        <v>29146.460466184486</v>
      </c>
      <c r="H177" s="238">
        <v>0</v>
      </c>
      <c r="J177" s="238">
        <f t="shared" si="55"/>
        <v>29146.460466184486</v>
      </c>
      <c r="L177" s="238">
        <v>0</v>
      </c>
      <c r="N177" s="281">
        <f>ROUND(F177+H177-J177-L177, 10)</f>
        <v>0</v>
      </c>
    </row>
    <row r="178" spans="5:14" x14ac:dyDescent="0.2">
      <c r="E178" s="197" t="s">
        <v>444</v>
      </c>
      <c r="F178" s="238">
        <v>14864300.668385513</v>
      </c>
      <c r="H178" s="238">
        <v>0</v>
      </c>
      <c r="J178" s="238">
        <f t="shared" si="55"/>
        <v>14864300.668385513</v>
      </c>
      <c r="L178" s="238">
        <v>0</v>
      </c>
      <c r="N178" s="281">
        <f t="shared" ref="N178:N193" si="56">F178+H178-J178-L178</f>
        <v>0</v>
      </c>
    </row>
    <row r="179" spans="5:14" x14ac:dyDescent="0.2">
      <c r="E179" s="197" t="s">
        <v>533</v>
      </c>
      <c r="F179" s="238">
        <v>117713.24639155329</v>
      </c>
      <c r="H179" s="238">
        <v>0</v>
      </c>
      <c r="J179" s="238">
        <f t="shared" si="55"/>
        <v>117713.24639155329</v>
      </c>
      <c r="L179" s="238">
        <v>0</v>
      </c>
      <c r="N179" s="281">
        <f t="shared" si="56"/>
        <v>0</v>
      </c>
    </row>
    <row r="180" spans="5:14" x14ac:dyDescent="0.2">
      <c r="E180" s="197" t="s">
        <v>534</v>
      </c>
      <c r="F180" s="238">
        <v>24.076233417548465</v>
      </c>
      <c r="H180" s="238">
        <v>0</v>
      </c>
      <c r="J180" s="238">
        <f t="shared" si="55"/>
        <v>24.076233417548465</v>
      </c>
      <c r="L180" s="238">
        <v>0</v>
      </c>
      <c r="N180" s="281">
        <f t="shared" si="56"/>
        <v>0</v>
      </c>
    </row>
    <row r="181" spans="5:14" x14ac:dyDescent="0.2">
      <c r="E181" s="197" t="s">
        <v>478</v>
      </c>
      <c r="F181" s="238">
        <v>29112.263489807588</v>
      </c>
      <c r="H181" s="238">
        <v>0</v>
      </c>
      <c r="J181" s="238">
        <f t="shared" si="55"/>
        <v>29112.263489807588</v>
      </c>
      <c r="L181" s="238">
        <v>0</v>
      </c>
      <c r="N181" s="281">
        <f t="shared" si="56"/>
        <v>0</v>
      </c>
    </row>
    <row r="182" spans="5:14" x14ac:dyDescent="0.2">
      <c r="E182" s="197" t="s">
        <v>526</v>
      </c>
      <c r="F182" s="238">
        <v>1058348.7350491155</v>
      </c>
      <c r="H182" s="238">
        <v>0</v>
      </c>
      <c r="J182" s="238">
        <f t="shared" si="55"/>
        <v>1058348.7350491155</v>
      </c>
      <c r="L182" s="238">
        <v>0</v>
      </c>
      <c r="N182" s="281">
        <f t="shared" si="56"/>
        <v>0</v>
      </c>
    </row>
    <row r="183" spans="5:14" ht="16" x14ac:dyDescent="0.2">
      <c r="E183" s="198" t="s">
        <v>509</v>
      </c>
      <c r="F183" s="238">
        <v>0</v>
      </c>
      <c r="H183" s="238">
        <v>108184.8596728804</v>
      </c>
      <c r="J183" s="238">
        <f t="shared" si="55"/>
        <v>108184.8596728804</v>
      </c>
      <c r="L183" s="238">
        <v>0</v>
      </c>
      <c r="N183" s="281">
        <f t="shared" si="56"/>
        <v>0</v>
      </c>
    </row>
    <row r="184" spans="5:14" x14ac:dyDescent="0.2">
      <c r="E184" s="197" t="s">
        <v>476</v>
      </c>
      <c r="F184" s="238">
        <v>0</v>
      </c>
      <c r="H184" s="238">
        <v>2244.7960862667505</v>
      </c>
      <c r="J184" s="238">
        <f t="shared" si="55"/>
        <v>0</v>
      </c>
      <c r="L184" s="238">
        <v>2244.7960862667505</v>
      </c>
      <c r="N184" s="281">
        <f t="shared" si="56"/>
        <v>0</v>
      </c>
    </row>
    <row r="185" spans="5:14" ht="16" x14ac:dyDescent="0.2">
      <c r="E185" s="198" t="s">
        <v>479</v>
      </c>
      <c r="F185" s="238">
        <v>0</v>
      </c>
      <c r="H185" s="238">
        <v>25297.051877142174</v>
      </c>
      <c r="J185" s="238">
        <f t="shared" si="55"/>
        <v>25297.051877142174</v>
      </c>
      <c r="L185" s="238">
        <v>0</v>
      </c>
      <c r="N185" s="281">
        <f t="shared" si="56"/>
        <v>0</v>
      </c>
    </row>
    <row r="186" spans="5:14" x14ac:dyDescent="0.2">
      <c r="E186" s="197" t="s">
        <v>504</v>
      </c>
      <c r="F186" s="238">
        <v>0</v>
      </c>
      <c r="H186" s="238">
        <v>6.7177820097776806</v>
      </c>
      <c r="J186" s="238">
        <f t="shared" si="55"/>
        <v>0</v>
      </c>
      <c r="L186" s="238">
        <v>6.7177820097776806</v>
      </c>
      <c r="N186" s="281">
        <f t="shared" si="56"/>
        <v>0</v>
      </c>
    </row>
    <row r="187" spans="5:14" x14ac:dyDescent="0.2">
      <c r="E187" s="199" t="s">
        <v>497</v>
      </c>
      <c r="F187" s="238">
        <v>0</v>
      </c>
      <c r="G187" s="245" t="s">
        <v>438</v>
      </c>
      <c r="H187" s="238">
        <v>8855804.320336977</v>
      </c>
      <c r="I187" s="165" t="s">
        <v>440</v>
      </c>
      <c r="J187" s="238">
        <f t="shared" si="55"/>
        <v>8855804.320336977</v>
      </c>
      <c r="K187" s="165" t="s">
        <v>440</v>
      </c>
      <c r="L187" s="238">
        <v>0</v>
      </c>
      <c r="M187" s="245" t="s">
        <v>441</v>
      </c>
      <c r="N187" s="281">
        <f t="shared" si="56"/>
        <v>0</v>
      </c>
    </row>
    <row r="188" spans="5:14" x14ac:dyDescent="0.2">
      <c r="E188" s="197" t="s">
        <v>483</v>
      </c>
      <c r="F188" s="238">
        <v>0</v>
      </c>
      <c r="H188" s="238">
        <v>555.77441893806406</v>
      </c>
      <c r="J188" s="238">
        <f t="shared" si="55"/>
        <v>0</v>
      </c>
      <c r="L188" s="238">
        <v>555.77441893806406</v>
      </c>
      <c r="N188" s="281">
        <f t="shared" si="56"/>
        <v>0</v>
      </c>
    </row>
    <row r="189" spans="5:14" ht="16" x14ac:dyDescent="0.2">
      <c r="E189" s="198" t="s">
        <v>508</v>
      </c>
      <c r="F189" s="238">
        <v>0</v>
      </c>
      <c r="H189" s="238">
        <v>108184.8596728804</v>
      </c>
      <c r="J189" s="238">
        <f t="shared" si="55"/>
        <v>108184.8596728804</v>
      </c>
      <c r="L189" s="238">
        <v>0</v>
      </c>
      <c r="N189" s="281">
        <f t="shared" si="56"/>
        <v>0</v>
      </c>
    </row>
    <row r="190" spans="5:14" ht="16" x14ac:dyDescent="0.2">
      <c r="E190" s="198" t="s">
        <v>503</v>
      </c>
      <c r="F190" s="238">
        <v>0</v>
      </c>
      <c r="H190" s="238">
        <v>25297.051877142174</v>
      </c>
      <c r="J190" s="238">
        <f t="shared" si="55"/>
        <v>25297.051877142174</v>
      </c>
      <c r="L190" s="238">
        <v>0</v>
      </c>
      <c r="N190" s="281">
        <f t="shared" si="56"/>
        <v>0</v>
      </c>
    </row>
    <row r="191" spans="5:14" ht="16" x14ac:dyDescent="0.2">
      <c r="E191" s="198" t="s">
        <v>500</v>
      </c>
      <c r="F191" s="238">
        <v>0</v>
      </c>
      <c r="H191" s="238">
        <v>8855804.320336977</v>
      </c>
      <c r="J191" s="238">
        <f t="shared" si="55"/>
        <v>8855804.320336977</v>
      </c>
      <c r="L191" s="238">
        <v>0</v>
      </c>
      <c r="N191" s="281">
        <f t="shared" si="56"/>
        <v>0</v>
      </c>
    </row>
    <row r="192" spans="5:14" ht="16" x14ac:dyDescent="0.2">
      <c r="E192" s="198" t="s">
        <v>506</v>
      </c>
      <c r="F192" s="238">
        <v>0</v>
      </c>
      <c r="H192" s="238">
        <v>88071.706245154463</v>
      </c>
      <c r="J192" s="238">
        <f t="shared" si="55"/>
        <v>88071.706245154463</v>
      </c>
      <c r="L192" s="238">
        <v>0</v>
      </c>
      <c r="N192" s="281">
        <f t="shared" si="56"/>
        <v>0</v>
      </c>
    </row>
    <row r="193" spans="5:22" x14ac:dyDescent="0.2">
      <c r="E193" s="199" t="s">
        <v>505</v>
      </c>
      <c r="F193" s="238">
        <v>0</v>
      </c>
      <c r="H193" s="238">
        <v>21722.892325740406</v>
      </c>
      <c r="J193" s="238">
        <f t="shared" si="55"/>
        <v>0</v>
      </c>
      <c r="L193" s="238">
        <v>21722.892325740406</v>
      </c>
      <c r="N193" s="281">
        <f t="shared" si="56"/>
        <v>0</v>
      </c>
    </row>
    <row r="194" spans="5:22" x14ac:dyDescent="0.2">
      <c r="E194" s="199" t="s">
        <v>491</v>
      </c>
      <c r="F194" s="238">
        <v>0</v>
      </c>
      <c r="H194" s="238">
        <v>25297.051877142174</v>
      </c>
      <c r="J194" s="238">
        <f t="shared" si="55"/>
        <v>25297.051877142174</v>
      </c>
      <c r="L194" s="238">
        <v>0</v>
      </c>
      <c r="N194" s="281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199" t="s">
        <v>523</v>
      </c>
      <c r="F195" s="238">
        <v>0</v>
      </c>
      <c r="H195" s="238">
        <v>8855804.320336977</v>
      </c>
      <c r="J195" s="238">
        <f t="shared" si="55"/>
        <v>8855804.320336977</v>
      </c>
      <c r="L195" s="238">
        <v>0</v>
      </c>
      <c r="N195" s="281">
        <f t="shared" si="57"/>
        <v>0</v>
      </c>
      <c r="Q195" s="25"/>
      <c r="S195" s="25"/>
      <c r="T195" s="25"/>
      <c r="U195" s="25"/>
    </row>
    <row r="196" spans="5:22" x14ac:dyDescent="0.2">
      <c r="E196" s="199" t="s">
        <v>492</v>
      </c>
      <c r="F196" s="238">
        <v>0</v>
      </c>
      <c r="H196" s="238">
        <v>242016.07607977447</v>
      </c>
      <c r="J196" s="238">
        <f t="shared" si="55"/>
        <v>242016.07607977447</v>
      </c>
      <c r="L196" s="238">
        <v>0</v>
      </c>
      <c r="N196" s="281">
        <f t="shared" si="57"/>
        <v>0</v>
      </c>
      <c r="Q196" s="25"/>
      <c r="S196" s="25"/>
      <c r="T196" s="25"/>
      <c r="U196" s="25"/>
    </row>
    <row r="197" spans="5:22" x14ac:dyDescent="0.2">
      <c r="E197" s="199" t="s">
        <v>494</v>
      </c>
      <c r="F197" s="238">
        <v>0</v>
      </c>
      <c r="H197" s="238">
        <v>7739.2511800711582</v>
      </c>
      <c r="J197" s="238">
        <f t="shared" si="55"/>
        <v>0</v>
      </c>
      <c r="L197" s="238">
        <v>7739.2511800711582</v>
      </c>
      <c r="N197" s="281">
        <f t="shared" si="57"/>
        <v>0</v>
      </c>
      <c r="Q197" s="25"/>
      <c r="S197" s="25"/>
      <c r="T197" s="25"/>
      <c r="U197" s="25"/>
    </row>
    <row r="198" spans="5:22" x14ac:dyDescent="0.2">
      <c r="E198" s="199" t="s">
        <v>493</v>
      </c>
      <c r="F198" s="238">
        <v>0</v>
      </c>
      <c r="H198" s="238">
        <v>87222.135331413883</v>
      </c>
      <c r="J198" s="238">
        <f t="shared" si="55"/>
        <v>0</v>
      </c>
      <c r="L198" s="238">
        <v>87222.135331413883</v>
      </c>
      <c r="N198" s="281">
        <f t="shared" si="57"/>
        <v>0</v>
      </c>
      <c r="Q198" s="25"/>
      <c r="S198" s="25"/>
      <c r="T198" s="25"/>
      <c r="U198" s="25"/>
    </row>
    <row r="199" spans="5:22" x14ac:dyDescent="0.2">
      <c r="E199" s="199" t="s">
        <v>551</v>
      </c>
      <c r="F199" s="238">
        <v>0</v>
      </c>
      <c r="H199" s="238">
        <v>6408288.6211381694</v>
      </c>
      <c r="J199" s="238">
        <f t="shared" si="55"/>
        <v>6408288.6211381694</v>
      </c>
      <c r="L199" s="238">
        <v>0</v>
      </c>
      <c r="N199" s="281">
        <f t="shared" si="57"/>
        <v>0</v>
      </c>
    </row>
    <row r="200" spans="5:22" ht="16" x14ac:dyDescent="0.2">
      <c r="E200" s="239" t="s">
        <v>489</v>
      </c>
      <c r="F200" s="238">
        <v>0</v>
      </c>
      <c r="H200" s="238">
        <v>4026178.1360752485</v>
      </c>
      <c r="J200" s="238">
        <f t="shared" si="55"/>
        <v>4026178.1360752485</v>
      </c>
      <c r="L200" s="238">
        <v>0</v>
      </c>
      <c r="N200" s="281">
        <f t="shared" si="57"/>
        <v>0</v>
      </c>
    </row>
    <row r="201" spans="5:22" ht="16" x14ac:dyDescent="0.2">
      <c r="E201" s="239" t="s">
        <v>619</v>
      </c>
      <c r="F201" s="238">
        <v>0</v>
      </c>
      <c r="H201" s="238">
        <v>955411.7785075705</v>
      </c>
      <c r="J201" s="238">
        <f t="shared" ref="J201:J209" si="58">BJ114</f>
        <v>0</v>
      </c>
      <c r="L201" s="238">
        <v>955411.7785075705</v>
      </c>
      <c r="N201" s="281">
        <f t="shared" si="57"/>
        <v>0</v>
      </c>
    </row>
    <row r="202" spans="5:22" x14ac:dyDescent="0.2">
      <c r="E202" s="199" t="s">
        <v>488</v>
      </c>
      <c r="F202" s="238">
        <v>0</v>
      </c>
      <c r="H202" s="238">
        <v>8991.620323109395</v>
      </c>
      <c r="J202" s="238">
        <f t="shared" si="58"/>
        <v>0</v>
      </c>
      <c r="L202" s="238">
        <v>8991.620323109395</v>
      </c>
      <c r="N202" s="281">
        <f t="shared" si="57"/>
        <v>0</v>
      </c>
      <c r="O202" s="25"/>
    </row>
    <row r="203" spans="5:22" x14ac:dyDescent="0.2">
      <c r="E203" s="197" t="s">
        <v>490</v>
      </c>
      <c r="F203" s="238">
        <v>0</v>
      </c>
      <c r="H203" s="238">
        <v>303788.26554911444</v>
      </c>
      <c r="J203" s="238">
        <f t="shared" si="58"/>
        <v>0</v>
      </c>
      <c r="L203" s="238">
        <v>303788.26554911444</v>
      </c>
      <c r="N203" s="281">
        <f t="shared" si="57"/>
        <v>0</v>
      </c>
    </row>
    <row r="204" spans="5:22" x14ac:dyDescent="0.2">
      <c r="E204" s="199" t="s">
        <v>582</v>
      </c>
      <c r="F204" s="238">
        <v>0</v>
      </c>
      <c r="H204" s="238">
        <v>4043367.3234254471</v>
      </c>
      <c r="J204" s="238">
        <f t="shared" si="58"/>
        <v>4043367.3234254471</v>
      </c>
      <c r="L204" s="238">
        <v>0</v>
      </c>
      <c r="N204" s="281">
        <f t="shared" si="57"/>
        <v>0</v>
      </c>
    </row>
    <row r="205" spans="5:22" x14ac:dyDescent="0.2">
      <c r="E205" s="199" t="s">
        <v>584</v>
      </c>
      <c r="F205" s="238">
        <v>0</v>
      </c>
      <c r="H205" s="238">
        <v>4043367.3234254471</v>
      </c>
      <c r="J205" s="238">
        <f t="shared" si="58"/>
        <v>2830357.1263978118</v>
      </c>
      <c r="L205" s="238">
        <v>1213010.1970276341</v>
      </c>
      <c r="N205" s="281">
        <f t="shared" si="57"/>
        <v>0</v>
      </c>
    </row>
    <row r="206" spans="5:22" x14ac:dyDescent="0.2">
      <c r="E206" s="199" t="s">
        <v>512</v>
      </c>
      <c r="F206" s="238">
        <v>0</v>
      </c>
      <c r="H206" s="238">
        <v>6682782.3361421349</v>
      </c>
      <c r="J206" s="238">
        <f t="shared" si="58"/>
        <v>6682782.3361421349</v>
      </c>
      <c r="L206" s="238">
        <v>0</v>
      </c>
      <c r="N206" s="281">
        <f t="shared" si="57"/>
        <v>0</v>
      </c>
      <c r="S206" s="231"/>
      <c r="T206" s="231"/>
      <c r="U206" s="231"/>
      <c r="V206" s="231"/>
    </row>
    <row r="207" spans="5:22" x14ac:dyDescent="0.2">
      <c r="E207" s="199" t="s">
        <v>513</v>
      </c>
      <c r="F207" s="238">
        <v>0</v>
      </c>
      <c r="H207" s="238">
        <v>4157895.2984628798</v>
      </c>
      <c r="J207" s="238">
        <f t="shared" si="58"/>
        <v>0</v>
      </c>
      <c r="L207" s="238">
        <v>4157895.2984628798</v>
      </c>
      <c r="N207" s="281">
        <f t="shared" si="57"/>
        <v>0</v>
      </c>
    </row>
    <row r="208" spans="5:22" x14ac:dyDescent="0.2">
      <c r="E208" s="199" t="s">
        <v>514</v>
      </c>
      <c r="F208" s="238">
        <v>0</v>
      </c>
      <c r="H208" s="238">
        <v>404209.15818875749</v>
      </c>
      <c r="J208" s="238">
        <f t="shared" si="58"/>
        <v>0</v>
      </c>
      <c r="L208" s="238">
        <v>404209.15818875749</v>
      </c>
      <c r="N208" s="281">
        <f t="shared" si="57"/>
        <v>0</v>
      </c>
    </row>
    <row r="209" spans="5:18" x14ac:dyDescent="0.2">
      <c r="E209" s="199" t="s">
        <v>524</v>
      </c>
      <c r="F209" s="238">
        <v>0</v>
      </c>
      <c r="H209" s="238">
        <v>67875.356217847453</v>
      </c>
      <c r="J209" s="238">
        <f t="shared" si="58"/>
        <v>0</v>
      </c>
      <c r="L209" s="238">
        <v>67875.356217847453</v>
      </c>
      <c r="N209" s="281">
        <f t="shared" si="57"/>
        <v>0</v>
      </c>
    </row>
    <row r="210" spans="5:18" ht="17" x14ac:dyDescent="0.2">
      <c r="E210" s="199"/>
      <c r="F210" s="3" t="s">
        <v>437</v>
      </c>
      <c r="H210" s="3" t="s">
        <v>439</v>
      </c>
      <c r="J210" s="25" t="s">
        <v>436</v>
      </c>
      <c r="L210" s="25" t="s">
        <v>38</v>
      </c>
      <c r="N210" s="25">
        <v>0</v>
      </c>
    </row>
    <row r="211" spans="5:18" x14ac:dyDescent="0.2">
      <c r="E211" s="199"/>
      <c r="J211" s="25"/>
      <c r="L211" s="25"/>
    </row>
    <row r="212" spans="5:18" x14ac:dyDescent="0.2">
      <c r="E212" s="199"/>
    </row>
    <row r="213" spans="5:18" x14ac:dyDescent="0.2">
      <c r="F213" s="450" t="s">
        <v>557</v>
      </c>
      <c r="G213" s="450"/>
      <c r="H213" s="450"/>
      <c r="I213" s="450"/>
      <c r="J213" s="450"/>
      <c r="O213" s="231"/>
      <c r="P213" s="231"/>
    </row>
    <row r="216" spans="5:18" x14ac:dyDescent="0.2">
      <c r="E216" s="197" t="s">
        <v>392</v>
      </c>
      <c r="F216" s="238" cm="1">
        <f t="array" ref="F216:F230">TRANSPOSE((AU124:BI124))</f>
        <v>202456.09318826307</v>
      </c>
      <c r="H216" s="238">
        <f t="shared" ref="H216:H230" si="59">AP127</f>
        <v>110429.65575914715</v>
      </c>
      <c r="J216" s="238">
        <f>F216-H216</f>
        <v>92026.437429115918</v>
      </c>
    </row>
    <row r="217" spans="5:18" x14ac:dyDescent="0.2">
      <c r="E217" s="197" t="s">
        <v>393</v>
      </c>
      <c r="F217" s="238">
        <v>25579.496946587489</v>
      </c>
      <c r="H217" s="238">
        <f t="shared" si="59"/>
        <v>25303.769659151953</v>
      </c>
      <c r="J217" s="238">
        <f t="shared" ref="J217:J230" si="60">F217-H217</f>
        <v>275.72728743553671</v>
      </c>
      <c r="Q217" s="231"/>
      <c r="R217" s="231"/>
    </row>
    <row r="218" spans="5:18" x14ac:dyDescent="0.2">
      <c r="E218" s="197" t="s">
        <v>394</v>
      </c>
      <c r="F218" s="238">
        <v>8954947.7300760113</v>
      </c>
      <c r="H218" s="238">
        <f t="shared" si="59"/>
        <v>8856360.0947559159</v>
      </c>
      <c r="J218" s="238">
        <f t="shared" si="60"/>
        <v>98587.635320095345</v>
      </c>
    </row>
    <row r="219" spans="5:18" x14ac:dyDescent="0.2">
      <c r="E219" s="197" t="s">
        <v>522</v>
      </c>
      <c r="F219" s="238">
        <v>717977.11143222859</v>
      </c>
      <c r="G219" s="240"/>
      <c r="H219" s="238">
        <f t="shared" si="59"/>
        <v>108184.8596728804</v>
      </c>
      <c r="I219" s="240"/>
      <c r="J219" s="238">
        <f t="shared" si="60"/>
        <v>609792.2517593482</v>
      </c>
    </row>
    <row r="220" spans="5:18" x14ac:dyDescent="0.2">
      <c r="E220" s="197" t="s">
        <v>502</v>
      </c>
      <c r="F220" s="238">
        <v>28121.937524887093</v>
      </c>
      <c r="H220" s="238">
        <f t="shared" si="59"/>
        <v>25297.051877142174</v>
      </c>
      <c r="J220" s="238">
        <f t="shared" si="60"/>
        <v>2824.885647744919</v>
      </c>
      <c r="K220" s="231"/>
      <c r="L220" s="231"/>
      <c r="M220" s="231"/>
      <c r="N220" s="231"/>
    </row>
    <row r="221" spans="5:18" x14ac:dyDescent="0.2">
      <c r="E221" s="197" t="s">
        <v>501</v>
      </c>
      <c r="F221" s="238">
        <v>8856086.4491080083</v>
      </c>
      <c r="H221" s="238">
        <f t="shared" si="59"/>
        <v>8855804.320336977</v>
      </c>
      <c r="J221" s="238">
        <f t="shared" si="60"/>
        <v>282.12877103127539</v>
      </c>
    </row>
    <row r="222" spans="5:18" x14ac:dyDescent="0.2">
      <c r="E222" s="197" t="s">
        <v>418</v>
      </c>
      <c r="F222" s="238">
        <v>120810.95849921908</v>
      </c>
      <c r="H222" s="238">
        <f t="shared" si="59"/>
        <v>109794.59857089487</v>
      </c>
      <c r="J222" s="238">
        <f t="shared" si="60"/>
        <v>11016.359928324207</v>
      </c>
    </row>
    <row r="223" spans="5:18" x14ac:dyDescent="0.2">
      <c r="E223" s="197" t="s">
        <v>415</v>
      </c>
      <c r="F223" s="238">
        <v>25331.72997230629</v>
      </c>
      <c r="G223" s="165" t="s">
        <v>445</v>
      </c>
      <c r="H223" s="238">
        <f t="shared" si="59"/>
        <v>25297.051877142174</v>
      </c>
      <c r="I223" s="165" t="s">
        <v>441</v>
      </c>
      <c r="J223" s="238">
        <f t="shared" si="60"/>
        <v>34.678095164115803</v>
      </c>
    </row>
    <row r="224" spans="5:18" x14ac:dyDescent="0.2">
      <c r="E224" s="197" t="s">
        <v>429</v>
      </c>
      <c r="F224" s="238">
        <v>8855854.6784211304</v>
      </c>
      <c r="H224" s="238">
        <f t="shared" si="59"/>
        <v>8855804.320336977</v>
      </c>
      <c r="J224" s="238">
        <f t="shared" si="60"/>
        <v>50.35808415338397</v>
      </c>
    </row>
    <row r="225" spans="5:14" x14ac:dyDescent="0.2">
      <c r="E225" s="197" t="s">
        <v>416</v>
      </c>
      <c r="F225" s="238">
        <v>1979045.0406719043</v>
      </c>
      <c r="H225" s="238">
        <f t="shared" si="59"/>
        <v>336977.46259125951</v>
      </c>
      <c r="J225" s="238">
        <f t="shared" si="60"/>
        <v>1642067.5780806448</v>
      </c>
    </row>
    <row r="226" spans="5:14" x14ac:dyDescent="0.2">
      <c r="E226" s="197" t="s">
        <v>411</v>
      </c>
      <c r="F226" s="238">
        <v>19454075.052631274</v>
      </c>
      <c r="H226" s="238">
        <f t="shared" si="59"/>
        <v>11702658.42159321</v>
      </c>
      <c r="J226" s="238">
        <f t="shared" si="60"/>
        <v>7751416.6310380641</v>
      </c>
    </row>
    <row r="227" spans="5:14" x14ac:dyDescent="0.2">
      <c r="E227" s="197" t="s">
        <v>581</v>
      </c>
      <c r="F227" s="238">
        <v>4059369.9954689462</v>
      </c>
      <c r="H227" s="238">
        <f t="shared" si="59"/>
        <v>4043367.3234254471</v>
      </c>
      <c r="J227" s="238">
        <f t="shared" si="60"/>
        <v>16002.672043499071</v>
      </c>
    </row>
    <row r="228" spans="5:14" x14ac:dyDescent="0.2">
      <c r="E228" s="197" t="s">
        <v>583</v>
      </c>
      <c r="F228" s="238">
        <v>4043367.3234254471</v>
      </c>
      <c r="H228" s="238">
        <f t="shared" si="59"/>
        <v>4043367.3234254471</v>
      </c>
      <c r="J228" s="238">
        <f t="shared" si="60"/>
        <v>0</v>
      </c>
    </row>
    <row r="229" spans="5:14" x14ac:dyDescent="0.2">
      <c r="E229" s="197" t="s">
        <v>80</v>
      </c>
      <c r="F229" s="238">
        <v>6738376.4034630982</v>
      </c>
      <c r="H229" s="238">
        <f t="shared" si="59"/>
        <v>6682782.3361421349</v>
      </c>
      <c r="J229" s="238">
        <f t="shared" si="60"/>
        <v>55594.067320963368</v>
      </c>
    </row>
    <row r="230" spans="5:14" x14ac:dyDescent="0.2">
      <c r="E230" s="197" t="s">
        <v>404</v>
      </c>
      <c r="F230" s="238">
        <v>12202453.882342203</v>
      </c>
      <c r="G230" s="165"/>
      <c r="H230" s="238">
        <f t="shared" si="59"/>
        <v>4629979.8128694845</v>
      </c>
      <c r="J230" s="238">
        <f t="shared" si="60"/>
        <v>7572474.0694727181</v>
      </c>
    </row>
    <row r="231" spans="5:14" x14ac:dyDescent="0.2">
      <c r="E231" s="199"/>
      <c r="F231" s="165" t="s">
        <v>435</v>
      </c>
      <c r="G231" s="165"/>
      <c r="H231" s="165" t="s">
        <v>432</v>
      </c>
      <c r="I231" s="165"/>
      <c r="J231" s="165" t="s">
        <v>446</v>
      </c>
    </row>
    <row r="232" spans="5:14" x14ac:dyDescent="0.2">
      <c r="E232" s="199"/>
    </row>
    <row r="233" spans="5:14" x14ac:dyDescent="0.2">
      <c r="E233" s="199"/>
    </row>
    <row r="238" spans="5:14" x14ac:dyDescent="0.2">
      <c r="K238" s="165"/>
      <c r="L238" s="165"/>
      <c r="M238" s="165"/>
      <c r="N238" s="165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133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0" t="s">
        <v>545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427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583</v>
      </c>
      <c r="BX1" s="200" t="s">
        <v>80</v>
      </c>
      <c r="BY1" s="200" t="s">
        <v>404</v>
      </c>
    </row>
    <row r="2" spans="2:77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</row>
    <row r="3" spans="2:77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</row>
    <row r="4" spans="2:77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</row>
    <row r="5" spans="2:77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</row>
    <row r="6" spans="2:77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</row>
    <row r="7" spans="2:77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</row>
    <row r="8" spans="2:77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</row>
    <row r="9" spans="2:77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</row>
    <row r="10" spans="2:77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</row>
    <row r="11" spans="2:77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</row>
    <row r="12" spans="2:77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</row>
    <row r="13" spans="2:77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</row>
    <row r="14" spans="2:77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</row>
    <row r="15" spans="2:77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</row>
    <row r="16" spans="2:77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</row>
    <row r="17" spans="2:77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</row>
    <row r="18" spans="2:77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</row>
    <row r="19" spans="2:77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</row>
    <row r="20" spans="2:77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</row>
    <row r="21" spans="2:77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</row>
    <row r="22" spans="2:77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</row>
    <row r="23" spans="2:77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</row>
    <row r="24" spans="2:77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</row>
    <row r="25" spans="2:77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</row>
    <row r="26" spans="2:77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</row>
    <row r="27" spans="2:77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</row>
    <row r="28" spans="2:77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</row>
    <row r="29" spans="2:77" ht="16" x14ac:dyDescent="0.2">
      <c r="B29" s="239"/>
      <c r="C29" s="270"/>
      <c r="AQ29" s="239" t="s">
        <v>619</v>
      </c>
      <c r="AR29" s="270"/>
      <c r="AS29" s="270"/>
      <c r="AT29" s="270"/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K29" s="239" t="s">
        <v>619</v>
      </c>
      <c r="BL29" s="270"/>
      <c r="BM29" s="270"/>
      <c r="BN29" s="270"/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</row>
    <row r="30" spans="2:77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</row>
    <row r="31" spans="2:77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</row>
    <row r="32" spans="2:77" x14ac:dyDescent="0.2">
      <c r="B32" s="199" t="s">
        <v>486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</row>
    <row r="33" spans="2:77" x14ac:dyDescent="0.2">
      <c r="B33" s="199" t="s">
        <v>512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</row>
    <row r="34" spans="2:77" x14ac:dyDescent="0.2">
      <c r="B34" s="199" t="s">
        <v>513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</row>
    <row r="35" spans="2:77" x14ac:dyDescent="0.2">
      <c r="B35" s="199" t="s">
        <v>514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</row>
    <row r="36" spans="2:77" x14ac:dyDescent="0.2">
      <c r="B36" s="199" t="s">
        <v>524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</row>
    <row r="37" spans="2:77" x14ac:dyDescent="0.2">
      <c r="C37" s="165" t="s">
        <v>540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</row>
    <row r="38" spans="2:77" x14ac:dyDescent="0.2">
      <c r="AQ38" s="199"/>
      <c r="AR38" s="450" t="s">
        <v>537</v>
      </c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K38" s="199"/>
      <c r="BL38" s="450" t="s">
        <v>538</v>
      </c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</row>
    <row r="39" spans="2:77" x14ac:dyDescent="0.2">
      <c r="AQ39" s="199"/>
      <c r="BK39" s="199"/>
    </row>
    <row r="40" spans="2:77" x14ac:dyDescent="0.2">
      <c r="AQ40" s="199"/>
    </row>
    <row r="41" spans="2:77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7" x14ac:dyDescent="0.2">
      <c r="AQ42" s="197" t="s">
        <v>400</v>
      </c>
      <c r="AR42" s="270">
        <f>AR83</f>
        <v>1011.7674660019052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7" x14ac:dyDescent="0.2">
      <c r="AQ43" s="197" t="s">
        <v>402</v>
      </c>
      <c r="AR43" s="270">
        <f t="shared" ref="AR43:AY68" si="1">AR84</f>
        <v>0</v>
      </c>
      <c r="AS43" s="270">
        <f t="shared" si="1"/>
        <v>208.55560337725498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ref="AZ43:BC43" si="2">AZ84</f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ref="BD43:BF43" si="3">BD84</f>
        <v>0</v>
      </c>
      <c r="BE43" s="270">
        <f t="shared" si="3"/>
        <v>0</v>
      </c>
      <c r="BF43" s="270">
        <f t="shared" si="3"/>
        <v>0</v>
      </c>
    </row>
    <row r="44" spans="2:77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298.6148747230165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ref="AZ44:BC44" si="4">AZ85</f>
        <v>0</v>
      </c>
      <c r="BA44" s="270">
        <f t="shared" si="4"/>
        <v>0</v>
      </c>
      <c r="BB44" s="270">
        <f t="shared" si="4"/>
        <v>0</v>
      </c>
      <c r="BC44" s="270">
        <f t="shared" si="4"/>
        <v>0</v>
      </c>
      <c r="BD44" s="270">
        <f t="shared" ref="BD44:BF44" si="5">BD85</f>
        <v>0</v>
      </c>
      <c r="BE44" s="270">
        <f t="shared" si="5"/>
        <v>0</v>
      </c>
      <c r="BF44" s="270">
        <f t="shared" si="5"/>
        <v>0</v>
      </c>
    </row>
    <row r="45" spans="2:77" x14ac:dyDescent="0.2">
      <c r="AQ45" s="197" t="s">
        <v>422</v>
      </c>
      <c r="AR45" s="270">
        <f t="shared" si="1"/>
        <v>30.150427560669065</v>
      </c>
      <c r="AS45" s="270">
        <f t="shared" si="1"/>
        <v>9.0394269236644703E-2</v>
      </c>
      <c r="AT45" s="270">
        <f t="shared" si="1"/>
        <v>7.4647476716394348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ref="AZ45:BC45" si="6">AZ86</f>
        <v>0</v>
      </c>
      <c r="BA45" s="270">
        <f t="shared" si="6"/>
        <v>644.2421909044931</v>
      </c>
      <c r="BB45" s="270">
        <f t="shared" si="6"/>
        <v>3494.7460959815226</v>
      </c>
      <c r="BC45" s="270">
        <f t="shared" si="6"/>
        <v>0</v>
      </c>
      <c r="BD45" s="270">
        <f t="shared" ref="BD45:BF45" si="7">BD86</f>
        <v>0</v>
      </c>
      <c r="BE45" s="270">
        <f t="shared" si="7"/>
        <v>0</v>
      </c>
      <c r="BF45" s="270">
        <f t="shared" si="7"/>
        <v>2852.0490535886452</v>
      </c>
    </row>
    <row r="46" spans="2:77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ref="AZ46:BC46" si="8">AZ87</f>
        <v>0</v>
      </c>
      <c r="BA46" s="270">
        <f t="shared" si="8"/>
        <v>37.630021206323519</v>
      </c>
      <c r="BB46" s="270">
        <f t="shared" si="8"/>
        <v>204.127223518021</v>
      </c>
      <c r="BC46" s="270">
        <f t="shared" si="8"/>
        <v>0</v>
      </c>
      <c r="BD46" s="270">
        <f t="shared" ref="BD46:BF46" si="9">BD87</f>
        <v>0</v>
      </c>
      <c r="BE46" s="270">
        <f t="shared" si="9"/>
        <v>0</v>
      </c>
      <c r="BF46" s="270">
        <f t="shared" si="9"/>
        <v>44.927545117863247</v>
      </c>
    </row>
    <row r="47" spans="2:77" x14ac:dyDescent="0.2">
      <c r="AQ47" s="197" t="s">
        <v>533</v>
      </c>
      <c r="AR47" s="270">
        <f t="shared" si="1"/>
        <v>2.0694989883749622</v>
      </c>
      <c r="AS47" s="270">
        <f t="shared" si="1"/>
        <v>5.671161105764883E-3</v>
      </c>
      <c r="AT47" s="270">
        <f t="shared" si="1"/>
        <v>0.51237375403207552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ref="AZ47:BC47" si="10">AZ88</f>
        <v>0</v>
      </c>
      <c r="BA47" s="270">
        <f t="shared" si="10"/>
        <v>0</v>
      </c>
      <c r="BB47" s="270">
        <f t="shared" si="10"/>
        <v>0</v>
      </c>
      <c r="BC47" s="270">
        <f t="shared" si="10"/>
        <v>0</v>
      </c>
      <c r="BD47" s="270">
        <f t="shared" ref="BD47:BF47" si="11">BD88</f>
        <v>0</v>
      </c>
      <c r="BE47" s="270">
        <f t="shared" si="11"/>
        <v>0</v>
      </c>
      <c r="BF47" s="270">
        <f t="shared" si="11"/>
        <v>0</v>
      </c>
    </row>
    <row r="48" spans="2:77" x14ac:dyDescent="0.2">
      <c r="AQ48" s="197" t="s">
        <v>534</v>
      </c>
      <c r="AR48" s="270">
        <f t="shared" si="1"/>
        <v>0</v>
      </c>
      <c r="AS48" s="270">
        <f t="shared" si="1"/>
        <v>5.1714158616864253E-4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ref="AZ48:BC48" si="12">AZ89</f>
        <v>0</v>
      </c>
      <c r="BA48" s="270">
        <f t="shared" si="12"/>
        <v>0</v>
      </c>
      <c r="BB48" s="270">
        <f t="shared" si="12"/>
        <v>0</v>
      </c>
      <c r="BC48" s="270">
        <f t="shared" si="12"/>
        <v>0</v>
      </c>
      <c r="BD48" s="270">
        <f t="shared" ref="BD48:BF48" si="13">BD89</f>
        <v>0</v>
      </c>
      <c r="BE48" s="270">
        <f t="shared" si="13"/>
        <v>0</v>
      </c>
      <c r="BF48" s="270">
        <f t="shared" si="13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ref="AZ49:BC49" si="14">AZ90</f>
        <v>0</v>
      </c>
      <c r="BA49" s="270">
        <f t="shared" si="14"/>
        <v>0</v>
      </c>
      <c r="BB49" s="270">
        <f t="shared" si="14"/>
        <v>0</v>
      </c>
      <c r="BC49" s="270">
        <f t="shared" si="14"/>
        <v>0</v>
      </c>
      <c r="BD49" s="270">
        <f t="shared" ref="BD49:BF49" si="15">BD90</f>
        <v>0</v>
      </c>
      <c r="BE49" s="270">
        <f t="shared" si="15"/>
        <v>0</v>
      </c>
      <c r="BF49" s="270">
        <f t="shared" si="15"/>
        <v>4.914718171980665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ref="AZ50:BC50" si="16">AZ91</f>
        <v>0</v>
      </c>
      <c r="BA50" s="270">
        <f t="shared" si="16"/>
        <v>0</v>
      </c>
      <c r="BB50" s="270">
        <f t="shared" si="16"/>
        <v>0</v>
      </c>
      <c r="BC50" s="270">
        <f t="shared" si="16"/>
        <v>0</v>
      </c>
      <c r="BD50" s="270">
        <f t="shared" ref="BD50:BF50" si="17">BD91</f>
        <v>0</v>
      </c>
      <c r="BE50" s="270">
        <f t="shared" si="17"/>
        <v>0</v>
      </c>
      <c r="BF50" s="270">
        <f t="shared" si="17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1011.7674660019052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ref="AZ51:BC51" si="18">AZ92</f>
        <v>0</v>
      </c>
      <c r="BA51" s="270">
        <f t="shared" si="18"/>
        <v>0</v>
      </c>
      <c r="BB51" s="270">
        <f t="shared" si="18"/>
        <v>0</v>
      </c>
      <c r="BC51" s="270">
        <f t="shared" si="18"/>
        <v>0</v>
      </c>
      <c r="BD51" s="270">
        <f t="shared" ref="BD51:BF51" si="19">BD92</f>
        <v>0</v>
      </c>
      <c r="BE51" s="270">
        <f t="shared" si="19"/>
        <v>0</v>
      </c>
      <c r="BF51" s="270">
        <f t="shared" si="19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ref="AZ52:BC52" si="20">AZ93</f>
        <v>0</v>
      </c>
      <c r="BA52" s="270">
        <f t="shared" si="20"/>
        <v>0</v>
      </c>
      <c r="BB52" s="270">
        <f t="shared" si="20"/>
        <v>0</v>
      </c>
      <c r="BC52" s="270">
        <f t="shared" si="20"/>
        <v>0</v>
      </c>
      <c r="BD52" s="270">
        <f t="shared" ref="BD52:BF52" si="21">BD93</f>
        <v>0</v>
      </c>
      <c r="BE52" s="270">
        <f t="shared" si="21"/>
        <v>0</v>
      </c>
      <c r="BF52" s="270">
        <f t="shared" si="2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208.55560337725498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ref="AZ53:BC53" si="22">AZ94</f>
        <v>0</v>
      </c>
      <c r="BA53" s="270">
        <f t="shared" si="22"/>
        <v>0</v>
      </c>
      <c r="BB53" s="270">
        <f t="shared" si="22"/>
        <v>0</v>
      </c>
      <c r="BC53" s="270">
        <f t="shared" si="22"/>
        <v>0</v>
      </c>
      <c r="BD53" s="270">
        <f t="shared" ref="BD53:BF53" si="23">BD94</f>
        <v>0</v>
      </c>
      <c r="BE53" s="270">
        <f t="shared" si="23"/>
        <v>0</v>
      </c>
      <c r="BF53" s="270">
        <f t="shared" si="23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ref="AZ54:BC54" si="24">AZ95</f>
        <v>0</v>
      </c>
      <c r="BA54" s="270">
        <f t="shared" si="24"/>
        <v>0</v>
      </c>
      <c r="BB54" s="270">
        <f t="shared" si="24"/>
        <v>0</v>
      </c>
      <c r="BC54" s="270">
        <f t="shared" si="24"/>
        <v>0</v>
      </c>
      <c r="BD54" s="270">
        <f t="shared" ref="BD54:BF54" si="25">BD95</f>
        <v>0</v>
      </c>
      <c r="BE54" s="270">
        <f t="shared" si="25"/>
        <v>0</v>
      </c>
      <c r="BF54" s="270">
        <f t="shared" si="25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298.6148747230165</v>
      </c>
      <c r="AX55" s="270">
        <f t="shared" si="1"/>
        <v>0</v>
      </c>
      <c r="AY55" s="270">
        <f t="shared" si="1"/>
        <v>0</v>
      </c>
      <c r="AZ55" s="270">
        <f t="shared" ref="AZ55:BC55" si="26">AZ96</f>
        <v>0</v>
      </c>
      <c r="BA55" s="270">
        <f t="shared" si="26"/>
        <v>0</v>
      </c>
      <c r="BB55" s="270">
        <f t="shared" si="26"/>
        <v>0</v>
      </c>
      <c r="BC55" s="270">
        <f t="shared" si="26"/>
        <v>0</v>
      </c>
      <c r="BD55" s="270">
        <f t="shared" ref="BD55:BF55" si="27">BD96</f>
        <v>0</v>
      </c>
      <c r="BE55" s="270">
        <f t="shared" si="27"/>
        <v>0</v>
      </c>
      <c r="BF55" s="270">
        <f t="shared" si="27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ref="AZ56:BC56" si="28">AZ97</f>
        <v>0</v>
      </c>
      <c r="BA56" s="270">
        <f t="shared" si="28"/>
        <v>0</v>
      </c>
      <c r="BB56" s="270">
        <f t="shared" si="28"/>
        <v>0</v>
      </c>
      <c r="BC56" s="270">
        <f t="shared" si="28"/>
        <v>0</v>
      </c>
      <c r="BD56" s="270">
        <f t="shared" ref="BD56:BF56" si="29">BD97</f>
        <v>0</v>
      </c>
      <c r="BE56" s="270">
        <f t="shared" si="29"/>
        <v>0</v>
      </c>
      <c r="BF56" s="270">
        <f t="shared" si="29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1011.7674660019052</v>
      </c>
      <c r="AY57" s="270">
        <f t="shared" si="1"/>
        <v>0</v>
      </c>
      <c r="AZ57" s="270">
        <f t="shared" ref="AZ57:BC57" si="30">AZ98</f>
        <v>0</v>
      </c>
      <c r="BA57" s="270">
        <f t="shared" si="30"/>
        <v>0</v>
      </c>
      <c r="BB57" s="270">
        <f t="shared" si="30"/>
        <v>0</v>
      </c>
      <c r="BC57" s="270">
        <f t="shared" si="30"/>
        <v>0</v>
      </c>
      <c r="BD57" s="270">
        <f t="shared" ref="BD57:BF57" si="31">BD98</f>
        <v>0</v>
      </c>
      <c r="BE57" s="270">
        <f t="shared" si="31"/>
        <v>0</v>
      </c>
      <c r="BF57" s="270">
        <f t="shared" si="3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208.55560337725498</v>
      </c>
      <c r="AZ58" s="270">
        <f t="shared" ref="AZ58:BC58" si="32">AZ99</f>
        <v>0</v>
      </c>
      <c r="BA58" s="270">
        <f t="shared" si="32"/>
        <v>0</v>
      </c>
      <c r="BB58" s="270">
        <f t="shared" si="32"/>
        <v>0</v>
      </c>
      <c r="BC58" s="270">
        <f t="shared" si="32"/>
        <v>0</v>
      </c>
      <c r="BD58" s="270">
        <f t="shared" ref="BD58:BF58" si="33">BD99</f>
        <v>0</v>
      </c>
      <c r="BE58" s="270">
        <f t="shared" si="33"/>
        <v>0</v>
      </c>
      <c r="BF58" s="270">
        <f t="shared" si="33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1"/>
        <v>0</v>
      </c>
      <c r="AT59" s="270">
        <f t="shared" si="1"/>
        <v>0</v>
      </c>
      <c r="AU59" s="270">
        <f t="shared" si="1"/>
        <v>0</v>
      </c>
      <c r="AV59" s="270">
        <f t="shared" si="1"/>
        <v>0</v>
      </c>
      <c r="AW59" s="270">
        <f t="shared" si="1"/>
        <v>0</v>
      </c>
      <c r="AX59" s="270">
        <f t="shared" si="1"/>
        <v>0</v>
      </c>
      <c r="AY59" s="270">
        <f t="shared" si="1"/>
        <v>0</v>
      </c>
      <c r="AZ59" s="270">
        <f t="shared" ref="AZ59:BC59" si="34">AZ100</f>
        <v>298.6148747230165</v>
      </c>
      <c r="BA59" s="270">
        <f t="shared" si="34"/>
        <v>0</v>
      </c>
      <c r="BB59" s="270">
        <f t="shared" si="34"/>
        <v>0</v>
      </c>
      <c r="BC59" s="270">
        <f t="shared" si="34"/>
        <v>0</v>
      </c>
      <c r="BD59" s="270">
        <f t="shared" ref="BD59:BF59" si="35">BD100</f>
        <v>0</v>
      </c>
      <c r="BE59" s="270">
        <f t="shared" si="35"/>
        <v>0</v>
      </c>
      <c r="BF59" s="270">
        <f t="shared" si="35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1"/>
        <v>0</v>
      </c>
      <c r="AT60" s="270">
        <f t="shared" si="1"/>
        <v>0</v>
      </c>
      <c r="AU60" s="270">
        <f t="shared" si="1"/>
        <v>0</v>
      </c>
      <c r="AV60" s="270">
        <f t="shared" si="1"/>
        <v>0</v>
      </c>
      <c r="AW60" s="270">
        <f t="shared" si="1"/>
        <v>0</v>
      </c>
      <c r="AX60" s="270">
        <f t="shared" si="1"/>
        <v>0</v>
      </c>
      <c r="AY60" s="270">
        <f t="shared" si="1"/>
        <v>0</v>
      </c>
      <c r="AZ60" s="270">
        <f t="shared" ref="AZ60:BC60" si="36">AZ101</f>
        <v>0</v>
      </c>
      <c r="BA60" s="270">
        <f t="shared" si="36"/>
        <v>0</v>
      </c>
      <c r="BB60" s="270">
        <f t="shared" si="36"/>
        <v>0</v>
      </c>
      <c r="BC60" s="270">
        <f t="shared" si="36"/>
        <v>0</v>
      </c>
      <c r="BD60" s="270">
        <f t="shared" ref="BD60:BF60" si="37">BD101</f>
        <v>0</v>
      </c>
      <c r="BE60" s="270">
        <f t="shared" si="37"/>
        <v>1000.0000000000001</v>
      </c>
      <c r="BF60" s="270">
        <f t="shared" si="37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1"/>
        <v>0</v>
      </c>
      <c r="AT61" s="270">
        <f t="shared" si="1"/>
        <v>0</v>
      </c>
      <c r="AU61" s="270">
        <f t="shared" si="1"/>
        <v>0</v>
      </c>
      <c r="AV61" s="270">
        <f t="shared" si="1"/>
        <v>0</v>
      </c>
      <c r="AW61" s="270">
        <f t="shared" si="1"/>
        <v>0</v>
      </c>
      <c r="AX61" s="270">
        <f t="shared" si="1"/>
        <v>0</v>
      </c>
      <c r="AY61" s="270">
        <f t="shared" si="1"/>
        <v>0</v>
      </c>
      <c r="AZ61" s="270">
        <f t="shared" ref="AZ61:BC61" si="38">AZ102</f>
        <v>0</v>
      </c>
      <c r="BA61" s="270">
        <f t="shared" si="38"/>
        <v>0</v>
      </c>
      <c r="BB61" s="270">
        <f t="shared" si="38"/>
        <v>0</v>
      </c>
      <c r="BC61" s="270">
        <f t="shared" si="38"/>
        <v>0</v>
      </c>
      <c r="BD61" s="270">
        <f t="shared" ref="BD61:BF61" si="39">BD102</f>
        <v>0</v>
      </c>
      <c r="BE61" s="270">
        <f t="shared" si="39"/>
        <v>0</v>
      </c>
      <c r="BF61" s="270">
        <f t="shared" si="39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1"/>
        <v>0</v>
      </c>
      <c r="AT62" s="270">
        <f t="shared" si="1"/>
        <v>0</v>
      </c>
      <c r="AU62" s="270">
        <f t="shared" si="1"/>
        <v>0</v>
      </c>
      <c r="AV62" s="270">
        <f t="shared" si="1"/>
        <v>0</v>
      </c>
      <c r="AW62" s="270">
        <f t="shared" si="1"/>
        <v>0</v>
      </c>
      <c r="AX62" s="270">
        <f t="shared" si="1"/>
        <v>0</v>
      </c>
      <c r="AY62" s="270">
        <f t="shared" si="1"/>
        <v>0</v>
      </c>
      <c r="AZ62" s="270">
        <f t="shared" ref="AZ62:BC62" si="40">AZ103</f>
        <v>0</v>
      </c>
      <c r="BA62" s="270">
        <f t="shared" si="40"/>
        <v>208.55560337725498</v>
      </c>
      <c r="BB62" s="270">
        <f t="shared" si="40"/>
        <v>0</v>
      </c>
      <c r="BC62" s="270">
        <f t="shared" si="40"/>
        <v>0</v>
      </c>
      <c r="BD62" s="270">
        <f t="shared" ref="BD62:BF62" si="41">BD103</f>
        <v>0</v>
      </c>
      <c r="BE62" s="270">
        <f t="shared" si="41"/>
        <v>0</v>
      </c>
      <c r="BF62" s="270">
        <f t="shared" si="41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1"/>
        <v>0</v>
      </c>
      <c r="AT63" s="270">
        <f t="shared" si="1"/>
        <v>0</v>
      </c>
      <c r="AU63" s="270">
        <f t="shared" si="1"/>
        <v>0</v>
      </c>
      <c r="AV63" s="270">
        <f t="shared" si="1"/>
        <v>0</v>
      </c>
      <c r="AW63" s="270">
        <f t="shared" si="1"/>
        <v>0</v>
      </c>
      <c r="AX63" s="270">
        <f t="shared" si="1"/>
        <v>0</v>
      </c>
      <c r="AY63" s="270">
        <f t="shared" si="1"/>
        <v>0</v>
      </c>
      <c r="AZ63" s="270">
        <f t="shared" ref="AZ63:BC63" si="42">AZ104</f>
        <v>0</v>
      </c>
      <c r="BA63" s="270">
        <f t="shared" si="42"/>
        <v>0</v>
      </c>
      <c r="BB63" s="270">
        <f t="shared" si="42"/>
        <v>298.6148747230165</v>
      </c>
      <c r="BC63" s="270">
        <f t="shared" si="42"/>
        <v>0</v>
      </c>
      <c r="BD63" s="270">
        <f t="shared" ref="BD63:BF63" si="43">BD104</f>
        <v>0</v>
      </c>
      <c r="BE63" s="270">
        <f t="shared" si="43"/>
        <v>0</v>
      </c>
      <c r="BF63" s="270">
        <f t="shared" si="43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1"/>
        <v>0</v>
      </c>
      <c r="AT64" s="270">
        <f t="shared" si="1"/>
        <v>0</v>
      </c>
      <c r="AU64" s="270">
        <f t="shared" si="1"/>
        <v>0</v>
      </c>
      <c r="AV64" s="270">
        <f t="shared" si="1"/>
        <v>0</v>
      </c>
      <c r="AW64" s="270">
        <f t="shared" si="1"/>
        <v>0</v>
      </c>
      <c r="AX64" s="270">
        <f t="shared" si="1"/>
        <v>0</v>
      </c>
      <c r="AY64" s="270">
        <f t="shared" si="1"/>
        <v>0</v>
      </c>
      <c r="AZ64" s="270">
        <f t="shared" ref="AZ64:BC64" si="44">AZ105</f>
        <v>0</v>
      </c>
      <c r="BA64" s="270">
        <f t="shared" si="44"/>
        <v>0</v>
      </c>
      <c r="BB64" s="270">
        <f t="shared" si="44"/>
        <v>0</v>
      </c>
      <c r="BC64" s="270">
        <f t="shared" si="44"/>
        <v>0</v>
      </c>
      <c r="BD64" s="270">
        <f t="shared" ref="BD64:BD68" si="45">BD105</f>
        <v>0</v>
      </c>
      <c r="BE64" s="270">
        <f t="shared" ref="BE64:BF64" si="46">BE105</f>
        <v>111.00813284002646</v>
      </c>
      <c r="BF64" s="270">
        <f t="shared" si="46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1"/>
        <v>0</v>
      </c>
      <c r="AT65" s="270">
        <f t="shared" si="1"/>
        <v>0</v>
      </c>
      <c r="AU65" s="270">
        <f t="shared" si="1"/>
        <v>0</v>
      </c>
      <c r="AV65" s="270">
        <f t="shared" si="1"/>
        <v>0</v>
      </c>
      <c r="AW65" s="270">
        <f t="shared" si="1"/>
        <v>0</v>
      </c>
      <c r="AX65" s="270">
        <f t="shared" si="1"/>
        <v>0</v>
      </c>
      <c r="AY65" s="270">
        <f t="shared" si="1"/>
        <v>0</v>
      </c>
      <c r="AZ65" s="270">
        <f t="shared" ref="AZ65:BC65" si="47">AZ106</f>
        <v>0</v>
      </c>
      <c r="BA65" s="270">
        <f t="shared" si="47"/>
        <v>0</v>
      </c>
      <c r="BB65" s="270">
        <f t="shared" si="47"/>
        <v>0</v>
      </c>
      <c r="BC65" s="270">
        <f t="shared" si="47"/>
        <v>0</v>
      </c>
      <c r="BD65" s="270">
        <f t="shared" si="45"/>
        <v>0</v>
      </c>
      <c r="BE65" s="270">
        <f t="shared" ref="BE65:BF65" si="48">BE106</f>
        <v>0</v>
      </c>
      <c r="BF65" s="270">
        <f t="shared" si="48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1"/>
        <v>0</v>
      </c>
      <c r="AT66" s="270">
        <f t="shared" si="1"/>
        <v>0</v>
      </c>
      <c r="AU66" s="270">
        <f t="shared" si="1"/>
        <v>0</v>
      </c>
      <c r="AV66" s="270">
        <f t="shared" si="1"/>
        <v>0</v>
      </c>
      <c r="AW66" s="270">
        <f t="shared" si="1"/>
        <v>0</v>
      </c>
      <c r="AX66" s="270">
        <f t="shared" si="1"/>
        <v>0</v>
      </c>
      <c r="AY66" s="270">
        <f t="shared" si="1"/>
        <v>0</v>
      </c>
      <c r="AZ66" s="270">
        <f t="shared" ref="AZ66:BC66" si="49">AZ107</f>
        <v>0</v>
      </c>
      <c r="BA66" s="270">
        <f t="shared" si="49"/>
        <v>0</v>
      </c>
      <c r="BB66" s="270">
        <f t="shared" si="49"/>
        <v>0</v>
      </c>
      <c r="BC66" s="270">
        <f t="shared" si="49"/>
        <v>0</v>
      </c>
      <c r="BD66" s="270">
        <f t="shared" si="45"/>
        <v>0</v>
      </c>
      <c r="BE66" s="270">
        <f t="shared" ref="BE66:BF66" si="50">BE107</f>
        <v>0</v>
      </c>
      <c r="BF66" s="270">
        <f t="shared" si="50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1"/>
        <v>0</v>
      </c>
      <c r="AT67" s="270">
        <f t="shared" si="1"/>
        <v>0</v>
      </c>
      <c r="AU67" s="270">
        <f t="shared" si="1"/>
        <v>0</v>
      </c>
      <c r="AV67" s="270">
        <f t="shared" si="1"/>
        <v>0</v>
      </c>
      <c r="AW67" s="270">
        <f t="shared" si="1"/>
        <v>0</v>
      </c>
      <c r="AX67" s="270">
        <f t="shared" si="1"/>
        <v>0</v>
      </c>
      <c r="AY67" s="270">
        <f t="shared" ref="AY67:BC67" si="51">AY108</f>
        <v>0</v>
      </c>
      <c r="AZ67" s="270">
        <f t="shared" si="51"/>
        <v>0</v>
      </c>
      <c r="BA67" s="270">
        <f t="shared" si="51"/>
        <v>0</v>
      </c>
      <c r="BB67" s="270">
        <f t="shared" si="51"/>
        <v>0</v>
      </c>
      <c r="BC67" s="270">
        <f t="shared" si="51"/>
        <v>0</v>
      </c>
      <c r="BD67" s="270">
        <f t="shared" si="45"/>
        <v>0</v>
      </c>
      <c r="BE67" s="270">
        <f t="shared" ref="BE67:BF67" si="52">BE108</f>
        <v>203.27980063725872</v>
      </c>
      <c r="BF67" s="270">
        <f t="shared" si="5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si="1"/>
        <v>0</v>
      </c>
      <c r="AT68" s="270">
        <f t="shared" si="1"/>
        <v>0</v>
      </c>
      <c r="AU68" s="270">
        <f t="shared" si="1"/>
        <v>0</v>
      </c>
      <c r="AV68" s="270">
        <f t="shared" si="1"/>
        <v>0</v>
      </c>
      <c r="AW68" s="270">
        <f t="shared" si="1"/>
        <v>0</v>
      </c>
      <c r="AX68" s="270">
        <f t="shared" si="1"/>
        <v>0</v>
      </c>
      <c r="AY68" s="270">
        <f t="shared" ref="AY68:BC68" si="53">AY109</f>
        <v>0</v>
      </c>
      <c r="AZ68" s="270">
        <f t="shared" si="53"/>
        <v>0</v>
      </c>
      <c r="BA68" s="270">
        <f t="shared" si="53"/>
        <v>0</v>
      </c>
      <c r="BB68" s="270">
        <f t="shared" si="53"/>
        <v>0</v>
      </c>
      <c r="BC68" s="270">
        <f t="shared" si="53"/>
        <v>46.0998047134687</v>
      </c>
      <c r="BD68" s="270">
        <f t="shared" si="45"/>
        <v>0</v>
      </c>
      <c r="BE68" s="270">
        <f t="shared" ref="BE68:BF68" si="54">BE109</f>
        <v>0</v>
      </c>
      <c r="BF68" s="270">
        <f t="shared" si="54"/>
        <v>0</v>
      </c>
    </row>
    <row r="69" spans="43:58" ht="16" x14ac:dyDescent="0.2">
      <c r="AQ69" s="239" t="s">
        <v>619</v>
      </c>
      <c r="AR69" s="270"/>
      <c r="AS69" s="270"/>
      <c r="AT69" s="270"/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</row>
    <row r="70" spans="43:58" x14ac:dyDescent="0.2">
      <c r="AQ70" s="199" t="s">
        <v>488</v>
      </c>
      <c r="AR70" s="270">
        <f t="shared" ref="AR70:AX71" si="55">AR111</f>
        <v>0</v>
      </c>
      <c r="AS70" s="270">
        <f t="shared" si="55"/>
        <v>0</v>
      </c>
      <c r="AT70" s="270">
        <f t="shared" si="55"/>
        <v>0</v>
      </c>
      <c r="AU70" s="270">
        <f t="shared" si="55"/>
        <v>0</v>
      </c>
      <c r="AV70" s="270">
        <f t="shared" si="55"/>
        <v>0</v>
      </c>
      <c r="AW70" s="270">
        <f t="shared" si="55"/>
        <v>0</v>
      </c>
      <c r="AX70" s="270">
        <f t="shared" si="55"/>
        <v>0</v>
      </c>
      <c r="AY70" s="270">
        <f t="shared" ref="AY70:BC70" si="56">AY111</f>
        <v>0</v>
      </c>
      <c r="AZ70" s="270">
        <f t="shared" si="56"/>
        <v>0</v>
      </c>
      <c r="BA70" s="270">
        <f t="shared" si="56"/>
        <v>0</v>
      </c>
      <c r="BB70" s="270">
        <f t="shared" si="56"/>
        <v>0</v>
      </c>
      <c r="BC70" s="270">
        <f t="shared" si="56"/>
        <v>0</v>
      </c>
      <c r="BD70" s="270">
        <f>BD111</f>
        <v>0</v>
      </c>
      <c r="BE70" s="270">
        <f t="shared" ref="BE70:BF70" si="57">BE111</f>
        <v>0</v>
      </c>
      <c r="BF70" s="270">
        <f t="shared" si="57"/>
        <v>0</v>
      </c>
    </row>
    <row r="71" spans="43:58" x14ac:dyDescent="0.2">
      <c r="AQ71" s="197" t="s">
        <v>490</v>
      </c>
      <c r="AR71" s="270">
        <f t="shared" si="55"/>
        <v>0</v>
      </c>
      <c r="AS71" s="270">
        <f t="shared" si="55"/>
        <v>0</v>
      </c>
      <c r="AT71" s="270">
        <f t="shared" si="55"/>
        <v>0</v>
      </c>
      <c r="AU71" s="270">
        <f t="shared" si="55"/>
        <v>0</v>
      </c>
      <c r="AV71" s="270">
        <f t="shared" si="55"/>
        <v>0</v>
      </c>
      <c r="AW71" s="270">
        <f t="shared" si="55"/>
        <v>0</v>
      </c>
      <c r="AX71" s="270">
        <f t="shared" si="55"/>
        <v>0</v>
      </c>
      <c r="AY71" s="270">
        <f t="shared" ref="AY71:BC71" si="58">AY112</f>
        <v>0</v>
      </c>
      <c r="AZ71" s="270">
        <f t="shared" si="58"/>
        <v>0</v>
      </c>
      <c r="BA71" s="270">
        <f t="shared" si="58"/>
        <v>0</v>
      </c>
      <c r="BB71" s="270">
        <f t="shared" si="58"/>
        <v>0</v>
      </c>
      <c r="BC71" s="270">
        <f t="shared" si="58"/>
        <v>0</v>
      </c>
      <c r="BD71" s="270">
        <f>BD112</f>
        <v>0</v>
      </c>
      <c r="BE71" s="270">
        <f t="shared" ref="BE71:BF71" si="59">BE112</f>
        <v>0</v>
      </c>
      <c r="BF71" s="270">
        <f t="shared" si="59"/>
        <v>0</v>
      </c>
    </row>
    <row r="72" spans="43:58" x14ac:dyDescent="0.2">
      <c r="AQ72" s="199" t="s">
        <v>582</v>
      </c>
      <c r="AR72" s="270">
        <f t="shared" ref="AR72:AR77" si="60">AR113</f>
        <v>0</v>
      </c>
      <c r="AS72" s="270">
        <f t="shared" ref="AS72:BC72" si="61">AS113</f>
        <v>0</v>
      </c>
      <c r="AT72" s="270">
        <f t="shared" si="61"/>
        <v>0</v>
      </c>
      <c r="AU72" s="270">
        <f t="shared" si="61"/>
        <v>0</v>
      </c>
      <c r="AV72" s="270">
        <f t="shared" si="61"/>
        <v>0</v>
      </c>
      <c r="AW72" s="270">
        <f t="shared" si="61"/>
        <v>0</v>
      </c>
      <c r="AX72" s="270">
        <f t="shared" si="61"/>
        <v>0</v>
      </c>
      <c r="AY72" s="270">
        <f t="shared" si="61"/>
        <v>0</v>
      </c>
      <c r="AZ72" s="270">
        <f t="shared" si="61"/>
        <v>0</v>
      </c>
      <c r="BA72" s="270">
        <f t="shared" si="61"/>
        <v>0</v>
      </c>
      <c r="BB72" s="270">
        <f t="shared" si="61"/>
        <v>0</v>
      </c>
      <c r="BC72" s="270">
        <f t="shared" si="61"/>
        <v>0</v>
      </c>
      <c r="BD72" s="270"/>
      <c r="BE72" s="270">
        <f t="shared" ref="BE72:BF72" si="62">BE113</f>
        <v>0</v>
      </c>
      <c r="BF72" s="270">
        <f t="shared" si="62"/>
        <v>0</v>
      </c>
    </row>
    <row r="73" spans="43:58" x14ac:dyDescent="0.2">
      <c r="AQ73" s="199" t="s">
        <v>584</v>
      </c>
      <c r="AR73" s="270">
        <f t="shared" si="60"/>
        <v>0</v>
      </c>
      <c r="AS73" s="270">
        <f t="shared" ref="AS73:AX77" si="63">AS114</f>
        <v>0</v>
      </c>
      <c r="AT73" s="270">
        <f t="shared" si="63"/>
        <v>0</v>
      </c>
      <c r="AU73" s="270">
        <f t="shared" si="63"/>
        <v>0</v>
      </c>
      <c r="AV73" s="270">
        <f t="shared" si="63"/>
        <v>0</v>
      </c>
      <c r="AW73" s="270">
        <f t="shared" si="63"/>
        <v>0</v>
      </c>
      <c r="AX73" s="270">
        <f t="shared" si="63"/>
        <v>0</v>
      </c>
      <c r="AY73" s="270">
        <f t="shared" ref="AY73:BC73" si="64">AY114</f>
        <v>0</v>
      </c>
      <c r="AZ73" s="270">
        <f t="shared" si="64"/>
        <v>0</v>
      </c>
      <c r="BA73" s="270">
        <f t="shared" si="64"/>
        <v>0</v>
      </c>
      <c r="BB73" s="270">
        <f t="shared" si="64"/>
        <v>0</v>
      </c>
      <c r="BC73" s="270">
        <f t="shared" si="64"/>
        <v>0</v>
      </c>
      <c r="BD73" s="270">
        <f t="shared" ref="BD73" si="65">BD113</f>
        <v>46.099804713468714</v>
      </c>
      <c r="BE73" s="270">
        <f t="shared" ref="BE73:BF73" si="66">BE114</f>
        <v>0</v>
      </c>
      <c r="BF73" s="270">
        <f t="shared" si="66"/>
        <v>32.269863299428096</v>
      </c>
    </row>
    <row r="74" spans="43:58" x14ac:dyDescent="0.2">
      <c r="AQ74" s="199" t="s">
        <v>512</v>
      </c>
      <c r="AR74" s="270">
        <f t="shared" si="60"/>
        <v>0</v>
      </c>
      <c r="AS74" s="270">
        <f t="shared" si="63"/>
        <v>0</v>
      </c>
      <c r="AT74" s="270">
        <f t="shared" si="63"/>
        <v>0</v>
      </c>
      <c r="AU74" s="270">
        <f t="shared" si="63"/>
        <v>0</v>
      </c>
      <c r="AV74" s="270">
        <f t="shared" si="63"/>
        <v>0</v>
      </c>
      <c r="AW74" s="270">
        <f t="shared" si="63"/>
        <v>0</v>
      </c>
      <c r="AX74" s="270">
        <f t="shared" si="63"/>
        <v>0</v>
      </c>
      <c r="AY74" s="270">
        <f t="shared" ref="AY74:BC74" si="67">AY115</f>
        <v>0</v>
      </c>
      <c r="AZ74" s="270">
        <f t="shared" si="67"/>
        <v>0</v>
      </c>
      <c r="BA74" s="270">
        <f t="shared" si="67"/>
        <v>0</v>
      </c>
      <c r="BB74" s="270">
        <f t="shared" si="67"/>
        <v>0</v>
      </c>
      <c r="BC74" s="270">
        <f t="shared" si="67"/>
        <v>0</v>
      </c>
      <c r="BD74" s="270">
        <f t="shared" ref="BD74" si="68">BD114</f>
        <v>0</v>
      </c>
      <c r="BE74" s="270">
        <f t="shared" ref="BE74:BF74" si="69">BE115</f>
        <v>0</v>
      </c>
      <c r="BF74" s="270">
        <f t="shared" si="69"/>
        <v>1314.2879334772852</v>
      </c>
    </row>
    <row r="75" spans="43:58" x14ac:dyDescent="0.2">
      <c r="AQ75" s="199" t="s">
        <v>513</v>
      </c>
      <c r="AR75" s="270">
        <f t="shared" si="60"/>
        <v>0</v>
      </c>
      <c r="AS75" s="270">
        <f t="shared" si="63"/>
        <v>0</v>
      </c>
      <c r="AT75" s="270">
        <f t="shared" si="63"/>
        <v>0</v>
      </c>
      <c r="AU75" s="270">
        <f t="shared" si="63"/>
        <v>0</v>
      </c>
      <c r="AV75" s="270">
        <f t="shared" si="63"/>
        <v>0</v>
      </c>
      <c r="AW75" s="270">
        <f t="shared" si="63"/>
        <v>0</v>
      </c>
      <c r="AX75" s="270">
        <f t="shared" si="63"/>
        <v>0</v>
      </c>
      <c r="AY75" s="270">
        <f t="shared" ref="AY75:BC75" si="70">AY116</f>
        <v>0</v>
      </c>
      <c r="AZ75" s="270">
        <f t="shared" si="70"/>
        <v>0</v>
      </c>
      <c r="BA75" s="270">
        <f t="shared" si="70"/>
        <v>0</v>
      </c>
      <c r="BB75" s="270">
        <f t="shared" si="70"/>
        <v>0</v>
      </c>
      <c r="BC75" s="270">
        <f t="shared" si="70"/>
        <v>0</v>
      </c>
      <c r="BD75" s="270">
        <f t="shared" ref="BD75" si="71">BD115</f>
        <v>0</v>
      </c>
      <c r="BE75" s="270">
        <f t="shared" ref="BE75:BF75" si="72">BE116</f>
        <v>0</v>
      </c>
      <c r="BF75" s="270">
        <f t="shared" si="72"/>
        <v>0</v>
      </c>
    </row>
    <row r="76" spans="43:58" x14ac:dyDescent="0.2">
      <c r="AQ76" s="199" t="s">
        <v>514</v>
      </c>
      <c r="AR76" s="270">
        <f t="shared" si="60"/>
        <v>0</v>
      </c>
      <c r="AS76" s="270">
        <f t="shared" si="63"/>
        <v>0</v>
      </c>
      <c r="AT76" s="270">
        <f t="shared" si="63"/>
        <v>0</v>
      </c>
      <c r="AU76" s="270">
        <f t="shared" si="63"/>
        <v>0</v>
      </c>
      <c r="AV76" s="270">
        <f t="shared" si="63"/>
        <v>0</v>
      </c>
      <c r="AW76" s="270">
        <f t="shared" si="63"/>
        <v>0</v>
      </c>
      <c r="AX76" s="270">
        <f t="shared" si="63"/>
        <v>0</v>
      </c>
      <c r="AY76" s="270">
        <f t="shared" ref="AY76:BC76" si="73">AY117</f>
        <v>0</v>
      </c>
      <c r="AZ76" s="270">
        <f t="shared" si="73"/>
        <v>0</v>
      </c>
      <c r="BA76" s="270">
        <f t="shared" si="73"/>
        <v>0</v>
      </c>
      <c r="BB76" s="270">
        <f t="shared" si="73"/>
        <v>0</v>
      </c>
      <c r="BC76" s="270">
        <f t="shared" si="73"/>
        <v>0</v>
      </c>
      <c r="BD76" s="270">
        <f t="shared" ref="BD76" si="74">BD116</f>
        <v>0</v>
      </c>
      <c r="BE76" s="270">
        <f t="shared" ref="BE76:BF76" si="75">BE117</f>
        <v>0</v>
      </c>
      <c r="BF76" s="270">
        <f t="shared" si="75"/>
        <v>0</v>
      </c>
    </row>
    <row r="77" spans="43:58" x14ac:dyDescent="0.2">
      <c r="AQ77" s="199" t="s">
        <v>524</v>
      </c>
      <c r="AR77" s="270">
        <f t="shared" si="60"/>
        <v>0</v>
      </c>
      <c r="AS77" s="270">
        <f t="shared" si="63"/>
        <v>0</v>
      </c>
      <c r="AT77" s="270">
        <f t="shared" si="63"/>
        <v>0</v>
      </c>
      <c r="AU77" s="270">
        <f t="shared" si="63"/>
        <v>0</v>
      </c>
      <c r="AV77" s="270">
        <f t="shared" si="63"/>
        <v>0</v>
      </c>
      <c r="AW77" s="270">
        <f t="shared" si="63"/>
        <v>0</v>
      </c>
      <c r="AX77" s="270">
        <f t="shared" si="63"/>
        <v>0</v>
      </c>
      <c r="AY77" s="270">
        <f t="shared" ref="AY77:BC77" si="76">AY118</f>
        <v>0</v>
      </c>
      <c r="AZ77" s="270">
        <f t="shared" si="76"/>
        <v>0</v>
      </c>
      <c r="BA77" s="270">
        <f t="shared" si="76"/>
        <v>0</v>
      </c>
      <c r="BB77" s="270">
        <f t="shared" si="76"/>
        <v>0</v>
      </c>
      <c r="BC77" s="270">
        <f t="shared" si="76"/>
        <v>0</v>
      </c>
      <c r="BD77" s="270">
        <f t="shared" ref="BD77" si="77">BD117</f>
        <v>0</v>
      </c>
      <c r="BE77" s="270">
        <f t="shared" ref="BE77:BF77" si="78">BE118</f>
        <v>0</v>
      </c>
      <c r="BF77" s="270">
        <f t="shared" si="78"/>
        <v>0</v>
      </c>
    </row>
    <row r="78" spans="43:58" x14ac:dyDescent="0.2">
      <c r="AQ78" s="199"/>
      <c r="AR78" s="450" t="s">
        <v>539</v>
      </c>
      <c r="AS78" s="450"/>
      <c r="AT78" s="450"/>
      <c r="AU78" s="450"/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</row>
    <row r="82" spans="33:66" ht="112" x14ac:dyDescent="0.2">
      <c r="AG82" s="197"/>
      <c r="AH82" s="197"/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Ore_to_PI!AN42</f>
        <v>1011.7674660019052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 t="shared" ref="BG83:BG118" si="79">SUM(AR83:BF83)</f>
        <v>1011.7674660019052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Ore_to_PI!U126</f>
        <v>208.55560337725498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 t="shared" si="79"/>
        <v>208.55560337725498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Ore_to_PI!U206</f>
        <v>298.6148747230165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si="79"/>
        <v>298.6148747230165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Ore_to_PI!U72</f>
        <v>30.150427560669065</v>
      </c>
      <c r="AS86" s="219">
        <f>Ore_to_PI!U163</f>
        <v>9.0394269236644703E-2</v>
      </c>
      <c r="AT86" s="219">
        <f>Ore_to_PI!U236</f>
        <v>7.4647476716394348</v>
      </c>
      <c r="AU86" s="219"/>
      <c r="AV86" s="219"/>
      <c r="AW86" s="219"/>
      <c r="AX86" s="219"/>
      <c r="AY86" s="219"/>
      <c r="AZ86" s="219"/>
      <c r="BA86" s="219">
        <f>Ore_to_PI!CA140</f>
        <v>644.2421909044931</v>
      </c>
      <c r="BB86" s="219">
        <f>Ore_to_PI!CA232</f>
        <v>3494.7460959815226</v>
      </c>
      <c r="BC86" s="219"/>
      <c r="BD86" s="219"/>
      <c r="BE86" s="219"/>
      <c r="BF86" s="229">
        <f>Ore_to_PI!EL140</f>
        <v>2852.0490535886452</v>
      </c>
      <c r="BG86" s="238">
        <f t="shared" si="79"/>
        <v>7028.7429099762066</v>
      </c>
      <c r="BK86" s="197" t="s">
        <v>422</v>
      </c>
      <c r="BL86" s="230"/>
      <c r="BM86" s="230"/>
      <c r="BN86" s="238">
        <f t="shared" ref="BN86:BN90" si="80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Ore_to_PI!CA152</f>
        <v>37.630021206323519</v>
      </c>
      <c r="BB87" s="219">
        <f>Ore_to_PI!CA244</f>
        <v>204.127223518021</v>
      </c>
      <c r="BC87" s="219"/>
      <c r="BD87" s="219"/>
      <c r="BE87" s="219"/>
      <c r="BF87" s="219">
        <f>Ore_to_PI!EL114</f>
        <v>44.927545117863247</v>
      </c>
      <c r="BG87" s="238">
        <f t="shared" si="79"/>
        <v>286.68478984220775</v>
      </c>
      <c r="BK87" s="197" t="s">
        <v>444</v>
      </c>
      <c r="BL87" s="230"/>
      <c r="BM87" s="230"/>
      <c r="BN87" s="238">
        <f t="shared" si="80"/>
        <v>0</v>
      </c>
    </row>
    <row r="88" spans="33:66" x14ac:dyDescent="0.2">
      <c r="AG88" s="197"/>
      <c r="AH88" s="197"/>
      <c r="AQ88" s="197" t="s">
        <v>533</v>
      </c>
      <c r="AR88" s="219">
        <f>Ore_to_PI!U59</f>
        <v>2.0694989883749622</v>
      </c>
      <c r="AS88" s="219">
        <f>Ore_to_PI!U140</f>
        <v>5.671161105764883E-3</v>
      </c>
      <c r="AT88" s="219">
        <f>Ore_to_PI!U222</f>
        <v>0.51237375403207552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79"/>
        <v>2.5875439035128025</v>
      </c>
      <c r="BK88" s="197" t="s">
        <v>533</v>
      </c>
      <c r="BL88" s="230"/>
      <c r="BM88" s="230"/>
      <c r="BN88" s="238">
        <f t="shared" si="80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Ore_to_PI!U151</f>
        <v>5.1714158616864253E-4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79"/>
        <v>5.1714158616864253E-4</v>
      </c>
      <c r="BK89" s="197" t="s">
        <v>534</v>
      </c>
      <c r="BL89" s="230"/>
      <c r="BM89" s="230"/>
      <c r="BN89" s="238">
        <f t="shared" si="80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Ore_to_PI!EL101</f>
        <v>4.914718171980665</v>
      </c>
      <c r="BG90" s="238">
        <f t="shared" si="79"/>
        <v>4.914718171980665</v>
      </c>
      <c r="BK90" s="197" t="s">
        <v>478</v>
      </c>
      <c r="BL90" s="230"/>
      <c r="BM90" s="230"/>
      <c r="BN90" s="238">
        <f t="shared" si="80"/>
        <v>0</v>
      </c>
    </row>
    <row r="91" spans="33:66" x14ac:dyDescent="0.2">
      <c r="AG91" s="232"/>
      <c r="AH91" s="232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79"/>
        <v>0</v>
      </c>
      <c r="BK91" s="197" t="s">
        <v>526</v>
      </c>
      <c r="BL91" s="230"/>
      <c r="BM91" s="230"/>
      <c r="BN91" s="238">
        <f t="shared" ref="BN91:BN97" si="81">SUM(BL91:BM91)</f>
        <v>0</v>
      </c>
    </row>
    <row r="92" spans="33:66" ht="16" x14ac:dyDescent="0.2">
      <c r="AG92" s="198"/>
      <c r="AH92" s="198"/>
      <c r="AQ92" s="198" t="s">
        <v>509</v>
      </c>
      <c r="AR92" s="219"/>
      <c r="AS92" s="219"/>
      <c r="AT92" s="219"/>
      <c r="AU92" s="219">
        <f>Ore_to_PI!AN42</f>
        <v>1011.7674660019052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79"/>
        <v>1011.7674660019052</v>
      </c>
      <c r="BK92" s="198" t="s">
        <v>509</v>
      </c>
      <c r="BL92" s="230"/>
      <c r="BM92" s="230"/>
      <c r="BN92" s="238">
        <f t="shared" si="81"/>
        <v>0</v>
      </c>
    </row>
    <row r="93" spans="33:66" x14ac:dyDescent="0.2">
      <c r="AG93" s="199"/>
      <c r="AH93" s="199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79"/>
        <v>0</v>
      </c>
      <c r="BK93" s="197" t="s">
        <v>476</v>
      </c>
      <c r="BL93" s="230"/>
      <c r="BM93" s="230">
        <f>Ore_to_PI!AN63</f>
        <v>32.219926549044033</v>
      </c>
      <c r="BN93" s="238">
        <f t="shared" si="81"/>
        <v>32.219926549044033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Ore_to_PI!AO126</f>
        <v>208.55560337725498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79"/>
        <v>208.55560337725498</v>
      </c>
      <c r="BK94" s="198" t="s">
        <v>479</v>
      </c>
      <c r="BL94" s="230"/>
      <c r="BM94" s="234"/>
      <c r="BN94" s="238">
        <f t="shared" si="81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79"/>
        <v>0</v>
      </c>
      <c r="BK95" s="197" t="s">
        <v>504</v>
      </c>
      <c r="BL95" s="230"/>
      <c r="BM95" s="230">
        <f>Ore_to_PI!AO142</f>
        <v>9.658257192857822E-2</v>
      </c>
      <c r="BN95" s="238">
        <f t="shared" si="81"/>
        <v>9.658257192857822E-2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Ore_to_PI!AO206</f>
        <v>298.6148747230165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79"/>
        <v>298.6148747230165</v>
      </c>
      <c r="BK96" s="199" t="s">
        <v>497</v>
      </c>
      <c r="BL96" s="230"/>
      <c r="BM96" s="230"/>
      <c r="BN96" s="238">
        <f t="shared" si="81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79"/>
        <v>0</v>
      </c>
      <c r="BK97" s="197" t="s">
        <v>483</v>
      </c>
      <c r="BL97" s="230"/>
      <c r="BM97" s="230">
        <f>Ore_to_PI!AO227</f>
        <v>7.9771214256715108</v>
      </c>
      <c r="BN97" s="23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Ore_to_PI!BG42</f>
        <v>1011.7674660019052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79"/>
        <v>1011.7674660019052</v>
      </c>
      <c r="BK98" s="198" t="s">
        <v>508</v>
      </c>
      <c r="BL98" s="230"/>
      <c r="BM98" s="230"/>
      <c r="BN98" s="238">
        <f t="shared" ref="BN98:BN118" si="82">SUM(BL98:BM98)</f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Ore_to_PI!BH126</f>
        <v>208.55560337725498</v>
      </c>
      <c r="AZ99" s="219"/>
      <c r="BA99" s="219"/>
      <c r="BB99" s="219"/>
      <c r="BC99" s="219"/>
      <c r="BD99" s="219"/>
      <c r="BE99" s="219"/>
      <c r="BF99" s="219"/>
      <c r="BG99" s="238">
        <f t="shared" si="79"/>
        <v>208.55560337725498</v>
      </c>
      <c r="BK99" s="198" t="s">
        <v>503</v>
      </c>
      <c r="BL99" s="230"/>
      <c r="BM99" s="230"/>
      <c r="BN99" s="238">
        <f t="shared" si="82"/>
        <v>0</v>
      </c>
    </row>
    <row r="100" spans="33:71" ht="16" x14ac:dyDescent="0.2">
      <c r="AG100" s="239"/>
      <c r="AH100" s="23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Ore_to_PI!BH206</f>
        <v>298.6148747230165</v>
      </c>
      <c r="BA100" s="219"/>
      <c r="BB100" s="219"/>
      <c r="BC100" s="219"/>
      <c r="BD100" s="219"/>
      <c r="BE100" s="219"/>
      <c r="BF100" s="219"/>
      <c r="BG100" s="238">
        <f t="shared" si="79"/>
        <v>298.6148747230165</v>
      </c>
      <c r="BK100" s="198" t="s">
        <v>500</v>
      </c>
      <c r="BL100" s="230"/>
      <c r="BM100" s="230"/>
      <c r="BN100" s="238">
        <f t="shared" si="82"/>
        <v>0</v>
      </c>
    </row>
    <row r="101" spans="33:71" ht="16" x14ac:dyDescent="0.2">
      <c r="AG101" s="199"/>
      <c r="AH101" s="19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Ore_to_PI!BZ42</f>
        <v>1000.0000000000001</v>
      </c>
      <c r="BF101" s="219"/>
      <c r="BG101" s="238">
        <f t="shared" si="79"/>
        <v>1000.0000000000001</v>
      </c>
      <c r="BH101" s="25"/>
      <c r="BI101" s="25"/>
      <c r="BK101" s="198" t="s">
        <v>506</v>
      </c>
      <c r="BL101" s="230"/>
      <c r="BM101" s="230"/>
      <c r="BN101" s="238">
        <f t="shared" si="8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79"/>
        <v>0</v>
      </c>
      <c r="BK102" s="199" t="s">
        <v>505</v>
      </c>
      <c r="BL102" s="230"/>
      <c r="BM102" s="230">
        <f>Beneficiation_Iron_waste</f>
        <v>11.767466001905108</v>
      </c>
      <c r="BN102" s="238">
        <f t="shared" si="82"/>
        <v>11.767466001905108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Ore_to_PI!CA126</f>
        <v>208.55560337725498</v>
      </c>
      <c r="BB103" s="219"/>
      <c r="BC103" s="219"/>
      <c r="BD103" s="219"/>
      <c r="BE103" s="219"/>
      <c r="BF103" s="219"/>
      <c r="BG103" s="238">
        <f t="shared" si="79"/>
        <v>208.55560337725498</v>
      </c>
      <c r="BK103" s="199" t="s">
        <v>491</v>
      </c>
      <c r="BL103" s="230"/>
      <c r="BM103" s="230"/>
      <c r="BN103" s="238">
        <f t="shared" si="8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Ore_to_PI!CA206</f>
        <v>298.6148747230165</v>
      </c>
      <c r="BC104" s="219"/>
      <c r="BD104" s="219"/>
      <c r="BE104" s="219"/>
      <c r="BF104" s="219"/>
      <c r="BG104" s="238">
        <f t="shared" si="79"/>
        <v>298.6148747230165</v>
      </c>
      <c r="BK104" s="199" t="s">
        <v>523</v>
      </c>
      <c r="BL104" s="230"/>
      <c r="BM104" s="230"/>
      <c r="BN104" s="238">
        <f t="shared" si="8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Ore_to_PI!CV126</f>
        <v>111.00813284002646</v>
      </c>
      <c r="BF105" s="219"/>
      <c r="BG105" s="238">
        <f t="shared" si="79"/>
        <v>111.00813284002646</v>
      </c>
      <c r="BK105" s="199" t="s">
        <v>492</v>
      </c>
      <c r="BL105" s="230"/>
      <c r="BM105" s="230"/>
      <c r="BN105" s="238">
        <f t="shared" si="8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79"/>
        <v>0</v>
      </c>
      <c r="BK106" s="199" t="s">
        <v>494</v>
      </c>
      <c r="BL106" s="230"/>
      <c r="BM106" s="230">
        <f>Kiln_SolidWaste</f>
        <v>4.9847525450981189</v>
      </c>
      <c r="BN106" s="238">
        <f t="shared" si="82"/>
        <v>4.9847525450981189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79"/>
        <v>0</v>
      </c>
      <c r="BK107" s="199" t="s">
        <v>493</v>
      </c>
      <c r="BL107" s="230"/>
      <c r="BM107" s="230">
        <f>Ore_to_PI!CV138</f>
        <v>774.43493010294708</v>
      </c>
      <c r="BN107" s="238">
        <f t="shared" si="82"/>
        <v>774.43493010294708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Ore_to_PI!CV206</f>
        <v>203.27980063725872</v>
      </c>
      <c r="BF108" s="219"/>
      <c r="BG108" s="238">
        <f t="shared" si="79"/>
        <v>203.27980063725872</v>
      </c>
      <c r="BK108" s="199" t="s">
        <v>551</v>
      </c>
      <c r="BL108" s="230"/>
      <c r="BM108" s="230"/>
      <c r="BN108" s="238">
        <f t="shared" si="8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Ore_to_PI!CV234</f>
        <v>46.0998047134687</v>
      </c>
      <c r="BD109" s="219"/>
      <c r="BE109" s="219"/>
      <c r="BF109" s="219"/>
      <c r="BG109" s="238">
        <f t="shared" si="79"/>
        <v>46.0998047134687</v>
      </c>
      <c r="BK109" s="239" t="s">
        <v>489</v>
      </c>
      <c r="BL109" s="230"/>
      <c r="BM109" s="230"/>
      <c r="BN109" s="238">
        <f t="shared" si="8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79"/>
        <v>0</v>
      </c>
      <c r="BK110" s="239" t="s">
        <v>619</v>
      </c>
      <c r="BL110" s="230"/>
      <c r="BM110" s="230">
        <f>Ore_to_PI!CV267</f>
        <v>23.982067525572877</v>
      </c>
      <c r="BN110" s="238">
        <f t="shared" si="82"/>
        <v>23.982067525572877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79"/>
        <v>0</v>
      </c>
      <c r="BK111" s="199" t="s">
        <v>488</v>
      </c>
      <c r="BL111" s="230"/>
      <c r="BM111" s="230">
        <f>Beneficiation_CoalWaste</f>
        <v>25.253201846716312</v>
      </c>
      <c r="BN111" s="238">
        <f t="shared" si="82"/>
        <v>25.253201846716312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79"/>
        <v>0</v>
      </c>
      <c r="BK112" s="197" t="s">
        <v>490</v>
      </c>
      <c r="BL112" s="230"/>
      <c r="BM112" s="230">
        <f>Ore_to_PI!CV251</f>
        <v>3698.8733194995434</v>
      </c>
      <c r="BN112" s="238">
        <f t="shared" si="82"/>
        <v>3698.8733194995434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Ore_to_PI!$DP$233</f>
        <v>46.099804713468714</v>
      </c>
      <c r="BE113" s="219"/>
      <c r="BF113" s="229"/>
      <c r="BG113" s="238">
        <f t="shared" si="79"/>
        <v>46.099804713468714</v>
      </c>
      <c r="BK113" s="199" t="s">
        <v>582</v>
      </c>
      <c r="BL113" s="230"/>
      <c r="BM113" s="230"/>
      <c r="BN113" s="238">
        <f t="shared" si="8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Ore_to_PI!$EL$152</f>
        <v>32.269863299428096</v>
      </c>
      <c r="BG114" s="238">
        <f t="shared" si="79"/>
        <v>32.269863299428096</v>
      </c>
      <c r="BK114" s="199" t="s">
        <v>584</v>
      </c>
      <c r="BL114" s="230">
        <f>Ore_to_PI!$FF$233</f>
        <v>13.829941414040613</v>
      </c>
      <c r="BM114" s="230"/>
      <c r="BN114" s="238">
        <f t="shared" si="82"/>
        <v>13.829941414040613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Ore_to_PI!EL126</f>
        <v>1314.2879334772852</v>
      </c>
      <c r="BG115" s="238">
        <f t="shared" si="79"/>
        <v>1314.2879334772852</v>
      </c>
      <c r="BK115" s="199" t="s">
        <v>512</v>
      </c>
      <c r="BL115" s="230"/>
      <c r="BM115" s="230"/>
      <c r="BN115" s="238">
        <f t="shared" si="8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79"/>
        <v>0</v>
      </c>
      <c r="BK116" s="199" t="s">
        <v>513</v>
      </c>
      <c r="BL116" s="230">
        <f>Ore_to_PI!FL126</f>
        <v>616.23583583508366</v>
      </c>
      <c r="BM116" s="230"/>
      <c r="BN116" s="238">
        <f t="shared" si="82"/>
        <v>616.23583583508366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79"/>
        <v>0</v>
      </c>
      <c r="BK117" s="199" t="s">
        <v>514</v>
      </c>
      <c r="BL117" s="230"/>
      <c r="BM117" s="230">
        <f>Ore_to_PI!FL141</f>
        <v>3402.2651449800928</v>
      </c>
      <c r="BN117" s="238">
        <f t="shared" si="82"/>
        <v>3402.2651449800928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79"/>
        <v>0</v>
      </c>
      <c r="BK118" s="199" t="s">
        <v>524</v>
      </c>
      <c r="BL118" s="230"/>
      <c r="BM118" s="230">
        <f>BF_SolidWaste</f>
        <v>229.94813284002646</v>
      </c>
      <c r="BN118" s="238">
        <f t="shared" si="82"/>
        <v>229.94813284002646</v>
      </c>
    </row>
    <row r="119" spans="2:66" x14ac:dyDescent="0.2">
      <c r="AG119" s="199"/>
      <c r="AH119" s="199"/>
      <c r="AQ119" s="199"/>
      <c r="AR119" s="450" t="s">
        <v>395</v>
      </c>
      <c r="AS119" s="450"/>
      <c r="AT119" s="450"/>
      <c r="AU119" s="450"/>
      <c r="AV119" s="450"/>
      <c r="AW119" s="450"/>
      <c r="AX119" s="450"/>
      <c r="AY119" s="450"/>
      <c r="AZ119" s="450"/>
      <c r="BA119" s="450"/>
      <c r="BB119" s="450"/>
      <c r="BC119" s="450"/>
      <c r="BD119" s="450"/>
      <c r="BE119" s="450"/>
      <c r="BF119" s="450"/>
      <c r="BG119" s="25" t="s">
        <v>436</v>
      </c>
      <c r="BL119" s="450" t="s">
        <v>397</v>
      </c>
      <c r="BM119" s="450"/>
      <c r="BN119" s="25" t="s">
        <v>448</v>
      </c>
    </row>
    <row r="120" spans="2:66" x14ac:dyDescent="0.2">
      <c r="AG120" s="199"/>
      <c r="AH120" s="199"/>
      <c r="AQ120" s="199"/>
      <c r="AR120" s="238">
        <f t="shared" ref="AR120:BF120" si="83">SUM(AR83:AR118)</f>
        <v>1043.9873925509492</v>
      </c>
      <c r="AS120" s="238">
        <f t="shared" si="83"/>
        <v>208.65218594918355</v>
      </c>
      <c r="AT120" s="238">
        <f t="shared" si="83"/>
        <v>306.591996148688</v>
      </c>
      <c r="AU120" s="238">
        <f t="shared" si="83"/>
        <v>1011.7674660019052</v>
      </c>
      <c r="AV120" s="238">
        <f t="shared" si="83"/>
        <v>208.55560337725498</v>
      </c>
      <c r="AW120" s="238">
        <f t="shared" si="83"/>
        <v>298.6148747230165</v>
      </c>
      <c r="AX120" s="238">
        <f t="shared" si="83"/>
        <v>1011.7674660019052</v>
      </c>
      <c r="AY120" s="238">
        <f t="shared" si="83"/>
        <v>208.55560337725498</v>
      </c>
      <c r="AZ120" s="238">
        <f t="shared" si="83"/>
        <v>298.6148747230165</v>
      </c>
      <c r="BA120" s="238">
        <f t="shared" si="83"/>
        <v>890.42781548807159</v>
      </c>
      <c r="BB120" s="238">
        <f t="shared" si="83"/>
        <v>3997.4881942225597</v>
      </c>
      <c r="BC120" s="238">
        <f t="shared" si="83"/>
        <v>46.0998047134687</v>
      </c>
      <c r="BD120" s="238">
        <f t="shared" si="83"/>
        <v>46.099804713468714</v>
      </c>
      <c r="BE120" s="238">
        <f t="shared" si="83"/>
        <v>1314.2879334772852</v>
      </c>
      <c r="BF120" s="238">
        <f t="shared" si="83"/>
        <v>4248.4491136552024</v>
      </c>
      <c r="BG120" s="25"/>
      <c r="BL120" s="25"/>
      <c r="BM120" s="25"/>
      <c r="BN120" s="25"/>
    </row>
    <row r="121" spans="2:66" x14ac:dyDescent="0.2">
      <c r="AG121" s="199"/>
      <c r="AH121" s="199"/>
      <c r="AQ121" s="199"/>
      <c r="AR121" s="450" t="s">
        <v>435</v>
      </c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450"/>
      <c r="BD121" s="450"/>
      <c r="BE121" s="450"/>
      <c r="BF121" s="450"/>
      <c r="BG121" s="25"/>
      <c r="BL121" s="25"/>
      <c r="BM121" s="25"/>
      <c r="BN121" s="25"/>
    </row>
    <row r="122" spans="2:66" ht="13" customHeight="1" x14ac:dyDescent="0.2">
      <c r="C122" s="451"/>
      <c r="D122" s="451"/>
      <c r="E122" s="221"/>
      <c r="F122" s="221"/>
      <c r="G122" s="221"/>
      <c r="H122" s="221"/>
      <c r="I122" s="221"/>
      <c r="J122" s="221"/>
      <c r="K122" s="221"/>
      <c r="L122" s="221"/>
      <c r="M122" s="221"/>
      <c r="N122" s="221"/>
      <c r="O122" s="221"/>
      <c r="P122" s="221"/>
      <c r="Q122" s="221"/>
      <c r="R122" s="221"/>
      <c r="S122" s="221"/>
      <c r="T122" s="221"/>
      <c r="U122" s="221"/>
      <c r="V122" s="221"/>
      <c r="W122" s="221"/>
      <c r="X122" s="221"/>
      <c r="Y122" s="221"/>
      <c r="Z122" s="221"/>
      <c r="AA122" s="221"/>
      <c r="AB122" s="221"/>
      <c r="AC122" s="221"/>
      <c r="AD122" s="221"/>
      <c r="AE122" s="221"/>
      <c r="AF122" s="221"/>
      <c r="AG122" s="199"/>
      <c r="AH122" s="199"/>
      <c r="AI122" s="221"/>
      <c r="AJ122" s="221"/>
      <c r="AK122" s="221"/>
      <c r="AL122" s="221"/>
      <c r="AM122" s="221"/>
      <c r="AN122" s="221"/>
      <c r="AO122" s="221"/>
      <c r="AQ122" s="199"/>
      <c r="BL122" s="25"/>
      <c r="BM122" s="25"/>
      <c r="BN122" s="25"/>
    </row>
    <row r="123" spans="2:66" ht="236" x14ac:dyDescent="0.2">
      <c r="B123" s="226"/>
      <c r="C123" s="200" t="s">
        <v>400</v>
      </c>
      <c r="D123" s="200" t="s">
        <v>402</v>
      </c>
      <c r="E123" s="200" t="s">
        <v>403</v>
      </c>
      <c r="F123" s="200" t="s">
        <v>422</v>
      </c>
      <c r="G123" s="200" t="s">
        <v>444</v>
      </c>
      <c r="H123" s="200" t="s">
        <v>474</v>
      </c>
      <c r="I123" s="200" t="s">
        <v>533</v>
      </c>
      <c r="J123" s="200" t="s">
        <v>534</v>
      </c>
      <c r="K123" s="200" t="s">
        <v>526</v>
      </c>
      <c r="L123" s="201" t="s">
        <v>509</v>
      </c>
      <c r="M123" s="200" t="s">
        <v>476</v>
      </c>
      <c r="N123" s="201" t="s">
        <v>479</v>
      </c>
      <c r="O123" s="200" t="s">
        <v>504</v>
      </c>
      <c r="P123" s="202" t="s">
        <v>497</v>
      </c>
      <c r="Q123" s="200" t="s">
        <v>483</v>
      </c>
      <c r="R123" s="201" t="s">
        <v>508</v>
      </c>
      <c r="S123" s="201" t="s">
        <v>503</v>
      </c>
      <c r="T123" s="201" t="s">
        <v>500</v>
      </c>
      <c r="U123" s="201" t="s">
        <v>506</v>
      </c>
      <c r="V123" s="202" t="s">
        <v>505</v>
      </c>
      <c r="W123" s="202" t="s">
        <v>491</v>
      </c>
      <c r="X123" s="202" t="s">
        <v>523</v>
      </c>
      <c r="Y123" s="202" t="s">
        <v>492</v>
      </c>
      <c r="Z123" s="202" t="s">
        <v>494</v>
      </c>
      <c r="AA123" s="202" t="s">
        <v>493</v>
      </c>
      <c r="AB123" s="202" t="s">
        <v>551</v>
      </c>
      <c r="AC123" s="220" t="s">
        <v>489</v>
      </c>
      <c r="AD123" s="220" t="s">
        <v>619</v>
      </c>
      <c r="AE123" s="202" t="s">
        <v>488</v>
      </c>
      <c r="AF123" s="200" t="s">
        <v>490</v>
      </c>
      <c r="AG123" s="202" t="s">
        <v>582</v>
      </c>
      <c r="AH123" s="202" t="s">
        <v>584</v>
      </c>
      <c r="AI123" s="202" t="s">
        <v>512</v>
      </c>
      <c r="AJ123" s="202" t="s">
        <v>513</v>
      </c>
      <c r="AK123" s="202" t="s">
        <v>514</v>
      </c>
      <c r="AL123" s="202" t="s">
        <v>524</v>
      </c>
      <c r="AQ123" s="199"/>
      <c r="BL123" s="25"/>
      <c r="BM123" s="25"/>
    </row>
    <row r="124" spans="2:66" x14ac:dyDescent="0.2">
      <c r="B124" s="197" t="s">
        <v>392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>
        <f>Ore_to_PI!U42</f>
        <v>1011.7674660019052</v>
      </c>
      <c r="M124" s="219">
        <f>Ore_to_PI!$AN$63</f>
        <v>32.219926549044033</v>
      </c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38">
        <f>SUM(C124:AL124)</f>
        <v>1043.9873925509492</v>
      </c>
      <c r="BL124" s="25"/>
      <c r="BM124" s="25"/>
    </row>
    <row r="125" spans="2:66" x14ac:dyDescent="0.2">
      <c r="B125" s="197" t="s">
        <v>393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>
        <f>Ore_to_PI!AO126</f>
        <v>208.55560337725498</v>
      </c>
      <c r="O125" s="219">
        <f>Ore_to_PI!$AO$142</f>
        <v>9.658257192857822E-2</v>
      </c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38">
        <f>SUM(C125:AL125)</f>
        <v>208.65218594918355</v>
      </c>
    </row>
    <row r="126" spans="2:66" x14ac:dyDescent="0.2">
      <c r="B126" s="197" t="s">
        <v>394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>
        <f>Ore_to_PI!$AO$206</f>
        <v>298.6148747230165</v>
      </c>
      <c r="Q126" s="219">
        <f>Ore_to_PI!$AO$227</f>
        <v>7.9771214256715108</v>
      </c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38">
        <f t="shared" ref="AM126:AM138" si="84">SUM(C126:AL126)</f>
        <v>306.591996148688</v>
      </c>
    </row>
    <row r="127" spans="2:66" x14ac:dyDescent="0.2">
      <c r="B127" s="197" t="s">
        <v>522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>
        <f>Ore_to_PI!$BG$42</f>
        <v>1011.7674660019052</v>
      </c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38">
        <f t="shared" si="84"/>
        <v>1011.7674660019052</v>
      </c>
    </row>
    <row r="128" spans="2:66" x14ac:dyDescent="0.2">
      <c r="B128" s="197" t="s">
        <v>502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>
        <f>Ore_to_PI!$BH$126</f>
        <v>208.55560337725498</v>
      </c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3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501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>
        <f>Ore_to_PI!$BH$206</f>
        <v>298.6148747230165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3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418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Ore_to_PI!$BZ$42</f>
        <v>1000.0000000000001</v>
      </c>
      <c r="V130" s="219">
        <f>Beneficiation_Iron_waste</f>
        <v>11.767466001905108</v>
      </c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3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415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>
        <f>Ore_to_PI!$CA$126</f>
        <v>208.55560337725498</v>
      </c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3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429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>
        <f>Ore_to_PI!$CA$206</f>
        <v>298.6148747230165</v>
      </c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3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416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>
        <f>Ore_to_PI!$CV$126</f>
        <v>111.00813284002646</v>
      </c>
      <c r="Z133" s="219">
        <f>Kiln_SolidWaste</f>
        <v>4.9847525450981189</v>
      </c>
      <c r="AA133" s="219">
        <f>Ore_to_PI!$CV$138</f>
        <v>774.43493010294708</v>
      </c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3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411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>
        <f>Ore_to_PI!$CV$206</f>
        <v>203.27980063725872</v>
      </c>
      <c r="AC134" s="219">
        <f>Ore_to_PI!$CV$234</f>
        <v>46.0998047134687</v>
      </c>
      <c r="AD134" s="219">
        <f>Ore_to_PI!CV267</f>
        <v>23.982067525572877</v>
      </c>
      <c r="AE134" s="219">
        <f>Beneficiation_CoalWaste</f>
        <v>25.253201846716312</v>
      </c>
      <c r="AF134" s="219">
        <f>Ore_to_PI!$CV$251</f>
        <v>3698.8733194995434</v>
      </c>
      <c r="AG134" s="219"/>
      <c r="AH134" s="219"/>
      <c r="AI134" s="219"/>
      <c r="AJ134" s="219"/>
      <c r="AK134" s="219"/>
      <c r="AL134" s="219"/>
      <c r="AM134" s="23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197" t="s">
        <v>581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>
        <f>Ore_to_PI!$DP$233</f>
        <v>46.099804713468714</v>
      </c>
      <c r="AH135" s="219"/>
      <c r="AI135" s="219"/>
      <c r="AJ135" s="219"/>
      <c r="AK135" s="219"/>
      <c r="AL135" s="219"/>
      <c r="AM135" s="23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197" t="s">
        <v>583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>
        <f>Ore_to_PI!$EK$233</f>
        <v>46.099804713468714</v>
      </c>
      <c r="AI136" s="219"/>
      <c r="AJ136" s="219"/>
      <c r="AK136" s="219"/>
      <c r="AL136" s="219"/>
      <c r="AM136" s="23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197" t="s">
        <v>80</v>
      </c>
      <c r="C137" s="219"/>
      <c r="D137" s="219"/>
      <c r="E137" s="219"/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29"/>
      <c r="AG137" s="219"/>
      <c r="AH137" s="219"/>
      <c r="AI137" s="229">
        <f>Ore_to_PI!$EL$126</f>
        <v>1314.2879334772852</v>
      </c>
      <c r="AJ137" s="219"/>
      <c r="AK137" s="219"/>
      <c r="AL137" s="219"/>
      <c r="AM137" s="23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197" t="s">
        <v>404</v>
      </c>
      <c r="C138" s="219"/>
      <c r="D138" s="219"/>
      <c r="E138" s="219"/>
      <c r="F138" s="22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33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Ore_to_PI!$FL$126</f>
        <v>616.23583583508366</v>
      </c>
      <c r="AK138" s="219">
        <f>Ore_to_PI!$FL$141</f>
        <v>3402.2651449800928</v>
      </c>
      <c r="AL138" s="219">
        <f>BF_SolidWaste</f>
        <v>229.94813284002646</v>
      </c>
      <c r="AM138" s="238">
        <f t="shared" si="84"/>
        <v>4248.4491136552024</v>
      </c>
    </row>
    <row r="139" spans="2:65" x14ac:dyDescent="0.2">
      <c r="B139" s="197"/>
      <c r="C139" s="450" t="s">
        <v>396</v>
      </c>
      <c r="D139" s="450"/>
      <c r="E139" s="450"/>
      <c r="F139" s="450"/>
      <c r="G139" s="450"/>
      <c r="H139" s="450"/>
      <c r="I139" s="450"/>
      <c r="J139" s="450"/>
      <c r="K139" s="450"/>
      <c r="L139" s="450"/>
      <c r="M139" s="450"/>
      <c r="N139" s="450"/>
      <c r="O139" s="450"/>
      <c r="P139" s="450"/>
      <c r="Q139" s="450"/>
      <c r="R139" s="450"/>
      <c r="S139" s="450"/>
      <c r="T139" s="450"/>
      <c r="U139" s="450"/>
      <c r="V139" s="450"/>
      <c r="W139" s="450"/>
      <c r="X139" s="450"/>
      <c r="Y139" s="450"/>
      <c r="Z139" s="450"/>
      <c r="AA139" s="450"/>
      <c r="AB139" s="450"/>
      <c r="AC139" s="450"/>
      <c r="AD139" s="450"/>
      <c r="AE139" s="450"/>
      <c r="AF139" s="450"/>
      <c r="AG139" s="450"/>
      <c r="AH139" s="450"/>
      <c r="AI139" s="450"/>
      <c r="AJ139" s="450"/>
      <c r="AK139" s="450"/>
      <c r="AL139" s="450"/>
      <c r="AM139" s="25" t="s">
        <v>432</v>
      </c>
      <c r="AN139" s="25"/>
    </row>
    <row r="140" spans="2:65" x14ac:dyDescent="0.2">
      <c r="B140" s="197"/>
      <c r="C140" s="238">
        <f t="shared" ref="C140:AL140" si="85">SUM(C124:C138)</f>
        <v>0</v>
      </c>
      <c r="D140" s="238">
        <f t="shared" si="85"/>
        <v>0</v>
      </c>
      <c r="E140" s="238">
        <f t="shared" si="85"/>
        <v>0</v>
      </c>
      <c r="F140" s="238">
        <f t="shared" si="85"/>
        <v>0</v>
      </c>
      <c r="G140" s="238">
        <f t="shared" si="85"/>
        <v>0</v>
      </c>
      <c r="H140" s="238">
        <f t="shared" si="85"/>
        <v>0</v>
      </c>
      <c r="I140" s="238">
        <f t="shared" si="85"/>
        <v>0</v>
      </c>
      <c r="J140" s="238">
        <f t="shared" si="85"/>
        <v>0</v>
      </c>
      <c r="K140" s="238">
        <f t="shared" si="85"/>
        <v>0</v>
      </c>
      <c r="L140" s="238">
        <f t="shared" si="85"/>
        <v>1011.7674660019052</v>
      </c>
      <c r="M140" s="238">
        <f t="shared" si="85"/>
        <v>32.219926549044033</v>
      </c>
      <c r="N140" s="238">
        <f t="shared" si="85"/>
        <v>208.55560337725498</v>
      </c>
      <c r="O140" s="238">
        <f t="shared" si="85"/>
        <v>9.658257192857822E-2</v>
      </c>
      <c r="P140" s="238">
        <f t="shared" si="85"/>
        <v>298.6148747230165</v>
      </c>
      <c r="Q140" s="238">
        <f t="shared" si="85"/>
        <v>7.9771214256715108</v>
      </c>
      <c r="R140" s="238">
        <f t="shared" si="85"/>
        <v>1011.7674660019052</v>
      </c>
      <c r="S140" s="238">
        <f t="shared" si="85"/>
        <v>208.55560337725498</v>
      </c>
      <c r="T140" s="238">
        <f t="shared" si="85"/>
        <v>298.6148747230165</v>
      </c>
      <c r="U140" s="238">
        <f t="shared" si="85"/>
        <v>1000.0000000000001</v>
      </c>
      <c r="V140" s="238">
        <f t="shared" si="85"/>
        <v>11.767466001905108</v>
      </c>
      <c r="W140" s="238">
        <f t="shared" si="85"/>
        <v>208.55560337725498</v>
      </c>
      <c r="X140" s="238">
        <f t="shared" si="85"/>
        <v>298.6148747230165</v>
      </c>
      <c r="Y140" s="238">
        <f t="shared" si="85"/>
        <v>111.00813284002646</v>
      </c>
      <c r="Z140" s="238">
        <f t="shared" si="85"/>
        <v>4.9847525450981189</v>
      </c>
      <c r="AA140" s="238">
        <f t="shared" si="85"/>
        <v>774.43493010294708</v>
      </c>
      <c r="AB140" s="238">
        <f t="shared" si="85"/>
        <v>203.27980063725872</v>
      </c>
      <c r="AC140" s="238">
        <f t="shared" si="85"/>
        <v>46.0998047134687</v>
      </c>
      <c r="AD140" s="238">
        <f t="shared" si="85"/>
        <v>23.982067525572877</v>
      </c>
      <c r="AE140" s="238">
        <f t="shared" si="85"/>
        <v>25.253201846716312</v>
      </c>
      <c r="AF140" s="238">
        <f t="shared" si="85"/>
        <v>3698.8733194995434</v>
      </c>
      <c r="AG140" s="238">
        <f t="shared" si="85"/>
        <v>46.099804713468714</v>
      </c>
      <c r="AH140" s="238">
        <f t="shared" si="85"/>
        <v>46.099804713468714</v>
      </c>
      <c r="AI140" s="238">
        <f t="shared" si="85"/>
        <v>1314.2879334772852</v>
      </c>
      <c r="AJ140" s="238">
        <f t="shared" si="85"/>
        <v>616.23583583508366</v>
      </c>
      <c r="AK140" s="238">
        <f t="shared" si="85"/>
        <v>3402.2651449800928</v>
      </c>
      <c r="AL140" s="238">
        <f t="shared" si="85"/>
        <v>229.94813284002646</v>
      </c>
    </row>
    <row r="141" spans="2:65" x14ac:dyDescent="0.2">
      <c r="B141" s="197"/>
      <c r="C141" s="450" t="s">
        <v>433</v>
      </c>
      <c r="D141" s="450"/>
      <c r="E141" s="450"/>
      <c r="F141" s="450"/>
      <c r="G141" s="450"/>
      <c r="H141" s="450"/>
      <c r="I141" s="450"/>
      <c r="J141" s="450"/>
      <c r="K141" s="450"/>
      <c r="L141" s="450"/>
      <c r="M141" s="450"/>
      <c r="N141" s="450"/>
      <c r="O141" s="450"/>
      <c r="P141" s="450"/>
      <c r="Q141" s="450"/>
      <c r="R141" s="450"/>
      <c r="S141" s="450"/>
      <c r="T141" s="450"/>
      <c r="U141" s="450"/>
      <c r="V141" s="450"/>
      <c r="W141" s="450"/>
      <c r="X141" s="450"/>
      <c r="Y141" s="450"/>
      <c r="Z141" s="450"/>
      <c r="AA141" s="450"/>
      <c r="AB141" s="450"/>
      <c r="AC141" s="450"/>
      <c r="AD141" s="450"/>
      <c r="AE141" s="450"/>
      <c r="AF141" s="450"/>
      <c r="AG141" s="450"/>
      <c r="AH141" s="450"/>
      <c r="AI141" s="450"/>
      <c r="AJ141" s="450"/>
      <c r="AK141" s="450"/>
      <c r="AL141" s="450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x14ac:dyDescent="0.2">
      <c r="B151" s="197"/>
    </row>
    <row r="152" spans="2:44" ht="236" x14ac:dyDescent="0.2">
      <c r="B152" s="197"/>
      <c r="C152" s="200" t="s">
        <v>400</v>
      </c>
      <c r="D152" s="200" t="s">
        <v>402</v>
      </c>
      <c r="E152" s="200" t="s">
        <v>403</v>
      </c>
      <c r="F152" s="200" t="s">
        <v>422</v>
      </c>
      <c r="G152" s="200" t="s">
        <v>444</v>
      </c>
      <c r="H152" s="200" t="s">
        <v>474</v>
      </c>
      <c r="I152" s="200" t="s">
        <v>533</v>
      </c>
      <c r="J152" s="200" t="s">
        <v>534</v>
      </c>
      <c r="K152" s="200" t="s">
        <v>526</v>
      </c>
      <c r="L152" s="201" t="s">
        <v>509</v>
      </c>
      <c r="M152" s="200" t="s">
        <v>476</v>
      </c>
      <c r="N152" s="201" t="s">
        <v>479</v>
      </c>
      <c r="O152" s="200" t="s">
        <v>504</v>
      </c>
      <c r="P152" s="202" t="s">
        <v>497</v>
      </c>
      <c r="Q152" s="200" t="s">
        <v>483</v>
      </c>
      <c r="R152" s="201" t="s">
        <v>508</v>
      </c>
      <c r="S152" s="201" t="s">
        <v>503</v>
      </c>
      <c r="T152" s="201" t="s">
        <v>500</v>
      </c>
      <c r="U152" s="201" t="s">
        <v>506</v>
      </c>
      <c r="V152" s="202" t="s">
        <v>505</v>
      </c>
      <c r="W152" s="202" t="s">
        <v>491</v>
      </c>
      <c r="X152" s="202" t="s">
        <v>523</v>
      </c>
      <c r="Y152" s="202" t="s">
        <v>492</v>
      </c>
      <c r="Z152" s="202" t="s">
        <v>494</v>
      </c>
      <c r="AA152" s="202" t="s">
        <v>493</v>
      </c>
      <c r="AB152" s="202" t="s">
        <v>551</v>
      </c>
      <c r="AC152" s="220" t="s">
        <v>489</v>
      </c>
      <c r="AD152" s="220" t="s">
        <v>619</v>
      </c>
      <c r="AE152" s="202" t="s">
        <v>488</v>
      </c>
      <c r="AF152" s="200" t="s">
        <v>490</v>
      </c>
      <c r="AG152" s="202" t="s">
        <v>582</v>
      </c>
      <c r="AH152" s="202" t="s">
        <v>584</v>
      </c>
      <c r="AI152" s="202" t="s">
        <v>512</v>
      </c>
      <c r="AJ152" s="202" t="s">
        <v>513</v>
      </c>
      <c r="AK152" s="202" t="s">
        <v>514</v>
      </c>
      <c r="AL152" s="202" t="s">
        <v>524</v>
      </c>
      <c r="AM152" s="202"/>
      <c r="AN152" s="202"/>
    </row>
    <row r="153" spans="2:44" x14ac:dyDescent="0.2">
      <c r="B153" s="197" t="s">
        <v>399</v>
      </c>
      <c r="C153" s="230">
        <f>Ore_to_PI!U42</f>
        <v>1011.7674660019052</v>
      </c>
      <c r="D153" s="230"/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ht="16" x14ac:dyDescent="0.2">
      <c r="B154" s="198" t="s">
        <v>401</v>
      </c>
      <c r="C154" s="230"/>
      <c r="D154" s="230">
        <f>Ore_to_PI!U126</f>
        <v>208.55560337725498</v>
      </c>
      <c r="E154" s="230"/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9" t="s">
        <v>423</v>
      </c>
      <c r="C155" s="230"/>
      <c r="D155" s="230"/>
      <c r="E155" s="230">
        <f>Ore_to_PI!U206</f>
        <v>298.6148747230165</v>
      </c>
      <c r="F155" s="230"/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447</v>
      </c>
      <c r="C156" s="230"/>
      <c r="D156" s="230"/>
      <c r="E156" s="230"/>
      <c r="F156" s="236">
        <f>Ore_to_PI!EL140+Ore_to_PI!CA140+Ore_to_PI!U163+Ore_to_PI!U72+Ore_to_PI!CA232+Ore_to_PI!U236</f>
        <v>7028.7429099762057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443</v>
      </c>
      <c r="C157" s="230"/>
      <c r="D157" s="230"/>
      <c r="E157" s="230"/>
      <c r="F157" s="230"/>
      <c r="G157" s="230">
        <f>Ore_to_PI!EL114+Ore_to_PI!CA152+Ore_to_PI!CA244</f>
        <v>286.68478984220775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</row>
    <row r="158" spans="2:44" x14ac:dyDescent="0.2">
      <c r="B158" s="197" t="s">
        <v>536</v>
      </c>
      <c r="C158" s="230"/>
      <c r="D158" s="230"/>
      <c r="E158" s="230"/>
      <c r="F158" s="230"/>
      <c r="G158" s="230"/>
      <c r="H158" s="230">
        <f>Ore_to_PI!U222+Ore_to_PI!U140+Ore_to_PI!U59</f>
        <v>2.5875439035128025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535</v>
      </c>
      <c r="C159" s="230"/>
      <c r="D159" s="230"/>
      <c r="E159" s="230"/>
      <c r="F159" s="230"/>
      <c r="G159" s="230"/>
      <c r="H159" s="230"/>
      <c r="I159" s="230">
        <f>Ore_to_PI!U151</f>
        <v>5.1714158616864253E-4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477</v>
      </c>
      <c r="C160" s="230"/>
      <c r="D160" s="230"/>
      <c r="E160" s="230"/>
      <c r="F160" s="230"/>
      <c r="G160" s="230"/>
      <c r="H160" s="230"/>
      <c r="I160" s="230"/>
      <c r="J160" s="230">
        <f>Ore_to_PI!$EL$101</f>
        <v>4.914718171980665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R160" s="220"/>
    </row>
    <row r="161" spans="2:40" x14ac:dyDescent="0.2">
      <c r="B161" s="197" t="s">
        <v>525</v>
      </c>
      <c r="C161" s="230"/>
      <c r="D161" s="230"/>
      <c r="E161" s="230"/>
      <c r="F161" s="230"/>
      <c r="G161" s="230"/>
      <c r="H161" s="230"/>
      <c r="I161" s="230"/>
      <c r="J161" s="230"/>
      <c r="K161" s="230">
        <v>0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</row>
    <row r="162" spans="2:40" x14ac:dyDescent="0.2">
      <c r="C162" s="450" t="s">
        <v>56</v>
      </c>
      <c r="D162" s="450"/>
      <c r="E162" s="450"/>
      <c r="F162" s="450"/>
      <c r="G162" s="450"/>
      <c r="H162" s="450"/>
      <c r="I162" s="450"/>
      <c r="J162" s="450"/>
      <c r="K162" s="450"/>
      <c r="L162" s="450"/>
      <c r="M162" s="450"/>
      <c r="N162" s="450"/>
      <c r="O162" s="450"/>
      <c r="P162" s="450"/>
      <c r="Q162" s="450"/>
      <c r="R162" s="450"/>
      <c r="S162" s="450"/>
      <c r="T162" s="450"/>
      <c r="U162" s="450"/>
      <c r="V162" s="450"/>
      <c r="W162" s="450"/>
      <c r="X162" s="450"/>
      <c r="Y162" s="450"/>
      <c r="Z162" s="450"/>
      <c r="AA162" s="450"/>
      <c r="AB162" s="450"/>
      <c r="AC162" s="450"/>
      <c r="AD162" s="450"/>
      <c r="AE162" s="450"/>
      <c r="AF162" s="450"/>
      <c r="AG162" s="450"/>
      <c r="AH162" s="450"/>
      <c r="AI162" s="450"/>
      <c r="AJ162" s="450"/>
      <c r="AK162" s="450"/>
      <c r="AL162" s="450"/>
      <c r="AM162" s="25"/>
      <c r="AN162" s="25"/>
    </row>
    <row r="163" spans="2:40" x14ac:dyDescent="0.2">
      <c r="C163" s="238">
        <f>SUM(C153:C161)</f>
        <v>1011.7674660019052</v>
      </c>
      <c r="D163" s="238">
        <f t="shared" ref="D163:AL163" si="86">SUM(D153:D161)</f>
        <v>208.55560337725498</v>
      </c>
      <c r="E163" s="238">
        <f t="shared" si="86"/>
        <v>298.6148747230165</v>
      </c>
      <c r="F163" s="238">
        <f t="shared" si="86"/>
        <v>7028.7429099762057</v>
      </c>
      <c r="G163" s="238">
        <f t="shared" si="86"/>
        <v>286.68478984220775</v>
      </c>
      <c r="H163" s="238">
        <f t="shared" si="86"/>
        <v>2.5875439035128025</v>
      </c>
      <c r="I163" s="238">
        <f t="shared" si="86"/>
        <v>5.1714158616864253E-4</v>
      </c>
      <c r="J163" s="238">
        <f t="shared" si="86"/>
        <v>4.914718171980665</v>
      </c>
      <c r="K163" s="238">
        <f t="shared" si="86"/>
        <v>0</v>
      </c>
      <c r="L163" s="238">
        <f t="shared" si="86"/>
        <v>0</v>
      </c>
      <c r="M163" s="238">
        <f t="shared" si="86"/>
        <v>0</v>
      </c>
      <c r="N163" s="238">
        <f t="shared" si="86"/>
        <v>0</v>
      </c>
      <c r="O163" s="238">
        <f t="shared" si="86"/>
        <v>0</v>
      </c>
      <c r="P163" s="238">
        <f t="shared" si="86"/>
        <v>0</v>
      </c>
      <c r="Q163" s="238">
        <f t="shared" si="86"/>
        <v>0</v>
      </c>
      <c r="R163" s="238">
        <f t="shared" si="86"/>
        <v>0</v>
      </c>
      <c r="S163" s="238">
        <f t="shared" si="86"/>
        <v>0</v>
      </c>
      <c r="T163" s="238">
        <f t="shared" si="86"/>
        <v>0</v>
      </c>
      <c r="U163" s="238">
        <f t="shared" si="86"/>
        <v>0</v>
      </c>
      <c r="V163" s="238">
        <f t="shared" si="86"/>
        <v>0</v>
      </c>
      <c r="W163" s="238">
        <f t="shared" si="86"/>
        <v>0</v>
      </c>
      <c r="X163" s="238">
        <f t="shared" si="86"/>
        <v>0</v>
      </c>
      <c r="Y163" s="238">
        <f t="shared" si="86"/>
        <v>0</v>
      </c>
      <c r="Z163" s="238">
        <f t="shared" si="86"/>
        <v>0</v>
      </c>
      <c r="AA163" s="238">
        <f t="shared" si="86"/>
        <v>0</v>
      </c>
      <c r="AB163" s="238">
        <f t="shared" si="86"/>
        <v>0</v>
      </c>
      <c r="AC163" s="238">
        <f t="shared" si="86"/>
        <v>0</v>
      </c>
      <c r="AD163" s="238">
        <f t="shared" si="86"/>
        <v>0</v>
      </c>
      <c r="AE163" s="238">
        <f t="shared" si="86"/>
        <v>0</v>
      </c>
      <c r="AF163" s="238">
        <f t="shared" si="86"/>
        <v>0</v>
      </c>
      <c r="AG163" s="238">
        <f t="shared" si="86"/>
        <v>0</v>
      </c>
      <c r="AH163" s="238">
        <f t="shared" si="86"/>
        <v>0</v>
      </c>
      <c r="AI163" s="238">
        <f t="shared" si="86"/>
        <v>0</v>
      </c>
      <c r="AJ163" s="238">
        <f t="shared" si="86"/>
        <v>0</v>
      </c>
      <c r="AK163" s="238">
        <f t="shared" si="86"/>
        <v>0</v>
      </c>
      <c r="AL163" s="238">
        <f t="shared" si="86"/>
        <v>0</v>
      </c>
    </row>
    <row r="164" spans="2:40" x14ac:dyDescent="0.2">
      <c r="C164" s="450" t="s">
        <v>434</v>
      </c>
      <c r="D164" s="450"/>
      <c r="E164" s="450"/>
      <c r="F164" s="450"/>
      <c r="G164" s="450"/>
      <c r="H164" s="450"/>
      <c r="I164" s="450"/>
      <c r="J164" s="450"/>
      <c r="K164" s="450"/>
      <c r="L164" s="450"/>
      <c r="M164" s="450"/>
      <c r="N164" s="450"/>
      <c r="O164" s="450"/>
      <c r="P164" s="450"/>
      <c r="Q164" s="450"/>
      <c r="R164" s="450"/>
      <c r="S164" s="450"/>
      <c r="T164" s="450"/>
      <c r="U164" s="450"/>
      <c r="V164" s="450"/>
      <c r="W164" s="450"/>
      <c r="X164" s="450"/>
      <c r="Y164" s="450"/>
      <c r="Z164" s="450"/>
      <c r="AA164" s="450"/>
      <c r="AB164" s="450"/>
      <c r="AC164" s="450"/>
      <c r="AD164" s="450"/>
      <c r="AE164" s="450"/>
      <c r="AF164" s="450"/>
      <c r="AG164" s="450"/>
      <c r="AH164" s="450"/>
      <c r="AI164" s="450"/>
      <c r="AJ164" s="450"/>
      <c r="AK164" s="450"/>
      <c r="AL164" s="450"/>
      <c r="AM164" s="25"/>
      <c r="AN164" s="25"/>
    </row>
    <row r="168" spans="2:40" x14ac:dyDescent="0.2">
      <c r="C168" s="450" t="s">
        <v>431</v>
      </c>
      <c r="D168" s="450"/>
      <c r="E168" s="450"/>
      <c r="F168" s="450"/>
      <c r="G168" s="450"/>
      <c r="H168" s="450"/>
      <c r="I168" s="450"/>
      <c r="J168" s="450"/>
      <c r="K168" s="450"/>
      <c r="L168" s="231"/>
      <c r="M168" s="231"/>
      <c r="N168" s="231"/>
      <c r="O168" s="231"/>
      <c r="P168" s="231"/>
      <c r="Q168" s="231"/>
      <c r="R168" s="231"/>
      <c r="S168" s="231"/>
      <c r="T168" s="231"/>
      <c r="U168" s="25"/>
      <c r="V168" s="25"/>
    </row>
    <row r="171" spans="2:40" x14ac:dyDescent="0.2">
      <c r="B171" s="197" t="s">
        <v>400</v>
      </c>
      <c r="C171" s="238" cm="1">
        <f t="array" ref="C171:C206">TRANSPOSE(C163:AL163)</f>
        <v>1011.7674660019052</v>
      </c>
      <c r="E171" s="238" cm="1">
        <f t="array" ref="E171:E206">TRANSPOSE(C140:AL140)</f>
        <v>0</v>
      </c>
      <c r="G171" s="238">
        <f t="shared" ref="G171:G197" si="87">BG83</f>
        <v>1011.7674660019052</v>
      </c>
      <c r="I171" s="238" cm="1">
        <f t="array" ref="I171:I206">BN83:BN118</f>
        <v>0</v>
      </c>
      <c r="K171" s="281">
        <f>C171+E171-G171-I171</f>
        <v>0</v>
      </c>
    </row>
    <row r="172" spans="2:40" x14ac:dyDescent="0.2">
      <c r="B172" s="197" t="s">
        <v>402</v>
      </c>
      <c r="C172" s="238">
        <v>208.55560337725498</v>
      </c>
      <c r="E172" s="238">
        <v>0</v>
      </c>
      <c r="G172" s="238">
        <f t="shared" si="87"/>
        <v>208.55560337725498</v>
      </c>
      <c r="I172" s="238">
        <v>0</v>
      </c>
      <c r="K172" s="281">
        <f>C172+E172-G172-I172</f>
        <v>0</v>
      </c>
    </row>
    <row r="173" spans="2:40" x14ac:dyDescent="0.2">
      <c r="B173" s="197" t="s">
        <v>403</v>
      </c>
      <c r="C173" s="238">
        <v>298.6148747230165</v>
      </c>
      <c r="E173" s="238">
        <v>0</v>
      </c>
      <c r="G173" s="238">
        <f t="shared" si="87"/>
        <v>298.6148747230165</v>
      </c>
      <c r="I173" s="238">
        <v>0</v>
      </c>
      <c r="K173" s="281">
        <f>C173+E173-G173-I173</f>
        <v>0</v>
      </c>
    </row>
    <row r="174" spans="2:40" x14ac:dyDescent="0.2">
      <c r="B174" s="197" t="s">
        <v>422</v>
      </c>
      <c r="C174" s="238">
        <v>7028.7429099762057</v>
      </c>
      <c r="E174" s="238">
        <v>0</v>
      </c>
      <c r="G174" s="238">
        <f t="shared" si="87"/>
        <v>7028.7429099762066</v>
      </c>
      <c r="I174" s="238">
        <v>0</v>
      </c>
      <c r="K174" s="281">
        <f>ROUND(C174+E174-G174-I174, 10)</f>
        <v>0</v>
      </c>
    </row>
    <row r="175" spans="2:40" x14ac:dyDescent="0.2">
      <c r="B175" s="197" t="s">
        <v>444</v>
      </c>
      <c r="C175" s="238">
        <v>286.68478984220775</v>
      </c>
      <c r="E175" s="238">
        <v>0</v>
      </c>
      <c r="G175" s="238">
        <f t="shared" si="87"/>
        <v>286.68478984220775</v>
      </c>
      <c r="I175" s="238">
        <v>0</v>
      </c>
      <c r="K175" s="281">
        <f t="shared" ref="K175:K190" si="88">C175+E175-G175-I175</f>
        <v>0</v>
      </c>
    </row>
    <row r="176" spans="2:40" x14ac:dyDescent="0.2">
      <c r="B176" s="197" t="s">
        <v>474</v>
      </c>
      <c r="C176" s="238">
        <v>2.5875439035128025</v>
      </c>
      <c r="E176" s="238">
        <v>0</v>
      </c>
      <c r="G176" s="238">
        <f t="shared" si="87"/>
        <v>2.5875439035128025</v>
      </c>
      <c r="I176" s="238">
        <v>0</v>
      </c>
      <c r="K176" s="281">
        <f t="shared" si="88"/>
        <v>0</v>
      </c>
    </row>
    <row r="177" spans="2:18" x14ac:dyDescent="0.2">
      <c r="B177" s="197" t="s">
        <v>475</v>
      </c>
      <c r="C177" s="238">
        <v>5.1714158616864253E-4</v>
      </c>
      <c r="E177" s="238">
        <v>0</v>
      </c>
      <c r="G177" s="238">
        <f t="shared" si="87"/>
        <v>5.1714158616864253E-4</v>
      </c>
      <c r="I177" s="238">
        <v>0</v>
      </c>
      <c r="K177" s="281">
        <f t="shared" si="88"/>
        <v>0</v>
      </c>
    </row>
    <row r="178" spans="2:18" x14ac:dyDescent="0.2">
      <c r="B178" s="197" t="s">
        <v>478</v>
      </c>
      <c r="C178" s="238">
        <v>4.914718171980665</v>
      </c>
      <c r="E178" s="238">
        <v>0</v>
      </c>
      <c r="G178" s="238">
        <f t="shared" si="87"/>
        <v>4.914718171980665</v>
      </c>
      <c r="I178" s="238">
        <v>0</v>
      </c>
      <c r="K178" s="281">
        <f t="shared" si="88"/>
        <v>0</v>
      </c>
    </row>
    <row r="179" spans="2:18" x14ac:dyDescent="0.2">
      <c r="B179" s="197" t="s">
        <v>526</v>
      </c>
      <c r="C179" s="238">
        <v>0</v>
      </c>
      <c r="E179" s="238">
        <v>0</v>
      </c>
      <c r="G179" s="238">
        <f t="shared" si="87"/>
        <v>0</v>
      </c>
      <c r="I179" s="238">
        <v>0</v>
      </c>
      <c r="K179" s="281">
        <f t="shared" si="88"/>
        <v>0</v>
      </c>
    </row>
    <row r="180" spans="2:18" ht="16" x14ac:dyDescent="0.2">
      <c r="B180" s="198" t="s">
        <v>509</v>
      </c>
      <c r="C180" s="238">
        <v>0</v>
      </c>
      <c r="E180" s="238">
        <v>1011.7674660019052</v>
      </c>
      <c r="G180" s="238">
        <f t="shared" si="87"/>
        <v>1011.7674660019052</v>
      </c>
      <c r="I180" s="238">
        <v>0</v>
      </c>
      <c r="K180" s="281">
        <f t="shared" si="88"/>
        <v>0</v>
      </c>
    </row>
    <row r="181" spans="2:18" x14ac:dyDescent="0.2">
      <c r="B181" s="197" t="s">
        <v>476</v>
      </c>
      <c r="C181" s="238">
        <v>0</v>
      </c>
      <c r="E181" s="238">
        <v>32.219926549044033</v>
      </c>
      <c r="G181" s="238">
        <f t="shared" si="87"/>
        <v>0</v>
      </c>
      <c r="I181" s="238">
        <v>32.219926549044033</v>
      </c>
      <c r="K181" s="281">
        <f t="shared" si="88"/>
        <v>0</v>
      </c>
    </row>
    <row r="182" spans="2:18" ht="16" x14ac:dyDescent="0.2">
      <c r="B182" s="198" t="s">
        <v>479</v>
      </c>
      <c r="C182" s="238">
        <v>0</v>
      </c>
      <c r="E182" s="238">
        <v>208.55560337725498</v>
      </c>
      <c r="G182" s="238">
        <f t="shared" si="87"/>
        <v>208.55560337725498</v>
      </c>
      <c r="I182" s="238">
        <v>0</v>
      </c>
      <c r="K182" s="281">
        <f t="shared" si="88"/>
        <v>0</v>
      </c>
    </row>
    <row r="183" spans="2:18" x14ac:dyDescent="0.2">
      <c r="B183" s="197" t="s">
        <v>504</v>
      </c>
      <c r="C183" s="238">
        <v>0</v>
      </c>
      <c r="E183" s="238">
        <v>9.658257192857822E-2</v>
      </c>
      <c r="G183" s="238">
        <f t="shared" si="87"/>
        <v>0</v>
      </c>
      <c r="I183" s="238">
        <v>9.658257192857822E-2</v>
      </c>
      <c r="K183" s="281">
        <f t="shared" si="88"/>
        <v>0</v>
      </c>
    </row>
    <row r="184" spans="2:18" x14ac:dyDescent="0.2">
      <c r="B184" s="199" t="s">
        <v>497</v>
      </c>
      <c r="C184" s="238">
        <v>0</v>
      </c>
      <c r="D184" s="245" t="s">
        <v>438</v>
      </c>
      <c r="E184" s="238">
        <v>298.6148747230165</v>
      </c>
      <c r="F184" s="165" t="s">
        <v>440</v>
      </c>
      <c r="G184" s="238">
        <f t="shared" si="87"/>
        <v>298.6148747230165</v>
      </c>
      <c r="H184" s="165" t="s">
        <v>440</v>
      </c>
      <c r="I184" s="238">
        <v>0</v>
      </c>
      <c r="J184" s="245" t="s">
        <v>441</v>
      </c>
      <c r="K184" s="281">
        <f t="shared" si="88"/>
        <v>0</v>
      </c>
    </row>
    <row r="185" spans="2:18" x14ac:dyDescent="0.2">
      <c r="B185" s="197" t="s">
        <v>483</v>
      </c>
      <c r="C185" s="238">
        <v>0</v>
      </c>
      <c r="E185" s="238">
        <v>7.9771214256715108</v>
      </c>
      <c r="G185" s="238">
        <f t="shared" si="87"/>
        <v>0</v>
      </c>
      <c r="I185" s="238">
        <v>7.9771214256715108</v>
      </c>
      <c r="K185" s="281">
        <f t="shared" si="88"/>
        <v>0</v>
      </c>
    </row>
    <row r="186" spans="2:18" ht="16" x14ac:dyDescent="0.2">
      <c r="B186" s="198" t="s">
        <v>508</v>
      </c>
      <c r="C186" s="238">
        <v>0</v>
      </c>
      <c r="E186" s="238">
        <v>1011.7674660019052</v>
      </c>
      <c r="G186" s="238">
        <f t="shared" si="87"/>
        <v>1011.7674660019052</v>
      </c>
      <c r="I186" s="238">
        <v>0</v>
      </c>
      <c r="K186" s="281">
        <f t="shared" si="88"/>
        <v>0</v>
      </c>
    </row>
    <row r="187" spans="2:18" ht="16" x14ac:dyDescent="0.2">
      <c r="B187" s="198" t="s">
        <v>503</v>
      </c>
      <c r="C187" s="238">
        <v>0</v>
      </c>
      <c r="E187" s="238">
        <v>208.55560337725498</v>
      </c>
      <c r="G187" s="238">
        <f t="shared" si="87"/>
        <v>208.55560337725498</v>
      </c>
      <c r="I187" s="238">
        <v>0</v>
      </c>
      <c r="K187" s="281">
        <f t="shared" si="88"/>
        <v>0</v>
      </c>
    </row>
    <row r="188" spans="2:18" ht="16" x14ac:dyDescent="0.2">
      <c r="B188" s="198" t="s">
        <v>500</v>
      </c>
      <c r="C188" s="238">
        <v>0</v>
      </c>
      <c r="E188" s="238">
        <v>298.6148747230165</v>
      </c>
      <c r="G188" s="238">
        <f t="shared" si="87"/>
        <v>298.6148747230165</v>
      </c>
      <c r="I188" s="238">
        <v>0</v>
      </c>
      <c r="K188" s="281">
        <f t="shared" si="88"/>
        <v>0</v>
      </c>
    </row>
    <row r="189" spans="2:18" ht="16" x14ac:dyDescent="0.2">
      <c r="B189" s="198" t="s">
        <v>506</v>
      </c>
      <c r="C189" s="238">
        <v>0</v>
      </c>
      <c r="E189" s="238">
        <v>1000.0000000000001</v>
      </c>
      <c r="G189" s="238">
        <f t="shared" si="87"/>
        <v>1000.0000000000001</v>
      </c>
      <c r="I189" s="238">
        <v>0</v>
      </c>
      <c r="K189" s="281">
        <f t="shared" si="88"/>
        <v>0</v>
      </c>
    </row>
    <row r="190" spans="2:18" x14ac:dyDescent="0.2">
      <c r="B190" s="199" t="s">
        <v>505</v>
      </c>
      <c r="C190" s="238">
        <v>0</v>
      </c>
      <c r="E190" s="238">
        <v>11.767466001905108</v>
      </c>
      <c r="G190" s="238">
        <f t="shared" si="87"/>
        <v>0</v>
      </c>
      <c r="I190" s="238">
        <v>11.767466001905108</v>
      </c>
      <c r="K190" s="281">
        <f t="shared" si="88"/>
        <v>0</v>
      </c>
    </row>
    <row r="191" spans="2:18" x14ac:dyDescent="0.2">
      <c r="B191" s="199" t="s">
        <v>491</v>
      </c>
      <c r="C191" s="238">
        <v>0</v>
      </c>
      <c r="E191" s="238">
        <v>208.55560337725498</v>
      </c>
      <c r="G191" s="238">
        <f t="shared" si="87"/>
        <v>208.55560337725498</v>
      </c>
      <c r="I191" s="238">
        <v>0</v>
      </c>
      <c r="K191" s="281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199" t="s">
        <v>523</v>
      </c>
      <c r="C192" s="238">
        <v>0</v>
      </c>
      <c r="E192" s="238">
        <v>298.6148747230165</v>
      </c>
      <c r="G192" s="238">
        <f t="shared" si="87"/>
        <v>298.6148747230165</v>
      </c>
      <c r="I192" s="238">
        <v>0</v>
      </c>
      <c r="K192" s="281">
        <f t="shared" si="89"/>
        <v>0</v>
      </c>
      <c r="N192" s="25"/>
      <c r="P192" s="25"/>
      <c r="Q192" s="25"/>
      <c r="R192" s="25"/>
    </row>
    <row r="193" spans="2:19" x14ac:dyDescent="0.2">
      <c r="B193" s="199" t="s">
        <v>492</v>
      </c>
      <c r="C193" s="238">
        <v>0</v>
      </c>
      <c r="E193" s="238">
        <v>111.00813284002646</v>
      </c>
      <c r="G193" s="238">
        <f t="shared" si="87"/>
        <v>111.00813284002646</v>
      </c>
      <c r="I193" s="238">
        <v>0</v>
      </c>
      <c r="K193" s="281">
        <f t="shared" si="89"/>
        <v>0</v>
      </c>
      <c r="N193" s="25"/>
      <c r="P193" s="25"/>
      <c r="Q193" s="25"/>
      <c r="R193" s="25"/>
    </row>
    <row r="194" spans="2:19" x14ac:dyDescent="0.2">
      <c r="B194" s="199" t="s">
        <v>494</v>
      </c>
      <c r="C194" s="238">
        <v>0</v>
      </c>
      <c r="E194" s="238">
        <v>4.9847525450981189</v>
      </c>
      <c r="G194" s="238">
        <f t="shared" si="87"/>
        <v>0</v>
      </c>
      <c r="I194" s="238">
        <v>4.9847525450981189</v>
      </c>
      <c r="K194" s="281">
        <f t="shared" si="89"/>
        <v>0</v>
      </c>
      <c r="N194" s="25"/>
      <c r="P194" s="25"/>
      <c r="Q194" s="25"/>
      <c r="R194" s="25"/>
    </row>
    <row r="195" spans="2:19" x14ac:dyDescent="0.2">
      <c r="B195" s="199" t="s">
        <v>493</v>
      </c>
      <c r="C195" s="238">
        <v>0</v>
      </c>
      <c r="E195" s="238">
        <v>774.43493010294708</v>
      </c>
      <c r="G195" s="238">
        <f t="shared" si="87"/>
        <v>0</v>
      </c>
      <c r="I195" s="238">
        <v>774.43493010294708</v>
      </c>
      <c r="K195" s="281">
        <f t="shared" si="89"/>
        <v>0</v>
      </c>
      <c r="N195" s="25"/>
      <c r="P195" s="25"/>
      <c r="Q195" s="25"/>
      <c r="R195" s="25"/>
    </row>
    <row r="196" spans="2:19" x14ac:dyDescent="0.2">
      <c r="B196" s="199" t="s">
        <v>551</v>
      </c>
      <c r="C196" s="238">
        <v>0</v>
      </c>
      <c r="E196" s="238">
        <v>203.27980063725872</v>
      </c>
      <c r="G196" s="238">
        <f t="shared" si="87"/>
        <v>203.27980063725872</v>
      </c>
      <c r="I196" s="238">
        <v>0</v>
      </c>
      <c r="K196" s="281">
        <f t="shared" si="89"/>
        <v>0</v>
      </c>
    </row>
    <row r="197" spans="2:19" ht="16" x14ac:dyDescent="0.2">
      <c r="B197" s="239" t="s">
        <v>489</v>
      </c>
      <c r="C197" s="238">
        <v>0</v>
      </c>
      <c r="E197" s="238">
        <v>46.0998047134687</v>
      </c>
      <c r="G197" s="238">
        <f t="shared" si="87"/>
        <v>46.0998047134687</v>
      </c>
      <c r="I197" s="238">
        <v>0</v>
      </c>
      <c r="K197" s="281">
        <f t="shared" si="89"/>
        <v>0</v>
      </c>
    </row>
    <row r="198" spans="2:19" ht="16" x14ac:dyDescent="0.2">
      <c r="B198" s="239" t="s">
        <v>619</v>
      </c>
      <c r="C198" s="238">
        <v>0</v>
      </c>
      <c r="E198" s="238">
        <v>23.982067525572877</v>
      </c>
      <c r="G198" s="238">
        <f t="shared" ref="G198:G199" si="90">BG110</f>
        <v>0</v>
      </c>
      <c r="I198" s="238">
        <v>23.982067525572877</v>
      </c>
      <c r="K198" s="281">
        <f t="shared" si="89"/>
        <v>0</v>
      </c>
    </row>
    <row r="199" spans="2:19" x14ac:dyDescent="0.2">
      <c r="B199" s="199" t="s">
        <v>488</v>
      </c>
      <c r="C199" s="238">
        <v>0</v>
      </c>
      <c r="E199" s="238">
        <v>25.253201846716312</v>
      </c>
      <c r="G199" s="238">
        <f t="shared" si="90"/>
        <v>0</v>
      </c>
      <c r="I199" s="238">
        <v>25.253201846716312</v>
      </c>
      <c r="K199" s="281">
        <f t="shared" si="89"/>
        <v>0</v>
      </c>
      <c r="L199" s="25"/>
    </row>
    <row r="200" spans="2:19" x14ac:dyDescent="0.2">
      <c r="B200" s="197" t="s">
        <v>490</v>
      </c>
      <c r="C200" s="238">
        <v>0</v>
      </c>
      <c r="E200" s="238">
        <v>3698.8733194995434</v>
      </c>
      <c r="G200" s="238">
        <f t="shared" ref="G200:G206" si="91">BG112</f>
        <v>0</v>
      </c>
      <c r="I200" s="238">
        <v>3698.8733194995434</v>
      </c>
      <c r="K200" s="281">
        <f t="shared" si="89"/>
        <v>0</v>
      </c>
    </row>
    <row r="201" spans="2:19" x14ac:dyDescent="0.2">
      <c r="B201" s="199" t="s">
        <v>582</v>
      </c>
      <c r="C201" s="238">
        <v>0</v>
      </c>
      <c r="E201" s="238">
        <v>46.099804713468714</v>
      </c>
      <c r="G201" s="238">
        <f t="shared" si="91"/>
        <v>46.099804713468714</v>
      </c>
      <c r="I201" s="238">
        <v>0</v>
      </c>
      <c r="K201" s="281">
        <f t="shared" si="89"/>
        <v>0</v>
      </c>
    </row>
    <row r="202" spans="2:19" x14ac:dyDescent="0.2">
      <c r="B202" s="199" t="s">
        <v>584</v>
      </c>
      <c r="C202" s="238">
        <v>0</v>
      </c>
      <c r="E202" s="238">
        <v>46.099804713468714</v>
      </c>
      <c r="G202" s="238">
        <f t="shared" si="91"/>
        <v>32.269863299428096</v>
      </c>
      <c r="I202" s="238">
        <v>13.829941414040613</v>
      </c>
      <c r="K202" s="281">
        <f t="shared" si="89"/>
        <v>0</v>
      </c>
    </row>
    <row r="203" spans="2:19" x14ac:dyDescent="0.2">
      <c r="B203" s="199" t="s">
        <v>512</v>
      </c>
      <c r="C203" s="238">
        <v>0</v>
      </c>
      <c r="E203" s="238">
        <v>1314.2879334772852</v>
      </c>
      <c r="G203" s="238">
        <f t="shared" si="91"/>
        <v>1314.2879334772852</v>
      </c>
      <c r="I203" s="238">
        <v>0</v>
      </c>
      <c r="K203" s="281">
        <f t="shared" si="89"/>
        <v>0</v>
      </c>
      <c r="P203" s="231"/>
      <c r="Q203" s="231"/>
      <c r="R203" s="231"/>
      <c r="S203" s="231"/>
    </row>
    <row r="204" spans="2:19" x14ac:dyDescent="0.2">
      <c r="B204" s="199" t="s">
        <v>513</v>
      </c>
      <c r="C204" s="238">
        <v>0</v>
      </c>
      <c r="E204" s="238">
        <v>616.23583583508366</v>
      </c>
      <c r="G204" s="238">
        <f t="shared" si="91"/>
        <v>0</v>
      </c>
      <c r="I204" s="238">
        <v>616.23583583508366</v>
      </c>
      <c r="K204" s="281">
        <f t="shared" si="89"/>
        <v>0</v>
      </c>
    </row>
    <row r="205" spans="2:19" x14ac:dyDescent="0.2">
      <c r="B205" s="199" t="s">
        <v>514</v>
      </c>
      <c r="C205" s="238">
        <v>0</v>
      </c>
      <c r="E205" s="238">
        <v>3402.2651449800928</v>
      </c>
      <c r="G205" s="238">
        <f t="shared" si="91"/>
        <v>0</v>
      </c>
      <c r="I205" s="238">
        <v>3402.2651449800928</v>
      </c>
      <c r="K205" s="281">
        <f t="shared" si="89"/>
        <v>0</v>
      </c>
    </row>
    <row r="206" spans="2:19" x14ac:dyDescent="0.2">
      <c r="B206" s="199" t="s">
        <v>524</v>
      </c>
      <c r="C206" s="238">
        <v>0</v>
      </c>
      <c r="E206" s="238">
        <v>229.94813284002646</v>
      </c>
      <c r="G206" s="238">
        <f t="shared" si="91"/>
        <v>0</v>
      </c>
      <c r="I206" s="238">
        <v>229.94813284002646</v>
      </c>
      <c r="K206" s="281">
        <f t="shared" si="89"/>
        <v>0</v>
      </c>
    </row>
    <row r="207" spans="2:19" ht="17" x14ac:dyDescent="0.2">
      <c r="B207" s="199"/>
      <c r="C207" s="3" t="s">
        <v>437</v>
      </c>
      <c r="E207" s="3" t="s">
        <v>439</v>
      </c>
      <c r="G207" s="25" t="s">
        <v>436</v>
      </c>
      <c r="I207" s="25" t="s">
        <v>38</v>
      </c>
      <c r="K207" s="25">
        <f>SUM(K171:K206)</f>
        <v>0</v>
      </c>
    </row>
    <row r="208" spans="2:19" x14ac:dyDescent="0.2">
      <c r="B208" s="199"/>
      <c r="G208" s="25"/>
      <c r="I208" s="25"/>
    </row>
    <row r="209" spans="2:15" x14ac:dyDescent="0.2">
      <c r="B209" s="199"/>
    </row>
    <row r="210" spans="2:15" x14ac:dyDescent="0.2">
      <c r="C210" s="450" t="s">
        <v>442</v>
      </c>
      <c r="D210" s="450"/>
      <c r="E210" s="450"/>
      <c r="F210" s="450"/>
      <c r="G210" s="450"/>
      <c r="L210" s="231"/>
      <c r="M210" s="231"/>
    </row>
    <row r="213" spans="2:15" x14ac:dyDescent="0.2">
      <c r="B213" s="197" t="s">
        <v>392</v>
      </c>
      <c r="C213" s="238" cm="1">
        <f t="array" ref="C213:C227">TRANSPOSE((AR120:BF120))</f>
        <v>1043.9873925509492</v>
      </c>
      <c r="E213" s="238">
        <f t="shared" ref="E213:E227" si="92">AM124</f>
        <v>1043.9873925509492</v>
      </c>
      <c r="G213" s="281">
        <f>C213-E213</f>
        <v>0</v>
      </c>
    </row>
    <row r="214" spans="2:15" x14ac:dyDescent="0.2">
      <c r="B214" s="197" t="s">
        <v>393</v>
      </c>
      <c r="C214" s="238">
        <v>208.65218594918355</v>
      </c>
      <c r="E214" s="238">
        <f t="shared" si="92"/>
        <v>208.65218594918355</v>
      </c>
      <c r="G214" s="281">
        <f t="shared" ref="G214:G227" si="93">C214-E214</f>
        <v>0</v>
      </c>
      <c r="N214" s="231"/>
      <c r="O214" s="231"/>
    </row>
    <row r="215" spans="2:15" x14ac:dyDescent="0.2">
      <c r="B215" s="197" t="s">
        <v>394</v>
      </c>
      <c r="C215" s="238">
        <v>306.591996148688</v>
      </c>
      <c r="E215" s="238">
        <f t="shared" si="92"/>
        <v>306.591996148688</v>
      </c>
      <c r="G215" s="281">
        <f t="shared" si="93"/>
        <v>0</v>
      </c>
    </row>
    <row r="216" spans="2:15" x14ac:dyDescent="0.2">
      <c r="B216" s="197" t="s">
        <v>522</v>
      </c>
      <c r="C216" s="238">
        <v>1011.7674660019052</v>
      </c>
      <c r="D216" s="240"/>
      <c r="E216" s="238">
        <f t="shared" si="92"/>
        <v>1011.7674660019052</v>
      </c>
      <c r="F216" s="240"/>
      <c r="G216" s="281">
        <f t="shared" si="93"/>
        <v>0</v>
      </c>
    </row>
    <row r="217" spans="2:15" x14ac:dyDescent="0.2">
      <c r="B217" s="197" t="s">
        <v>502</v>
      </c>
      <c r="C217" s="238">
        <v>208.55560337725498</v>
      </c>
      <c r="E217" s="238">
        <f t="shared" si="92"/>
        <v>208.55560337725498</v>
      </c>
      <c r="G217" s="281">
        <f t="shared" si="93"/>
        <v>0</v>
      </c>
      <c r="H217" s="231"/>
      <c r="I217" s="231"/>
      <c r="J217" s="231"/>
      <c r="K217" s="231"/>
    </row>
    <row r="218" spans="2:15" x14ac:dyDescent="0.2">
      <c r="B218" s="197" t="s">
        <v>501</v>
      </c>
      <c r="C218" s="238">
        <v>298.6148747230165</v>
      </c>
      <c r="E218" s="238">
        <f t="shared" si="92"/>
        <v>298.6148747230165</v>
      </c>
      <c r="G218" s="281">
        <f t="shared" si="93"/>
        <v>0</v>
      </c>
    </row>
    <row r="219" spans="2:15" x14ac:dyDescent="0.2">
      <c r="B219" s="197" t="s">
        <v>418</v>
      </c>
      <c r="C219" s="238">
        <v>1011.7674660019052</v>
      </c>
      <c r="E219" s="238">
        <f t="shared" si="92"/>
        <v>1011.7674660019052</v>
      </c>
      <c r="G219" s="281">
        <f t="shared" si="93"/>
        <v>0</v>
      </c>
    </row>
    <row r="220" spans="2:15" x14ac:dyDescent="0.2">
      <c r="B220" s="197" t="s">
        <v>415</v>
      </c>
      <c r="C220" s="238">
        <v>208.55560337725498</v>
      </c>
      <c r="D220" s="165" t="s">
        <v>445</v>
      </c>
      <c r="E220" s="238">
        <f t="shared" si="92"/>
        <v>208.55560337725498</v>
      </c>
      <c r="F220" s="165" t="s">
        <v>441</v>
      </c>
      <c r="G220" s="281">
        <f t="shared" si="93"/>
        <v>0</v>
      </c>
    </row>
    <row r="221" spans="2:15" x14ac:dyDescent="0.2">
      <c r="B221" s="197" t="s">
        <v>429</v>
      </c>
      <c r="C221" s="238">
        <v>298.6148747230165</v>
      </c>
      <c r="E221" s="238">
        <f t="shared" si="92"/>
        <v>298.6148747230165</v>
      </c>
      <c r="G221" s="281">
        <f t="shared" si="93"/>
        <v>0</v>
      </c>
    </row>
    <row r="222" spans="2:15" x14ac:dyDescent="0.2">
      <c r="B222" s="197" t="s">
        <v>416</v>
      </c>
      <c r="C222" s="238">
        <v>890.42781548807159</v>
      </c>
      <c r="E222" s="238">
        <f t="shared" si="92"/>
        <v>890.4278154880717</v>
      </c>
      <c r="G222" s="281">
        <f t="shared" si="93"/>
        <v>0</v>
      </c>
    </row>
    <row r="223" spans="2:15" x14ac:dyDescent="0.2">
      <c r="B223" s="197" t="s">
        <v>411</v>
      </c>
      <c r="C223" s="238">
        <v>3997.4881942225597</v>
      </c>
      <c r="E223" s="238">
        <f t="shared" si="92"/>
        <v>3997.4881942225602</v>
      </c>
      <c r="G223" s="281">
        <f t="shared" si="93"/>
        <v>0</v>
      </c>
    </row>
    <row r="224" spans="2:15" x14ac:dyDescent="0.2">
      <c r="B224" s="197" t="s">
        <v>581</v>
      </c>
      <c r="C224" s="238">
        <v>46.0998047134687</v>
      </c>
      <c r="E224" s="238">
        <f t="shared" si="92"/>
        <v>46.099804713468714</v>
      </c>
      <c r="G224" s="281">
        <f t="shared" si="93"/>
        <v>0</v>
      </c>
    </row>
    <row r="225" spans="2:11" x14ac:dyDescent="0.2">
      <c r="B225" s="197" t="s">
        <v>583</v>
      </c>
      <c r="C225" s="238">
        <v>46.099804713468714</v>
      </c>
      <c r="E225" s="238">
        <f t="shared" si="92"/>
        <v>46.099804713468714</v>
      </c>
      <c r="G225" s="281">
        <f t="shared" si="93"/>
        <v>0</v>
      </c>
    </row>
    <row r="226" spans="2:11" x14ac:dyDescent="0.2">
      <c r="B226" s="197" t="s">
        <v>80</v>
      </c>
      <c r="C226" s="238">
        <v>1314.2879334772852</v>
      </c>
      <c r="E226" s="238">
        <f t="shared" si="92"/>
        <v>1314.2879334772852</v>
      </c>
      <c r="G226" s="281">
        <f t="shared" si="93"/>
        <v>0</v>
      </c>
    </row>
    <row r="227" spans="2:11" x14ac:dyDescent="0.2">
      <c r="B227" s="197" t="s">
        <v>404</v>
      </c>
      <c r="C227" s="238">
        <v>4248.4491136552024</v>
      </c>
      <c r="D227" s="165"/>
      <c r="E227" s="238">
        <f t="shared" si="92"/>
        <v>4248.4491136552024</v>
      </c>
      <c r="G227" s="281">
        <f t="shared" si="93"/>
        <v>0</v>
      </c>
    </row>
    <row r="228" spans="2:11" x14ac:dyDescent="0.2">
      <c r="B228" s="199"/>
      <c r="C228" s="165" t="s">
        <v>435</v>
      </c>
      <c r="D228" s="165"/>
      <c r="E228" s="165" t="s">
        <v>432</v>
      </c>
      <c r="F228" s="165"/>
      <c r="G228" s="165">
        <v>0</v>
      </c>
    </row>
    <row r="229" spans="2:11" x14ac:dyDescent="0.2">
      <c r="B229" s="199"/>
    </row>
    <row r="230" spans="2:11" x14ac:dyDescent="0.2">
      <c r="B230" s="199"/>
    </row>
    <row r="235" spans="2:11" x14ac:dyDescent="0.2">
      <c r="H235" s="165"/>
      <c r="I235" s="165"/>
      <c r="J235" s="165"/>
      <c r="K235" s="165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3" zoomScale="85" workbookViewId="0">
      <selection activeCell="AR121" sqref="AR121:BF12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0" t="s">
        <v>633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581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581</v>
      </c>
      <c r="BX1" s="200" t="s">
        <v>583</v>
      </c>
      <c r="BY1" s="200" t="s">
        <v>80</v>
      </c>
      <c r="BZ1" s="200" t="s">
        <v>404</v>
      </c>
    </row>
    <row r="2" spans="2:78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</row>
    <row r="3" spans="2:78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</row>
    <row r="4" spans="2:78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</row>
    <row r="5" spans="2:78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</row>
    <row r="6" spans="2:78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</row>
    <row r="7" spans="2:78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</row>
    <row r="8" spans="2:78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</row>
    <row r="9" spans="2:78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</row>
    <row r="10" spans="2:78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</row>
    <row r="11" spans="2:78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</row>
    <row r="12" spans="2:78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</row>
    <row r="13" spans="2:78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</row>
    <row r="14" spans="2:78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</row>
    <row r="15" spans="2:78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</row>
    <row r="16" spans="2:78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</row>
    <row r="17" spans="2:78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</row>
    <row r="18" spans="2:78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</row>
    <row r="19" spans="2:78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</row>
    <row r="20" spans="2:78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</row>
    <row r="21" spans="2:78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</row>
    <row r="22" spans="2:78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</row>
    <row r="23" spans="2:78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</row>
    <row r="24" spans="2:78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</row>
    <row r="25" spans="2:78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</row>
    <row r="26" spans="2:78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</row>
    <row r="27" spans="2:78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</row>
    <row r="28" spans="2:78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</row>
    <row r="29" spans="2:78" ht="16" x14ac:dyDescent="0.2">
      <c r="B29" s="239" t="s">
        <v>619</v>
      </c>
      <c r="C29" s="270">
        <v>1</v>
      </c>
      <c r="AQ29" s="239" t="s">
        <v>619</v>
      </c>
      <c r="AR29" s="270">
        <v>0</v>
      </c>
      <c r="AS29" s="270">
        <v>0</v>
      </c>
      <c r="AT29" s="270">
        <v>0</v>
      </c>
      <c r="AU29" s="270">
        <v>0</v>
      </c>
      <c r="AV29" s="270">
        <v>0</v>
      </c>
      <c r="AW29" s="270">
        <v>0</v>
      </c>
      <c r="AX29" s="270">
        <v>0</v>
      </c>
      <c r="AY29" s="270">
        <v>0</v>
      </c>
      <c r="AZ29" s="270">
        <v>0</v>
      </c>
      <c r="BA29" s="270">
        <v>0</v>
      </c>
      <c r="BB29" s="270">
        <v>0</v>
      </c>
      <c r="BC29" s="270">
        <v>0</v>
      </c>
      <c r="BD29" s="270">
        <v>0</v>
      </c>
      <c r="BE29" s="270">
        <v>0</v>
      </c>
      <c r="BF29" s="270">
        <v>0</v>
      </c>
      <c r="BK29" s="239" t="s">
        <v>619</v>
      </c>
      <c r="BL29" s="270">
        <v>0</v>
      </c>
      <c r="BM29" s="270">
        <v>0</v>
      </c>
      <c r="BN29" s="270">
        <v>0</v>
      </c>
      <c r="BO29" s="270">
        <v>0</v>
      </c>
      <c r="BP29" s="270">
        <v>0</v>
      </c>
      <c r="BQ29" s="270">
        <v>0</v>
      </c>
      <c r="BR29" s="270">
        <v>0</v>
      </c>
      <c r="BS29" s="270">
        <v>0</v>
      </c>
      <c r="BT29" s="270">
        <v>0</v>
      </c>
      <c r="BU29" s="270">
        <v>0</v>
      </c>
      <c r="BV29" s="270">
        <v>0</v>
      </c>
      <c r="BW29" s="270">
        <v>0</v>
      </c>
      <c r="BX29" s="270">
        <v>0</v>
      </c>
      <c r="BY29" s="270">
        <v>0</v>
      </c>
      <c r="BZ29" s="270">
        <v>0</v>
      </c>
    </row>
    <row r="30" spans="2:78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</row>
    <row r="31" spans="2:78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</row>
    <row r="32" spans="2:78" x14ac:dyDescent="0.2">
      <c r="B32" s="199" t="s">
        <v>582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</row>
    <row r="33" spans="2:78" x14ac:dyDescent="0.2">
      <c r="B33" s="199" t="s">
        <v>584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</row>
    <row r="34" spans="2:78" x14ac:dyDescent="0.2">
      <c r="B34" s="199" t="s">
        <v>512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</row>
    <row r="35" spans="2:78" x14ac:dyDescent="0.2">
      <c r="B35" s="199" t="s">
        <v>513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</row>
    <row r="36" spans="2:78" x14ac:dyDescent="0.2">
      <c r="B36" s="199" t="s">
        <v>514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</row>
    <row r="37" spans="2:78" x14ac:dyDescent="0.2">
      <c r="B37" s="199" t="s">
        <v>524</v>
      </c>
      <c r="C37" s="270">
        <v>1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</row>
    <row r="38" spans="2:78" x14ac:dyDescent="0.2">
      <c r="C38" s="165" t="s">
        <v>540</v>
      </c>
      <c r="AQ38" s="199"/>
      <c r="AR38" s="450" t="s">
        <v>537</v>
      </c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K38" s="199"/>
      <c r="BL38" s="450" t="s">
        <v>538</v>
      </c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</row>
    <row r="39" spans="2:78" x14ac:dyDescent="0.2">
      <c r="AQ39" s="199"/>
      <c r="BK39" s="199"/>
    </row>
    <row r="40" spans="2:78" x14ac:dyDescent="0.2">
      <c r="AQ40" s="199"/>
    </row>
    <row r="41" spans="2:78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8" x14ac:dyDescent="0.2">
      <c r="AQ42" s="197" t="s">
        <v>400</v>
      </c>
      <c r="AR42" s="270">
        <f>AR83</f>
        <v>-841.69623437072971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8" x14ac:dyDescent="0.2">
      <c r="AQ43" s="197" t="s">
        <v>402</v>
      </c>
      <c r="AR43" s="270">
        <f t="shared" ref="AR43:BF68" si="1">AR84</f>
        <v>0</v>
      </c>
      <c r="AS43" s="270">
        <f t="shared" si="1"/>
        <v>-1202.01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si="1"/>
        <v>0</v>
      </c>
      <c r="BA43" s="270">
        <f t="shared" si="1"/>
        <v>0</v>
      </c>
      <c r="BB43" s="270">
        <f t="shared" si="1"/>
        <v>0</v>
      </c>
      <c r="BC43" s="270">
        <f t="shared" si="1"/>
        <v>0</v>
      </c>
      <c r="BD43" s="270">
        <f t="shared" si="1"/>
        <v>0</v>
      </c>
      <c r="BE43" s="270">
        <f t="shared" si="1"/>
        <v>0</v>
      </c>
      <c r="BF43" s="270">
        <f t="shared" si="1"/>
        <v>0</v>
      </c>
    </row>
    <row r="44" spans="2:78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23054812.906863328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si="1"/>
        <v>0</v>
      </c>
      <c r="BA44" s="270">
        <f t="shared" si="1"/>
        <v>0</v>
      </c>
      <c r="BB44" s="270">
        <f t="shared" si="1"/>
        <v>0</v>
      </c>
      <c r="BC44" s="270">
        <f t="shared" si="1"/>
        <v>0</v>
      </c>
      <c r="BD44" s="270">
        <f t="shared" si="1"/>
        <v>0</v>
      </c>
      <c r="BE44" s="270">
        <f t="shared" si="1"/>
        <v>0</v>
      </c>
      <c r="BF44" s="270">
        <f t="shared" si="1"/>
        <v>0</v>
      </c>
    </row>
    <row r="45" spans="2:78" x14ac:dyDescent="0.2">
      <c r="AQ45" s="197" t="s">
        <v>422</v>
      </c>
      <c r="AR45" s="270">
        <f t="shared" si="1"/>
        <v>0</v>
      </c>
      <c r="AS45" s="270">
        <f t="shared" si="1"/>
        <v>0</v>
      </c>
      <c r="AT45" s="270">
        <f t="shared" si="1"/>
        <v>0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si="1"/>
        <v>0</v>
      </c>
      <c r="BA45" s="270">
        <f t="shared" si="1"/>
        <v>0</v>
      </c>
      <c r="BB45" s="270">
        <f t="shared" si="1"/>
        <v>0</v>
      </c>
      <c r="BC45" s="270">
        <f t="shared" si="1"/>
        <v>0</v>
      </c>
      <c r="BD45" s="270">
        <f t="shared" si="1"/>
        <v>0</v>
      </c>
      <c r="BE45" s="270">
        <f t="shared" si="1"/>
        <v>0</v>
      </c>
      <c r="BF45" s="270">
        <f t="shared" si="1"/>
        <v>0</v>
      </c>
    </row>
    <row r="46" spans="2:78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si="1"/>
        <v>0</v>
      </c>
      <c r="BA46" s="270">
        <f t="shared" si="1"/>
        <v>-74.599999999999994</v>
      </c>
      <c r="BB46" s="270">
        <f t="shared" si="1"/>
        <v>-74.599999999999994</v>
      </c>
      <c r="BC46" s="270">
        <f t="shared" si="1"/>
        <v>0</v>
      </c>
      <c r="BD46" s="270">
        <f t="shared" si="1"/>
        <v>0</v>
      </c>
      <c r="BE46" s="270">
        <f t="shared" si="1"/>
        <v>0</v>
      </c>
      <c r="BF46" s="270">
        <f t="shared" si="1"/>
        <v>-74.599999999999994</v>
      </c>
    </row>
    <row r="47" spans="2:78" x14ac:dyDescent="0.2">
      <c r="AQ47" s="197" t="s">
        <v>533</v>
      </c>
      <c r="AR47" s="270">
        <f t="shared" si="1"/>
        <v>7127.6028120000001</v>
      </c>
      <c r="AS47" s="270">
        <f t="shared" si="1"/>
        <v>7127.6028120000001</v>
      </c>
      <c r="AT47" s="270">
        <f t="shared" si="1"/>
        <v>7127.6028120000001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si="1"/>
        <v>0</v>
      </c>
      <c r="BA47" s="270">
        <f t="shared" si="1"/>
        <v>0</v>
      </c>
      <c r="BB47" s="270">
        <f t="shared" si="1"/>
        <v>0</v>
      </c>
      <c r="BC47" s="270">
        <f t="shared" si="1"/>
        <v>0</v>
      </c>
      <c r="BD47" s="270">
        <f t="shared" si="1"/>
        <v>0</v>
      </c>
      <c r="BE47" s="270">
        <f t="shared" si="1"/>
        <v>0</v>
      </c>
      <c r="BF47" s="270">
        <f t="shared" si="1"/>
        <v>0</v>
      </c>
    </row>
    <row r="48" spans="2:78" x14ac:dyDescent="0.2">
      <c r="AQ48" s="197" t="s">
        <v>534</v>
      </c>
      <c r="AR48" s="270">
        <f t="shared" si="1"/>
        <v>0</v>
      </c>
      <c r="AS48" s="270">
        <f t="shared" si="1"/>
        <v>-250.1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si="1"/>
        <v>0</v>
      </c>
      <c r="BA48" s="270">
        <f t="shared" si="1"/>
        <v>0</v>
      </c>
      <c r="BB48" s="270">
        <f t="shared" si="1"/>
        <v>0</v>
      </c>
      <c r="BC48" s="270">
        <f t="shared" si="1"/>
        <v>0</v>
      </c>
      <c r="BD48" s="270">
        <f t="shared" si="1"/>
        <v>0</v>
      </c>
      <c r="BE48" s="270">
        <f t="shared" si="1"/>
        <v>0</v>
      </c>
      <c r="BF48" s="270">
        <f t="shared" si="1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si="1"/>
        <v>0</v>
      </c>
      <c r="BA49" s="270">
        <f t="shared" si="1"/>
        <v>0</v>
      </c>
      <c r="BB49" s="270">
        <f t="shared" si="1"/>
        <v>0</v>
      </c>
      <c r="BC49" s="270">
        <f t="shared" si="1"/>
        <v>0</v>
      </c>
      <c r="BD49" s="270">
        <f t="shared" si="1"/>
        <v>0</v>
      </c>
      <c r="BE49" s="270">
        <f t="shared" si="1"/>
        <v>0</v>
      </c>
      <c r="BF49" s="270">
        <f t="shared" si="1"/>
        <v>5540.6175999999996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si="1"/>
        <v>0</v>
      </c>
      <c r="BA50" s="270">
        <f t="shared" si="1"/>
        <v>0</v>
      </c>
      <c r="BB50" s="270">
        <f t="shared" si="1"/>
        <v>0</v>
      </c>
      <c r="BC50" s="270">
        <f t="shared" si="1"/>
        <v>0</v>
      </c>
      <c r="BD50" s="270">
        <f t="shared" si="1"/>
        <v>0</v>
      </c>
      <c r="BE50" s="270">
        <f t="shared" si="1"/>
        <v>0</v>
      </c>
      <c r="BF50" s="270">
        <f t="shared" si="1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-841.69623437072971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si="1"/>
        <v>0</v>
      </c>
      <c r="BA51" s="270">
        <f t="shared" si="1"/>
        <v>0</v>
      </c>
      <c r="BB51" s="270">
        <f t="shared" si="1"/>
        <v>0</v>
      </c>
      <c r="BC51" s="270">
        <f t="shared" si="1"/>
        <v>0</v>
      </c>
      <c r="BD51" s="270">
        <f t="shared" si="1"/>
        <v>0</v>
      </c>
      <c r="BE51" s="270">
        <f t="shared" si="1"/>
        <v>0</v>
      </c>
      <c r="BF51" s="270">
        <f t="shared" si="1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si="1"/>
        <v>0</v>
      </c>
      <c r="BA52" s="270">
        <f t="shared" si="1"/>
        <v>0</v>
      </c>
      <c r="BB52" s="270">
        <f t="shared" si="1"/>
        <v>0</v>
      </c>
      <c r="BC52" s="270">
        <f t="shared" si="1"/>
        <v>0</v>
      </c>
      <c r="BD52" s="270">
        <f t="shared" si="1"/>
        <v>0</v>
      </c>
      <c r="BE52" s="270">
        <f t="shared" si="1"/>
        <v>0</v>
      </c>
      <c r="BF52" s="270">
        <f t="shared" si="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-1202.01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si="1"/>
        <v>0</v>
      </c>
      <c r="BA53" s="270">
        <f t="shared" si="1"/>
        <v>0</v>
      </c>
      <c r="BB53" s="270">
        <f t="shared" si="1"/>
        <v>0</v>
      </c>
      <c r="BC53" s="270">
        <f t="shared" si="1"/>
        <v>0</v>
      </c>
      <c r="BD53" s="270">
        <f t="shared" si="1"/>
        <v>0</v>
      </c>
      <c r="BE53" s="270">
        <f t="shared" si="1"/>
        <v>0</v>
      </c>
      <c r="BF53" s="270">
        <f t="shared" si="1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si="1"/>
        <v>0</v>
      </c>
      <c r="BA54" s="270">
        <f t="shared" si="1"/>
        <v>0</v>
      </c>
      <c r="BB54" s="270">
        <f t="shared" si="1"/>
        <v>0</v>
      </c>
      <c r="BC54" s="270">
        <f t="shared" si="1"/>
        <v>0</v>
      </c>
      <c r="BD54" s="270">
        <f t="shared" si="1"/>
        <v>0</v>
      </c>
      <c r="BE54" s="270">
        <f t="shared" si="1"/>
        <v>0</v>
      </c>
      <c r="BF54" s="270">
        <f t="shared" si="1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-284.89999999999998</v>
      </c>
      <c r="AX55" s="270">
        <f t="shared" si="1"/>
        <v>0</v>
      </c>
      <c r="AY55" s="270">
        <f t="shared" si="1"/>
        <v>0</v>
      </c>
      <c r="AZ55" s="270">
        <f t="shared" si="1"/>
        <v>0</v>
      </c>
      <c r="BA55" s="270">
        <f t="shared" si="1"/>
        <v>0</v>
      </c>
      <c r="BB55" s="270">
        <f t="shared" si="1"/>
        <v>0</v>
      </c>
      <c r="BC55" s="270">
        <f t="shared" si="1"/>
        <v>0</v>
      </c>
      <c r="BD55" s="270">
        <f t="shared" si="1"/>
        <v>0</v>
      </c>
      <c r="BE55" s="270">
        <f t="shared" si="1"/>
        <v>0</v>
      </c>
      <c r="BF55" s="270">
        <f t="shared" si="1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si="1"/>
        <v>0</v>
      </c>
      <c r="BA56" s="270">
        <f t="shared" si="1"/>
        <v>0</v>
      </c>
      <c r="BB56" s="270">
        <f t="shared" si="1"/>
        <v>0</v>
      </c>
      <c r="BC56" s="270">
        <f t="shared" si="1"/>
        <v>0</v>
      </c>
      <c r="BD56" s="270">
        <f t="shared" si="1"/>
        <v>0</v>
      </c>
      <c r="BE56" s="270">
        <f t="shared" si="1"/>
        <v>0</v>
      </c>
      <c r="BF56" s="270">
        <f t="shared" si="1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-841.69623437072971</v>
      </c>
      <c r="AY57" s="270">
        <f t="shared" si="1"/>
        <v>0</v>
      </c>
      <c r="AZ57" s="270">
        <f t="shared" si="1"/>
        <v>0</v>
      </c>
      <c r="BA57" s="270">
        <f t="shared" si="1"/>
        <v>0</v>
      </c>
      <c r="BB57" s="270">
        <f t="shared" si="1"/>
        <v>0</v>
      </c>
      <c r="BC57" s="270">
        <f t="shared" si="1"/>
        <v>0</v>
      </c>
      <c r="BD57" s="270">
        <f t="shared" si="1"/>
        <v>0</v>
      </c>
      <c r="BE57" s="270">
        <f t="shared" si="1"/>
        <v>0</v>
      </c>
      <c r="BF57" s="270">
        <f t="shared" si="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-1202.01</v>
      </c>
      <c r="AZ58" s="270">
        <f t="shared" si="1"/>
        <v>0</v>
      </c>
      <c r="BA58" s="270">
        <f t="shared" si="1"/>
        <v>0</v>
      </c>
      <c r="BB58" s="270">
        <f t="shared" si="1"/>
        <v>0</v>
      </c>
      <c r="BC58" s="270">
        <f t="shared" si="1"/>
        <v>0</v>
      </c>
      <c r="BD58" s="270">
        <f t="shared" ref="AS58:BF67" si="2">BD99</f>
        <v>0</v>
      </c>
      <c r="BE58" s="270">
        <f t="shared" si="2"/>
        <v>0</v>
      </c>
      <c r="BF58" s="270">
        <f t="shared" si="2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2"/>
        <v>0</v>
      </c>
      <c r="AT59" s="270">
        <f t="shared" si="2"/>
        <v>0</v>
      </c>
      <c r="AU59" s="270">
        <f t="shared" si="2"/>
        <v>0</v>
      </c>
      <c r="AV59" s="270">
        <f t="shared" si="2"/>
        <v>0</v>
      </c>
      <c r="AW59" s="270">
        <f t="shared" si="2"/>
        <v>0</v>
      </c>
      <c r="AX59" s="270">
        <f t="shared" si="2"/>
        <v>0</v>
      </c>
      <c r="AY59" s="270">
        <f t="shared" si="2"/>
        <v>0</v>
      </c>
      <c r="AZ59" s="270">
        <f t="shared" si="2"/>
        <v>-284.89999999999998</v>
      </c>
      <c r="BA59" s="270">
        <f t="shared" si="2"/>
        <v>0</v>
      </c>
      <c r="BB59" s="270">
        <f t="shared" si="2"/>
        <v>0</v>
      </c>
      <c r="BC59" s="270">
        <f t="shared" si="2"/>
        <v>0</v>
      </c>
      <c r="BD59" s="270">
        <f t="shared" si="2"/>
        <v>0</v>
      </c>
      <c r="BE59" s="270">
        <f t="shared" si="2"/>
        <v>0</v>
      </c>
      <c r="BF59" s="270">
        <f t="shared" si="2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2"/>
        <v>0</v>
      </c>
      <c r="AT60" s="270">
        <f t="shared" si="2"/>
        <v>0</v>
      </c>
      <c r="AU60" s="270">
        <f t="shared" si="2"/>
        <v>0</v>
      </c>
      <c r="AV60" s="270">
        <f t="shared" si="2"/>
        <v>0</v>
      </c>
      <c r="AW60" s="270">
        <f t="shared" si="2"/>
        <v>0</v>
      </c>
      <c r="AX60" s="270">
        <f t="shared" si="2"/>
        <v>0</v>
      </c>
      <c r="AY60" s="270">
        <f t="shared" si="2"/>
        <v>0</v>
      </c>
      <c r="AZ60" s="270">
        <f t="shared" si="2"/>
        <v>0</v>
      </c>
      <c r="BA60" s="270">
        <f t="shared" si="2"/>
        <v>0</v>
      </c>
      <c r="BB60" s="270">
        <f t="shared" si="2"/>
        <v>0</v>
      </c>
      <c r="BC60" s="270">
        <f t="shared" si="2"/>
        <v>0</v>
      </c>
      <c r="BD60" s="270">
        <f t="shared" si="2"/>
        <v>0</v>
      </c>
      <c r="BE60" s="270">
        <f t="shared" si="2"/>
        <v>-834.48831000000007</v>
      </c>
      <c r="BF60" s="270">
        <f t="shared" si="2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2"/>
        <v>0</v>
      </c>
      <c r="AT61" s="270">
        <f t="shared" si="2"/>
        <v>0</v>
      </c>
      <c r="AU61" s="270">
        <f t="shared" si="2"/>
        <v>0</v>
      </c>
      <c r="AV61" s="270">
        <f t="shared" si="2"/>
        <v>0</v>
      </c>
      <c r="AW61" s="270">
        <f t="shared" si="2"/>
        <v>0</v>
      </c>
      <c r="AX61" s="270">
        <f t="shared" si="2"/>
        <v>0</v>
      </c>
      <c r="AY61" s="270">
        <f t="shared" si="2"/>
        <v>0</v>
      </c>
      <c r="AZ61" s="270">
        <f t="shared" si="2"/>
        <v>0</v>
      </c>
      <c r="BA61" s="270">
        <f t="shared" si="2"/>
        <v>0</v>
      </c>
      <c r="BB61" s="270">
        <f t="shared" si="2"/>
        <v>0</v>
      </c>
      <c r="BC61" s="270">
        <f t="shared" si="2"/>
        <v>0</v>
      </c>
      <c r="BD61" s="270">
        <f t="shared" si="2"/>
        <v>0</v>
      </c>
      <c r="BE61" s="270">
        <f t="shared" si="2"/>
        <v>0</v>
      </c>
      <c r="BF61" s="270">
        <f t="shared" si="2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2"/>
        <v>0</v>
      </c>
      <c r="AT62" s="270">
        <f t="shared" si="2"/>
        <v>0</v>
      </c>
      <c r="AU62" s="270">
        <f t="shared" si="2"/>
        <v>0</v>
      </c>
      <c r="AV62" s="270">
        <f t="shared" si="2"/>
        <v>0</v>
      </c>
      <c r="AW62" s="270">
        <f t="shared" si="2"/>
        <v>0</v>
      </c>
      <c r="AX62" s="270">
        <f t="shared" si="2"/>
        <v>0</v>
      </c>
      <c r="AY62" s="270">
        <f t="shared" si="2"/>
        <v>0</v>
      </c>
      <c r="AZ62" s="270">
        <f t="shared" si="2"/>
        <v>0</v>
      </c>
      <c r="BA62" s="270">
        <f t="shared" si="2"/>
        <v>-1202.01</v>
      </c>
      <c r="BB62" s="270">
        <f t="shared" si="2"/>
        <v>0</v>
      </c>
      <c r="BC62" s="270">
        <f t="shared" si="2"/>
        <v>0</v>
      </c>
      <c r="BD62" s="270">
        <f t="shared" si="2"/>
        <v>0</v>
      </c>
      <c r="BE62" s="270">
        <f t="shared" si="2"/>
        <v>0</v>
      </c>
      <c r="BF62" s="270">
        <f t="shared" si="2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2"/>
        <v>0</v>
      </c>
      <c r="AT63" s="270">
        <f t="shared" si="2"/>
        <v>0</v>
      </c>
      <c r="AU63" s="270">
        <f t="shared" si="2"/>
        <v>0</v>
      </c>
      <c r="AV63" s="270">
        <f t="shared" si="2"/>
        <v>0</v>
      </c>
      <c r="AW63" s="270">
        <f t="shared" si="2"/>
        <v>0</v>
      </c>
      <c r="AX63" s="270">
        <f t="shared" si="2"/>
        <v>0</v>
      </c>
      <c r="AY63" s="270">
        <f t="shared" si="2"/>
        <v>0</v>
      </c>
      <c r="AZ63" s="270">
        <f t="shared" si="2"/>
        <v>0</v>
      </c>
      <c r="BA63" s="270">
        <f t="shared" si="2"/>
        <v>0</v>
      </c>
      <c r="BB63" s="270">
        <f t="shared" si="2"/>
        <v>-284.89999999999998</v>
      </c>
      <c r="BC63" s="270">
        <f t="shared" si="2"/>
        <v>0</v>
      </c>
      <c r="BD63" s="270">
        <f t="shared" si="2"/>
        <v>0</v>
      </c>
      <c r="BE63" s="270">
        <f t="shared" si="2"/>
        <v>0</v>
      </c>
      <c r="BF63" s="270">
        <f t="shared" si="2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2"/>
        <v>0</v>
      </c>
      <c r="AT64" s="270">
        <f t="shared" si="2"/>
        <v>0</v>
      </c>
      <c r="AU64" s="270">
        <f t="shared" si="2"/>
        <v>0</v>
      </c>
      <c r="AV64" s="270">
        <f t="shared" si="2"/>
        <v>0</v>
      </c>
      <c r="AW64" s="270">
        <f t="shared" si="2"/>
        <v>0</v>
      </c>
      <c r="AX64" s="270">
        <f t="shared" si="2"/>
        <v>0</v>
      </c>
      <c r="AY64" s="270">
        <f t="shared" si="2"/>
        <v>0</v>
      </c>
      <c r="AZ64" s="270">
        <f t="shared" si="2"/>
        <v>0</v>
      </c>
      <c r="BA64" s="270">
        <f t="shared" si="2"/>
        <v>0</v>
      </c>
      <c r="BB64" s="270">
        <f t="shared" si="2"/>
        <v>0</v>
      </c>
      <c r="BC64" s="270">
        <f t="shared" si="2"/>
        <v>0</v>
      </c>
      <c r="BD64" s="270">
        <f t="shared" si="2"/>
        <v>0</v>
      </c>
      <c r="BE64" s="270">
        <f t="shared" si="2"/>
        <v>-634.9</v>
      </c>
      <c r="BF64" s="270">
        <f t="shared" si="2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2"/>
        <v>0</v>
      </c>
      <c r="AT65" s="270">
        <f t="shared" si="2"/>
        <v>0</v>
      </c>
      <c r="AU65" s="270">
        <f t="shared" si="2"/>
        <v>0</v>
      </c>
      <c r="AV65" s="270">
        <f t="shared" si="2"/>
        <v>0</v>
      </c>
      <c r="AW65" s="270">
        <f t="shared" si="2"/>
        <v>0</v>
      </c>
      <c r="AX65" s="270">
        <f t="shared" si="2"/>
        <v>0</v>
      </c>
      <c r="AY65" s="270">
        <f t="shared" si="2"/>
        <v>0</v>
      </c>
      <c r="AZ65" s="270">
        <f t="shared" si="2"/>
        <v>0</v>
      </c>
      <c r="BA65" s="270">
        <f t="shared" si="2"/>
        <v>0</v>
      </c>
      <c r="BB65" s="270">
        <f t="shared" si="2"/>
        <v>0</v>
      </c>
      <c r="BC65" s="270">
        <f t="shared" si="2"/>
        <v>0</v>
      </c>
      <c r="BD65" s="270">
        <f t="shared" si="2"/>
        <v>0</v>
      </c>
      <c r="BE65" s="270">
        <f t="shared" si="2"/>
        <v>0</v>
      </c>
      <c r="BF65" s="270">
        <f t="shared" si="2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2"/>
        <v>0</v>
      </c>
      <c r="AT66" s="270">
        <f t="shared" si="2"/>
        <v>0</v>
      </c>
      <c r="AU66" s="270">
        <f t="shared" si="2"/>
        <v>0</v>
      </c>
      <c r="AV66" s="270">
        <f t="shared" si="2"/>
        <v>0</v>
      </c>
      <c r="AW66" s="270">
        <f t="shared" si="2"/>
        <v>0</v>
      </c>
      <c r="AX66" s="270">
        <f t="shared" si="2"/>
        <v>0</v>
      </c>
      <c r="AY66" s="270">
        <f t="shared" si="2"/>
        <v>0</v>
      </c>
      <c r="AZ66" s="270">
        <f t="shared" si="2"/>
        <v>0</v>
      </c>
      <c r="BA66" s="270">
        <f t="shared" si="2"/>
        <v>0</v>
      </c>
      <c r="BB66" s="270">
        <f t="shared" si="2"/>
        <v>0</v>
      </c>
      <c r="BC66" s="270">
        <f t="shared" si="2"/>
        <v>0</v>
      </c>
      <c r="BD66" s="270">
        <f t="shared" si="2"/>
        <v>0</v>
      </c>
      <c r="BE66" s="270">
        <f t="shared" si="2"/>
        <v>0</v>
      </c>
      <c r="BF66" s="270">
        <f t="shared" si="2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2"/>
        <v>0</v>
      </c>
      <c r="AT67" s="270">
        <f t="shared" si="2"/>
        <v>0</v>
      </c>
      <c r="AU67" s="270">
        <f t="shared" si="2"/>
        <v>0</v>
      </c>
      <c r="AV67" s="270">
        <f t="shared" si="2"/>
        <v>0</v>
      </c>
      <c r="AW67" s="270">
        <f t="shared" si="2"/>
        <v>0</v>
      </c>
      <c r="AX67" s="270">
        <f t="shared" si="2"/>
        <v>0</v>
      </c>
      <c r="AY67" s="270">
        <f t="shared" si="2"/>
        <v>0</v>
      </c>
      <c r="AZ67" s="270">
        <f t="shared" si="2"/>
        <v>0</v>
      </c>
      <c r="BA67" s="270">
        <f t="shared" si="2"/>
        <v>0</v>
      </c>
      <c r="BB67" s="270">
        <f t="shared" si="2"/>
        <v>0</v>
      </c>
      <c r="BC67" s="270">
        <f t="shared" si="2"/>
        <v>0</v>
      </c>
      <c r="BD67" s="270">
        <f t="shared" si="2"/>
        <v>0</v>
      </c>
      <c r="BE67" s="270">
        <f t="shared" si="2"/>
        <v>6546468.5968566798</v>
      </c>
      <c r="BF67" s="270">
        <f t="shared" si="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ref="AS68:BF68" si="3">AS109</f>
        <v>0</v>
      </c>
      <c r="AT68" s="270">
        <f t="shared" si="3"/>
        <v>0</v>
      </c>
      <c r="AU68" s="270">
        <f t="shared" si="3"/>
        <v>0</v>
      </c>
      <c r="AV68" s="270">
        <f t="shared" si="3"/>
        <v>0</v>
      </c>
      <c r="AW68" s="270">
        <f t="shared" si="3"/>
        <v>0</v>
      </c>
      <c r="AX68" s="270">
        <f t="shared" si="3"/>
        <v>0</v>
      </c>
      <c r="AY68" s="270">
        <f t="shared" si="3"/>
        <v>0</v>
      </c>
      <c r="AZ68" s="270">
        <f t="shared" si="3"/>
        <v>0</v>
      </c>
      <c r="BA68" s="270">
        <f t="shared" si="3"/>
        <v>0</v>
      </c>
      <c r="BB68" s="270">
        <f t="shared" si="3"/>
        <v>0</v>
      </c>
      <c r="BC68" s="270">
        <f t="shared" si="3"/>
        <v>-37.006500000000003</v>
      </c>
      <c r="BD68" s="270">
        <f t="shared" si="3"/>
        <v>0</v>
      </c>
      <c r="BE68" s="270">
        <f t="shared" si="3"/>
        <v>0</v>
      </c>
      <c r="BF68" s="270">
        <f t="shared" si="3"/>
        <v>0</v>
      </c>
    </row>
    <row r="69" spans="43:58" ht="16" x14ac:dyDescent="0.2">
      <c r="AQ69" s="239" t="s">
        <v>619</v>
      </c>
      <c r="AR69" s="270">
        <f t="shared" ref="AR69:BF69" si="4">AR110</f>
        <v>0</v>
      </c>
      <c r="AS69" s="270">
        <f t="shared" si="4"/>
        <v>0</v>
      </c>
      <c r="AT69" s="270">
        <f t="shared" si="4"/>
        <v>0</v>
      </c>
      <c r="AU69" s="270">
        <f t="shared" si="4"/>
        <v>0</v>
      </c>
      <c r="AV69" s="270">
        <f t="shared" si="4"/>
        <v>0</v>
      </c>
      <c r="AW69" s="270">
        <f t="shared" si="4"/>
        <v>0</v>
      </c>
      <c r="AX69" s="270">
        <f t="shared" si="4"/>
        <v>0</v>
      </c>
      <c r="AY69" s="270">
        <f t="shared" si="4"/>
        <v>0</v>
      </c>
      <c r="AZ69" s="270">
        <f t="shared" si="4"/>
        <v>0</v>
      </c>
      <c r="BA69" s="270">
        <f t="shared" si="4"/>
        <v>0</v>
      </c>
      <c r="BB69" s="270">
        <f t="shared" si="4"/>
        <v>0</v>
      </c>
      <c r="BC69" s="270">
        <f t="shared" si="4"/>
        <v>0</v>
      </c>
      <c r="BD69" s="270">
        <f t="shared" si="4"/>
        <v>0</v>
      </c>
      <c r="BE69" s="270">
        <f t="shared" si="4"/>
        <v>0</v>
      </c>
      <c r="BF69" s="270">
        <f t="shared" si="4"/>
        <v>0</v>
      </c>
    </row>
    <row r="70" spans="43:58" x14ac:dyDescent="0.2">
      <c r="AQ70" s="199" t="s">
        <v>488</v>
      </c>
      <c r="AR70" s="270">
        <f t="shared" ref="AR70:BF70" si="5">AR111</f>
        <v>0</v>
      </c>
      <c r="AS70" s="270">
        <f t="shared" si="5"/>
        <v>0</v>
      </c>
      <c r="AT70" s="270">
        <f t="shared" si="5"/>
        <v>0</v>
      </c>
      <c r="AU70" s="270">
        <f t="shared" si="5"/>
        <v>0</v>
      </c>
      <c r="AV70" s="270">
        <f t="shared" si="5"/>
        <v>0</v>
      </c>
      <c r="AW70" s="270">
        <f t="shared" si="5"/>
        <v>0</v>
      </c>
      <c r="AX70" s="270">
        <f t="shared" si="5"/>
        <v>0</v>
      </c>
      <c r="AY70" s="270">
        <f t="shared" si="5"/>
        <v>0</v>
      </c>
      <c r="AZ70" s="270">
        <f t="shared" si="5"/>
        <v>0</v>
      </c>
      <c r="BA70" s="270">
        <f t="shared" si="5"/>
        <v>0</v>
      </c>
      <c r="BB70" s="270">
        <f t="shared" si="5"/>
        <v>0</v>
      </c>
      <c r="BC70" s="270">
        <f t="shared" si="5"/>
        <v>0</v>
      </c>
      <c r="BD70" s="270">
        <f t="shared" si="5"/>
        <v>0</v>
      </c>
      <c r="BE70" s="270">
        <f t="shared" si="5"/>
        <v>0</v>
      </c>
      <c r="BF70" s="270">
        <f t="shared" si="5"/>
        <v>0</v>
      </c>
    </row>
    <row r="71" spans="43:58" x14ac:dyDescent="0.2">
      <c r="AQ71" s="197" t="s">
        <v>490</v>
      </c>
      <c r="AR71" s="270">
        <f t="shared" ref="AR71:BF71" si="6">AR112</f>
        <v>0</v>
      </c>
      <c r="AS71" s="270">
        <f t="shared" si="6"/>
        <v>0</v>
      </c>
      <c r="AT71" s="270">
        <f t="shared" si="6"/>
        <v>0</v>
      </c>
      <c r="AU71" s="270">
        <f t="shared" si="6"/>
        <v>0</v>
      </c>
      <c r="AV71" s="270">
        <f t="shared" si="6"/>
        <v>0</v>
      </c>
      <c r="AW71" s="270">
        <f t="shared" si="6"/>
        <v>0</v>
      </c>
      <c r="AX71" s="270">
        <f t="shared" si="6"/>
        <v>0</v>
      </c>
      <c r="AY71" s="270">
        <f t="shared" si="6"/>
        <v>0</v>
      </c>
      <c r="AZ71" s="270">
        <f t="shared" si="6"/>
        <v>0</v>
      </c>
      <c r="BA71" s="270">
        <f t="shared" si="6"/>
        <v>0</v>
      </c>
      <c r="BB71" s="270">
        <f t="shared" si="6"/>
        <v>0</v>
      </c>
      <c r="BC71" s="270">
        <f t="shared" si="6"/>
        <v>0</v>
      </c>
      <c r="BD71" s="270">
        <f t="shared" si="6"/>
        <v>0</v>
      </c>
      <c r="BE71" s="270">
        <f t="shared" si="6"/>
        <v>0</v>
      </c>
      <c r="BF71" s="270">
        <f t="shared" si="6"/>
        <v>0</v>
      </c>
    </row>
    <row r="72" spans="43:58" x14ac:dyDescent="0.2">
      <c r="AQ72" s="199" t="s">
        <v>582</v>
      </c>
      <c r="AR72" s="270">
        <f t="shared" ref="AR72:BF72" si="7">AR113</f>
        <v>0</v>
      </c>
      <c r="AS72" s="270">
        <f t="shared" si="7"/>
        <v>0</v>
      </c>
      <c r="AT72" s="270">
        <f t="shared" si="7"/>
        <v>0</v>
      </c>
      <c r="AU72" s="270">
        <f t="shared" si="7"/>
        <v>0</v>
      </c>
      <c r="AV72" s="270">
        <f t="shared" si="7"/>
        <v>0</v>
      </c>
      <c r="AW72" s="270">
        <f t="shared" si="7"/>
        <v>0</v>
      </c>
      <c r="AX72" s="270">
        <f t="shared" si="7"/>
        <v>0</v>
      </c>
      <c r="AY72" s="270">
        <f t="shared" si="7"/>
        <v>0</v>
      </c>
      <c r="AZ72" s="270">
        <f t="shared" si="7"/>
        <v>0</v>
      </c>
      <c r="BA72" s="270">
        <f t="shared" si="7"/>
        <v>0</v>
      </c>
      <c r="BB72" s="270">
        <f t="shared" si="7"/>
        <v>0</v>
      </c>
      <c r="BC72" s="270">
        <f t="shared" si="7"/>
        <v>0</v>
      </c>
      <c r="BD72" s="270">
        <f t="shared" si="7"/>
        <v>-23.917987170512152</v>
      </c>
      <c r="BE72" s="270">
        <f t="shared" si="7"/>
        <v>0</v>
      </c>
      <c r="BF72" s="270">
        <f t="shared" si="7"/>
        <v>0</v>
      </c>
    </row>
    <row r="73" spans="43:58" x14ac:dyDescent="0.2">
      <c r="AQ73" s="199" t="s">
        <v>584</v>
      </c>
      <c r="AR73" s="270">
        <f t="shared" ref="AR73:BF73" si="8">AR114</f>
        <v>0</v>
      </c>
      <c r="AS73" s="270">
        <f t="shared" si="8"/>
        <v>0</v>
      </c>
      <c r="AT73" s="270">
        <f t="shared" si="8"/>
        <v>0</v>
      </c>
      <c r="AU73" s="270">
        <f t="shared" si="8"/>
        <v>0</v>
      </c>
      <c r="AV73" s="270">
        <f t="shared" si="8"/>
        <v>0</v>
      </c>
      <c r="AW73" s="270">
        <f t="shared" si="8"/>
        <v>0</v>
      </c>
      <c r="AX73" s="270">
        <f t="shared" si="8"/>
        <v>0</v>
      </c>
      <c r="AY73" s="270">
        <f t="shared" si="8"/>
        <v>0</v>
      </c>
      <c r="AZ73" s="270">
        <f t="shared" si="8"/>
        <v>0</v>
      </c>
      <c r="BA73" s="270">
        <f t="shared" si="8"/>
        <v>0</v>
      </c>
      <c r="BB73" s="270">
        <f t="shared" si="8"/>
        <v>0</v>
      </c>
      <c r="BC73" s="270">
        <f t="shared" si="8"/>
        <v>0</v>
      </c>
      <c r="BD73" s="270">
        <f t="shared" si="8"/>
        <v>0</v>
      </c>
      <c r="BE73" s="270">
        <f t="shared" si="8"/>
        <v>0</v>
      </c>
      <c r="BF73" s="270">
        <f t="shared" si="8"/>
        <v>-23.917987170512156</v>
      </c>
    </row>
    <row r="74" spans="43:58" x14ac:dyDescent="0.2">
      <c r="AQ74" s="199" t="s">
        <v>512</v>
      </c>
      <c r="AR74" s="270">
        <f t="shared" ref="AR74:BF74" si="9">AR115</f>
        <v>0</v>
      </c>
      <c r="AS74" s="270">
        <f t="shared" si="9"/>
        <v>0</v>
      </c>
      <c r="AT74" s="270">
        <f t="shared" si="9"/>
        <v>0</v>
      </c>
      <c r="AU74" s="270">
        <f t="shared" si="9"/>
        <v>0</v>
      </c>
      <c r="AV74" s="270">
        <f t="shared" si="9"/>
        <v>0</v>
      </c>
      <c r="AW74" s="270">
        <f t="shared" si="9"/>
        <v>0</v>
      </c>
      <c r="AX74" s="270">
        <f t="shared" si="9"/>
        <v>0</v>
      </c>
      <c r="AY74" s="270">
        <f t="shared" si="9"/>
        <v>0</v>
      </c>
      <c r="AZ74" s="270">
        <f t="shared" si="9"/>
        <v>0</v>
      </c>
      <c r="BA74" s="270">
        <f t="shared" si="9"/>
        <v>0</v>
      </c>
      <c r="BB74" s="270">
        <f t="shared" si="9"/>
        <v>0</v>
      </c>
      <c r="BC74" s="270">
        <f t="shared" si="9"/>
        <v>0</v>
      </c>
      <c r="BD74" s="270">
        <f t="shared" si="9"/>
        <v>0</v>
      </c>
      <c r="BE74" s="270">
        <f t="shared" si="9"/>
        <v>0</v>
      </c>
      <c r="BF74" s="270">
        <f t="shared" si="9"/>
        <v>3963.8871338071585</v>
      </c>
    </row>
    <row r="75" spans="43:58" x14ac:dyDescent="0.2">
      <c r="AQ75" s="199" t="s">
        <v>513</v>
      </c>
      <c r="AR75" s="270">
        <f>AR116</f>
        <v>0</v>
      </c>
      <c r="AS75" s="270">
        <f t="shared" ref="AS75:BF77" si="10">AS116</f>
        <v>0</v>
      </c>
      <c r="AT75" s="270">
        <f t="shared" si="10"/>
        <v>0</v>
      </c>
      <c r="AU75" s="270">
        <f t="shared" si="10"/>
        <v>0</v>
      </c>
      <c r="AV75" s="270">
        <f t="shared" si="10"/>
        <v>0</v>
      </c>
      <c r="AW75" s="270">
        <f t="shared" si="10"/>
        <v>0</v>
      </c>
      <c r="AX75" s="270">
        <f t="shared" si="10"/>
        <v>0</v>
      </c>
      <c r="AY75" s="270">
        <f t="shared" si="10"/>
        <v>0</v>
      </c>
      <c r="AZ75" s="270">
        <f t="shared" si="10"/>
        <v>0</v>
      </c>
      <c r="BA75" s="270">
        <f t="shared" si="10"/>
        <v>0</v>
      </c>
      <c r="BB75" s="270">
        <f t="shared" si="10"/>
        <v>0</v>
      </c>
      <c r="BC75" s="270">
        <f t="shared" si="10"/>
        <v>0</v>
      </c>
      <c r="BD75" s="270">
        <f t="shared" si="10"/>
        <v>0</v>
      </c>
      <c r="BE75" s="270">
        <f t="shared" si="10"/>
        <v>0</v>
      </c>
      <c r="BF75" s="270">
        <f t="shared" si="10"/>
        <v>0</v>
      </c>
    </row>
    <row r="76" spans="43:58" x14ac:dyDescent="0.2">
      <c r="AQ76" s="199" t="s">
        <v>514</v>
      </c>
      <c r="AR76" s="270">
        <f>AR117</f>
        <v>0</v>
      </c>
      <c r="AS76" s="270">
        <f t="shared" si="10"/>
        <v>0</v>
      </c>
      <c r="AT76" s="270">
        <f t="shared" si="10"/>
        <v>0</v>
      </c>
      <c r="AU76" s="270">
        <f t="shared" si="10"/>
        <v>0</v>
      </c>
      <c r="AV76" s="270">
        <f t="shared" si="10"/>
        <v>0</v>
      </c>
      <c r="AW76" s="270">
        <f t="shared" si="10"/>
        <v>0</v>
      </c>
      <c r="AX76" s="270">
        <f t="shared" si="10"/>
        <v>0</v>
      </c>
      <c r="AY76" s="270">
        <f t="shared" si="10"/>
        <v>0</v>
      </c>
      <c r="AZ76" s="270">
        <f t="shared" si="10"/>
        <v>0</v>
      </c>
      <c r="BA76" s="270">
        <f t="shared" si="10"/>
        <v>0</v>
      </c>
      <c r="BB76" s="270">
        <f t="shared" si="10"/>
        <v>0</v>
      </c>
      <c r="BC76" s="270">
        <f t="shared" si="10"/>
        <v>0</v>
      </c>
      <c r="BD76" s="270">
        <f t="shared" si="10"/>
        <v>0</v>
      </c>
      <c r="BE76" s="270">
        <f t="shared" si="10"/>
        <v>0</v>
      </c>
      <c r="BF76" s="270">
        <f t="shared" si="10"/>
        <v>0</v>
      </c>
    </row>
    <row r="77" spans="43:58" x14ac:dyDescent="0.2">
      <c r="AQ77" s="199" t="s">
        <v>524</v>
      </c>
      <c r="AR77" s="270">
        <f>AR118</f>
        <v>0</v>
      </c>
      <c r="AS77" s="270">
        <f t="shared" si="10"/>
        <v>0</v>
      </c>
      <c r="AT77" s="270">
        <f t="shared" si="10"/>
        <v>0</v>
      </c>
      <c r="AU77" s="270">
        <f t="shared" si="10"/>
        <v>0</v>
      </c>
      <c r="AV77" s="270">
        <f t="shared" si="10"/>
        <v>0</v>
      </c>
      <c r="AW77" s="270">
        <f t="shared" si="10"/>
        <v>0</v>
      </c>
      <c r="AX77" s="270">
        <f t="shared" si="10"/>
        <v>0</v>
      </c>
      <c r="AY77" s="270">
        <f t="shared" si="10"/>
        <v>0</v>
      </c>
      <c r="AZ77" s="270">
        <f t="shared" si="10"/>
        <v>0</v>
      </c>
      <c r="BA77" s="270">
        <f t="shared" si="10"/>
        <v>0</v>
      </c>
      <c r="BB77" s="270">
        <f t="shared" si="10"/>
        <v>0</v>
      </c>
      <c r="BC77" s="270">
        <f t="shared" si="10"/>
        <v>0</v>
      </c>
      <c r="BD77" s="270">
        <f t="shared" si="10"/>
        <v>0</v>
      </c>
      <c r="BE77" s="270">
        <f t="shared" si="10"/>
        <v>0</v>
      </c>
      <c r="BF77" s="270">
        <f t="shared" si="10"/>
        <v>0</v>
      </c>
    </row>
    <row r="78" spans="43:58" x14ac:dyDescent="0.2">
      <c r="AQ78" s="199"/>
      <c r="AR78" s="450" t="s">
        <v>539</v>
      </c>
      <c r="AS78" s="450"/>
      <c r="AT78" s="450"/>
      <c r="AU78" s="450"/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</row>
    <row r="82" spans="33:66" ht="112" x14ac:dyDescent="0.2"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Ore_to_PI!O52</f>
        <v>-841.69623437072971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>SUM(AR83:BF83)</f>
        <v>-841.69623437072971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Ore_to_PI!O132</f>
        <v>-1202.01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>SUM(AR84:BF84)</f>
        <v>-1202.01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Ore_to_PI!O218</f>
        <v>23054812.906863328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ref="BG85:BG118" si="11">SUM(AR85:BF85)</f>
        <v>23054812.906863328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Ore_to_PI!O78</f>
        <v>0</v>
      </c>
      <c r="AS86" s="219">
        <f>Ore_to_PI!O169</f>
        <v>0</v>
      </c>
      <c r="AT86" s="219">
        <f>Ore_to_PI!O242</f>
        <v>0</v>
      </c>
      <c r="AU86" s="219"/>
      <c r="AV86" s="219"/>
      <c r="AW86" s="219"/>
      <c r="AX86" s="219"/>
      <c r="AY86" s="219"/>
      <c r="AZ86" s="219"/>
      <c r="BA86" s="219">
        <f>Ore_to_PI!BU146</f>
        <v>0</v>
      </c>
      <c r="BB86" s="219">
        <f>Ore_to_PI!BU238</f>
        <v>0</v>
      </c>
      <c r="BC86" s="219"/>
      <c r="BD86" s="219"/>
      <c r="BE86" s="219"/>
      <c r="BF86" s="229">
        <f>Ore_to_PI!EF146</f>
        <v>0</v>
      </c>
      <c r="BG86" s="238">
        <f t="shared" si="11"/>
        <v>0</v>
      </c>
      <c r="BK86" s="197" t="s">
        <v>422</v>
      </c>
      <c r="BL86" s="230"/>
      <c r="BM86" s="230"/>
      <c r="BN86" s="238">
        <f t="shared" ref="BN86:BN118" si="12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Ore_to_PI!BU157</f>
        <v>-74.599999999999994</v>
      </c>
      <c r="BB87" s="219">
        <f>Ore_to_PI!BU249</f>
        <v>-74.599999999999994</v>
      </c>
      <c r="BC87" s="219"/>
      <c r="BD87" s="219"/>
      <c r="BE87" s="219"/>
      <c r="BF87" s="219">
        <f>Ore_to_PI!EF119</f>
        <v>-74.599999999999994</v>
      </c>
      <c r="BG87" s="238">
        <f t="shared" si="11"/>
        <v>-223.79999999999998</v>
      </c>
      <c r="BK87" s="197" t="s">
        <v>444</v>
      </c>
      <c r="BL87" s="230"/>
      <c r="BM87" s="230"/>
      <c r="BN87" s="238">
        <f t="shared" si="12"/>
        <v>0</v>
      </c>
    </row>
    <row r="88" spans="33:66" x14ac:dyDescent="0.2">
      <c r="AG88" s="197"/>
      <c r="AH88" s="197"/>
      <c r="AQ88" s="197" t="s">
        <v>533</v>
      </c>
      <c r="AR88" s="219">
        <f>Ore_to_PI!O64</f>
        <v>7127.6028120000001</v>
      </c>
      <c r="AS88" s="219">
        <f>Ore_to_PI!O145</f>
        <v>7127.6028120000001</v>
      </c>
      <c r="AT88" s="219">
        <f>Ore_to_PI!O227</f>
        <v>7127.6028120000001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11"/>
        <v>21382.808435999999</v>
      </c>
      <c r="BK88" s="197" t="s">
        <v>533</v>
      </c>
      <c r="BL88" s="230"/>
      <c r="BM88" s="230"/>
      <c r="BN88" s="238">
        <f t="shared" si="12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Ore_to_PI!O156</f>
        <v>-250.1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11"/>
        <v>-250.1</v>
      </c>
      <c r="BK89" s="197" t="s">
        <v>534</v>
      </c>
      <c r="BL89" s="230"/>
      <c r="BM89" s="230"/>
      <c r="BN89" s="238">
        <f t="shared" si="12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Ore_to_PI!EF106</f>
        <v>5540.6175999999996</v>
      </c>
      <c r="BG90" s="238">
        <f t="shared" si="11"/>
        <v>5540.6175999999996</v>
      </c>
      <c r="BK90" s="197" t="s">
        <v>478</v>
      </c>
      <c r="BL90" s="230"/>
      <c r="BM90" s="230"/>
      <c r="BN90" s="238">
        <f t="shared" si="12"/>
        <v>0</v>
      </c>
    </row>
    <row r="91" spans="33:66" x14ac:dyDescent="0.2">
      <c r="AG91" s="197"/>
      <c r="AH91" s="197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11"/>
        <v>0</v>
      </c>
      <c r="BK91" s="197" t="s">
        <v>526</v>
      </c>
      <c r="BL91" s="230"/>
      <c r="BM91" s="230"/>
      <c r="BN91" s="238">
        <f t="shared" si="12"/>
        <v>0</v>
      </c>
    </row>
    <row r="92" spans="33:66" ht="16" x14ac:dyDescent="0.2">
      <c r="AG92" s="232"/>
      <c r="AH92" s="232"/>
      <c r="AQ92" s="198" t="s">
        <v>509</v>
      </c>
      <c r="AR92" s="219"/>
      <c r="AS92" s="219"/>
      <c r="AT92" s="219"/>
      <c r="AU92" s="219">
        <f>Ore_to_PI!AH52</f>
        <v>-841.69623437072971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11"/>
        <v>-841.69623437072971</v>
      </c>
      <c r="BK92" s="198" t="s">
        <v>509</v>
      </c>
      <c r="BL92" s="230"/>
      <c r="BM92" s="230"/>
      <c r="BN92" s="238">
        <f t="shared" si="12"/>
        <v>0</v>
      </c>
    </row>
    <row r="93" spans="33:66" ht="16" x14ac:dyDescent="0.2">
      <c r="AG93" s="198"/>
      <c r="AH93" s="198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11"/>
        <v>0</v>
      </c>
      <c r="BK93" s="197" t="s">
        <v>476</v>
      </c>
      <c r="BL93" s="230"/>
      <c r="BM93" s="230">
        <f>Ore_to_PI!AH70</f>
        <v>-99.008821849873215</v>
      </c>
      <c r="BN93" s="238">
        <f t="shared" si="12"/>
        <v>-99.008821849873215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Ore_to_PI!AI132</f>
        <v>-1202.01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11"/>
        <v>-1202.01</v>
      </c>
      <c r="BK94" s="198" t="s">
        <v>479</v>
      </c>
      <c r="BL94" s="230"/>
      <c r="BM94" s="234"/>
      <c r="BN94" s="238">
        <f t="shared" si="12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11"/>
        <v>0</v>
      </c>
      <c r="BK95" s="197" t="s">
        <v>504</v>
      </c>
      <c r="BL95" s="230"/>
      <c r="BM95" s="230">
        <f>Ore_to_PI!AI149</f>
        <v>-98.84370786785361</v>
      </c>
      <c r="BN95" s="238">
        <f t="shared" si="12"/>
        <v>-98.84370786785361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Ore_to_PI!AI217</f>
        <v>-284.89999999999998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11"/>
        <v>-284.89999999999998</v>
      </c>
      <c r="BK96" s="199" t="s">
        <v>497</v>
      </c>
      <c r="BL96" s="230"/>
      <c r="BM96" s="230"/>
      <c r="BN96" s="238">
        <f t="shared" si="12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11"/>
        <v>0</v>
      </c>
      <c r="BK97" s="197" t="s">
        <v>483</v>
      </c>
      <c r="BL97" s="230"/>
      <c r="BM97" s="230">
        <f>Ore_to_PI!AI234</f>
        <v>-99.008821849873215</v>
      </c>
      <c r="BN97" s="23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Ore_to_PI!BA52</f>
        <v>-841.69623437072971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11"/>
        <v>-841.69623437072971</v>
      </c>
      <c r="BK98" s="198" t="s">
        <v>508</v>
      </c>
      <c r="BL98" s="230"/>
      <c r="BM98" s="230"/>
      <c r="BN98" s="238">
        <f t="shared" si="12"/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Ore_to_PI!BB132</f>
        <v>-1202.01</v>
      </c>
      <c r="AZ99" s="219"/>
      <c r="BA99" s="219"/>
      <c r="BB99" s="219"/>
      <c r="BC99" s="219"/>
      <c r="BD99" s="219"/>
      <c r="BE99" s="219"/>
      <c r="BF99" s="219"/>
      <c r="BG99" s="238">
        <f t="shared" si="11"/>
        <v>-1202.01</v>
      </c>
      <c r="BK99" s="198" t="s">
        <v>503</v>
      </c>
      <c r="BL99" s="230"/>
      <c r="BM99" s="230"/>
      <c r="BN99" s="238">
        <f t="shared" si="12"/>
        <v>0</v>
      </c>
    </row>
    <row r="100" spans="33:71" ht="16" x14ac:dyDescent="0.2">
      <c r="AG100" s="199"/>
      <c r="AH100" s="19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Ore_to_PI!BB217</f>
        <v>-284.89999999999998</v>
      </c>
      <c r="BA100" s="219"/>
      <c r="BB100" s="219"/>
      <c r="BC100" s="219"/>
      <c r="BD100" s="219"/>
      <c r="BE100" s="219"/>
      <c r="BF100" s="219"/>
      <c r="BG100" s="238">
        <f t="shared" si="11"/>
        <v>-284.89999999999998</v>
      </c>
      <c r="BK100" s="198" t="s">
        <v>500</v>
      </c>
      <c r="BL100" s="230"/>
      <c r="BM100" s="230"/>
      <c r="BN100" s="238">
        <f t="shared" si="12"/>
        <v>0</v>
      </c>
    </row>
    <row r="101" spans="33:71" ht="16" x14ac:dyDescent="0.2">
      <c r="AG101" s="239"/>
      <c r="AH101" s="23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Ore_to_PI!BT48</f>
        <v>-834.48831000000007</v>
      </c>
      <c r="BF101" s="219"/>
      <c r="BG101" s="238">
        <f t="shared" si="11"/>
        <v>-834.48831000000007</v>
      </c>
      <c r="BK101" s="198" t="s">
        <v>506</v>
      </c>
      <c r="BL101" s="230"/>
      <c r="BM101" s="230"/>
      <c r="BN101" s="238">
        <f t="shared" si="1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11"/>
        <v>0</v>
      </c>
      <c r="BH102" s="25"/>
      <c r="BI102" s="25"/>
      <c r="BK102" s="199" t="s">
        <v>505</v>
      </c>
      <c r="BL102" s="230"/>
      <c r="BM102" s="230">
        <f>Ore_to_PI!BT63</f>
        <v>-1454.2261001517452</v>
      </c>
      <c r="BN102" s="238">
        <f t="shared" si="12"/>
        <v>-1454.2261001517452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Ore_to_PI!BU132</f>
        <v>-1202.01</v>
      </c>
      <c r="BB103" s="219"/>
      <c r="BC103" s="219"/>
      <c r="BD103" s="219"/>
      <c r="BE103" s="219"/>
      <c r="BF103" s="219"/>
      <c r="BG103" s="238">
        <f t="shared" si="11"/>
        <v>-1202.01</v>
      </c>
      <c r="BK103" s="199" t="s">
        <v>491</v>
      </c>
      <c r="BL103" s="230"/>
      <c r="BM103" s="230"/>
      <c r="BN103" s="238">
        <f t="shared" si="1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Ore_to_PI!BU217</f>
        <v>-284.89999999999998</v>
      </c>
      <c r="BC104" s="219"/>
      <c r="BD104" s="219"/>
      <c r="BE104" s="219"/>
      <c r="BF104" s="219"/>
      <c r="BG104" s="238">
        <f t="shared" si="11"/>
        <v>-284.89999999999998</v>
      </c>
      <c r="BK104" s="199" t="s">
        <v>523</v>
      </c>
      <c r="BL104" s="230"/>
      <c r="BM104" s="230"/>
      <c r="BN104" s="238">
        <f t="shared" si="1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Ore_to_PI!CP131</f>
        <v>-634.9</v>
      </c>
      <c r="BF105" s="219"/>
      <c r="BG105" s="238">
        <f t="shared" si="11"/>
        <v>-634.9</v>
      </c>
      <c r="BK105" s="199" t="s">
        <v>492</v>
      </c>
      <c r="BL105" s="230"/>
      <c r="BM105" s="230"/>
      <c r="BN105" s="238">
        <f t="shared" si="1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11"/>
        <v>0</v>
      </c>
      <c r="BK106" s="199" t="s">
        <v>494</v>
      </c>
      <c r="BL106" s="230"/>
      <c r="BM106" s="230">
        <f>Ore_to_PI!CP119</f>
        <v>-601.6</v>
      </c>
      <c r="BN106" s="238">
        <f t="shared" si="12"/>
        <v>-601.6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11"/>
        <v>0</v>
      </c>
      <c r="BK107" s="199" t="s">
        <v>493</v>
      </c>
      <c r="BL107" s="230"/>
      <c r="BM107" s="230">
        <f>Ore_to_PI!CP145</f>
        <v>-125.87204049624027</v>
      </c>
      <c r="BN107" s="238">
        <f t="shared" si="12"/>
        <v>-125.87204049624027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Ore_to_PI!CP211</f>
        <v>6546468.5968566798</v>
      </c>
      <c r="BF108" s="219"/>
      <c r="BG108" s="238">
        <f t="shared" si="11"/>
        <v>6546468.5968566798</v>
      </c>
      <c r="BK108" s="199" t="s">
        <v>551</v>
      </c>
      <c r="BL108" s="230"/>
      <c r="BM108" s="230"/>
      <c r="BN108" s="238">
        <f t="shared" si="1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Ore_to_PI!CP243</f>
        <v>-37.006500000000003</v>
      </c>
      <c r="BD109" s="219"/>
      <c r="BE109" s="219"/>
      <c r="BF109" s="219"/>
      <c r="BG109" s="238">
        <f t="shared" si="11"/>
        <v>-37.006500000000003</v>
      </c>
      <c r="BK109" s="239" t="s">
        <v>489</v>
      </c>
      <c r="BL109" s="230"/>
      <c r="BM109" s="230"/>
      <c r="BN109" s="238">
        <f t="shared" si="1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11"/>
        <v>0</v>
      </c>
      <c r="BK110" s="239" t="s">
        <v>619</v>
      </c>
      <c r="BL110" s="230"/>
      <c r="BM110" s="230">
        <f>Ore_to_PI!CP282</f>
        <v>-221.69899000000004</v>
      </c>
      <c r="BN110" s="238">
        <f t="shared" si="12"/>
        <v>-221.69899000000004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11"/>
        <v>0</v>
      </c>
      <c r="BK111" s="199" t="s">
        <v>488</v>
      </c>
      <c r="BL111" s="230"/>
      <c r="BM111" s="230">
        <f>Ore_to_PI!CP228</f>
        <v>-284.89999999999998</v>
      </c>
      <c r="BN111" s="238">
        <f t="shared" si="12"/>
        <v>-284.89999999999998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11"/>
        <v>0</v>
      </c>
      <c r="BK112" s="197" t="s">
        <v>490</v>
      </c>
      <c r="BL112" s="230"/>
      <c r="BM112" s="230">
        <f>Ore_to_PI!CP258</f>
        <v>-89.542108138870873</v>
      </c>
      <c r="BN112" s="238">
        <f t="shared" si="12"/>
        <v>-89.542108138870873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Ore_to_PI!DJ241</f>
        <v>-23.917987170512152</v>
      </c>
      <c r="BE113" s="219"/>
      <c r="BF113" s="229"/>
      <c r="BG113" s="238">
        <f t="shared" si="11"/>
        <v>-23.917987170512152</v>
      </c>
      <c r="BK113" s="199" t="s">
        <v>582</v>
      </c>
      <c r="BL113" s="230"/>
      <c r="BM113" s="230"/>
      <c r="BN113" s="238">
        <f t="shared" si="1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Ore_to_PI!EF160</f>
        <v>-23.917987170512156</v>
      </c>
      <c r="BG114" s="238">
        <f t="shared" si="11"/>
        <v>-23.917987170512156</v>
      </c>
      <c r="BK114" s="199" t="s">
        <v>584</v>
      </c>
      <c r="BL114" s="230">
        <f>Ore_to_PI!EZ241</f>
        <v>-23.917987170512156</v>
      </c>
      <c r="BM114" s="230"/>
      <c r="BN114" s="238">
        <f t="shared" si="12"/>
        <v>-23.917987170512156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Ore_to_PI!EF134</f>
        <v>3963.8871338071585</v>
      </c>
      <c r="BG115" s="238">
        <f t="shared" si="11"/>
        <v>3963.8871338071585</v>
      </c>
      <c r="BK115" s="199" t="s">
        <v>512</v>
      </c>
      <c r="BL115" s="230"/>
      <c r="BM115" s="230"/>
      <c r="BN115" s="238">
        <f t="shared" si="1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11"/>
        <v>0</v>
      </c>
      <c r="BK116" s="199" t="s">
        <v>513</v>
      </c>
      <c r="BL116" s="230">
        <f>Ore_to_PI!FF131</f>
        <v>0</v>
      </c>
      <c r="BM116" s="230"/>
      <c r="BN116" s="238">
        <f t="shared" si="12"/>
        <v>0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11"/>
        <v>0</v>
      </c>
      <c r="BK117" s="199" t="s">
        <v>514</v>
      </c>
      <c r="BL117" s="230"/>
      <c r="BM117" s="230">
        <f>Ore_to_PI!FF149</f>
        <v>-126.30390709179704</v>
      </c>
      <c r="BN117" s="238">
        <f t="shared" si="12"/>
        <v>-126.30390709179704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11"/>
        <v>0</v>
      </c>
      <c r="BK118" s="199" t="s">
        <v>524</v>
      </c>
      <c r="BL118" s="230"/>
      <c r="BM118" s="230">
        <f>Ore_to_PI!FF109</f>
        <v>-89.61</v>
      </c>
      <c r="BN118" s="238">
        <f t="shared" si="12"/>
        <v>-89.61</v>
      </c>
    </row>
    <row r="119" spans="2:66" x14ac:dyDescent="0.2">
      <c r="AG119" s="199"/>
      <c r="AH119" s="199"/>
      <c r="AQ119" s="199"/>
      <c r="AR119" s="450" t="s">
        <v>395</v>
      </c>
      <c r="AS119" s="450"/>
      <c r="AT119" s="450"/>
      <c r="AU119" s="450"/>
      <c r="AV119" s="450"/>
      <c r="AW119" s="450"/>
      <c r="AX119" s="450"/>
      <c r="AY119" s="450"/>
      <c r="AZ119" s="450"/>
      <c r="BA119" s="450"/>
      <c r="BB119" s="450"/>
      <c r="BC119" s="450"/>
      <c r="BD119" s="450"/>
      <c r="BE119" s="450"/>
      <c r="BF119" s="450"/>
      <c r="BG119" s="25" t="s">
        <v>436</v>
      </c>
      <c r="BL119" s="450" t="s">
        <v>397</v>
      </c>
      <c r="BM119" s="450"/>
      <c r="BN119" s="25" t="s">
        <v>448</v>
      </c>
    </row>
    <row r="120" spans="2:66" x14ac:dyDescent="0.2">
      <c r="AG120" s="199"/>
      <c r="AH120" s="199"/>
      <c r="AQ120" s="199"/>
      <c r="AR120" s="238">
        <f>SUM(AR83:AR118)</f>
        <v>6285.90657762927</v>
      </c>
      <c r="AS120" s="238">
        <f>SUM(AS83:AS118)</f>
        <v>5675.4928119999995</v>
      </c>
      <c r="AT120" s="238">
        <f>SUM(AT83:AT118)</f>
        <v>23061940.509675328</v>
      </c>
      <c r="AU120" s="238">
        <f t="shared" ref="AU120:BF120" si="13">SUM(AU83:AU118)</f>
        <v>-841.69623437072971</v>
      </c>
      <c r="AV120" s="238">
        <f t="shared" si="13"/>
        <v>-1202.01</v>
      </c>
      <c r="AW120" s="238">
        <f t="shared" si="13"/>
        <v>-284.89999999999998</v>
      </c>
      <c r="AX120" s="238">
        <f t="shared" si="13"/>
        <v>-841.69623437072971</v>
      </c>
      <c r="AY120" s="238">
        <f t="shared" si="13"/>
        <v>-1202.01</v>
      </c>
      <c r="AZ120" s="238">
        <f t="shared" si="13"/>
        <v>-284.89999999999998</v>
      </c>
      <c r="BA120" s="238">
        <f t="shared" si="13"/>
        <v>-1276.6099999999999</v>
      </c>
      <c r="BB120" s="238">
        <f t="shared" si="13"/>
        <v>-359.5</v>
      </c>
      <c r="BC120" s="238">
        <f t="shared" si="13"/>
        <v>-37.006500000000003</v>
      </c>
      <c r="BD120" s="238">
        <f t="shared" si="13"/>
        <v>-23.917987170512152</v>
      </c>
      <c r="BE120" s="238">
        <f t="shared" si="13"/>
        <v>6544999.2085466795</v>
      </c>
      <c r="BF120" s="238">
        <f t="shared" si="13"/>
        <v>9405.986746636645</v>
      </c>
      <c r="BL120" s="25"/>
      <c r="BM120" s="25"/>
    </row>
    <row r="121" spans="2:66" ht="13" customHeight="1" x14ac:dyDescent="0.2">
      <c r="C121" s="451"/>
      <c r="D121" s="451"/>
      <c r="E121" s="221"/>
      <c r="F121" s="221"/>
      <c r="G121" s="221"/>
      <c r="H121" s="221"/>
      <c r="I121" s="221"/>
      <c r="J121" s="221"/>
      <c r="K121" s="221"/>
      <c r="L121" s="221"/>
      <c r="M121" s="221"/>
      <c r="N121" s="221"/>
      <c r="O121" s="221"/>
      <c r="P121" s="221"/>
      <c r="Q121" s="221"/>
      <c r="R121" s="221"/>
      <c r="S121" s="221"/>
      <c r="T121" s="221"/>
      <c r="U121" s="221"/>
      <c r="V121" s="221"/>
      <c r="W121" s="221"/>
      <c r="X121" s="221"/>
      <c r="Y121" s="221"/>
      <c r="Z121" s="221"/>
      <c r="AA121" s="221"/>
      <c r="AB121" s="221"/>
      <c r="AC121" s="221"/>
      <c r="AD121" s="221"/>
      <c r="AE121" s="221"/>
      <c r="AF121" s="221"/>
      <c r="AG121" s="199"/>
      <c r="AH121" s="199"/>
      <c r="AI121" s="221"/>
      <c r="AJ121" s="221"/>
      <c r="AK121" s="221"/>
      <c r="AL121" s="221"/>
      <c r="AM121" s="221"/>
      <c r="AN121" s="221"/>
      <c r="AO121" s="221"/>
      <c r="AR121" s="450" t="s">
        <v>435</v>
      </c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450"/>
      <c r="BD121" s="450"/>
      <c r="BE121" s="450"/>
      <c r="BF121" s="450"/>
      <c r="BL121" s="25"/>
      <c r="BM121" s="25"/>
    </row>
    <row r="122" spans="2:66" ht="236" x14ac:dyDescent="0.2">
      <c r="B122" s="226"/>
      <c r="C122" s="200" t="s">
        <v>400</v>
      </c>
      <c r="D122" s="200" t="s">
        <v>402</v>
      </c>
      <c r="E122" s="200" t="s">
        <v>403</v>
      </c>
      <c r="F122" s="200" t="s">
        <v>422</v>
      </c>
      <c r="G122" s="200" t="s">
        <v>444</v>
      </c>
      <c r="H122" s="200" t="s">
        <v>533</v>
      </c>
      <c r="I122" s="200" t="s">
        <v>534</v>
      </c>
      <c r="J122" s="200" t="s">
        <v>478</v>
      </c>
      <c r="K122" s="200" t="s">
        <v>526</v>
      </c>
      <c r="L122" s="201" t="s">
        <v>509</v>
      </c>
      <c r="M122" s="200" t="s">
        <v>476</v>
      </c>
      <c r="N122" s="201" t="s">
        <v>479</v>
      </c>
      <c r="O122" s="200" t="s">
        <v>504</v>
      </c>
      <c r="P122" s="202" t="s">
        <v>497</v>
      </c>
      <c r="Q122" s="200" t="s">
        <v>483</v>
      </c>
      <c r="R122" s="201" t="s">
        <v>508</v>
      </c>
      <c r="S122" s="201" t="s">
        <v>503</v>
      </c>
      <c r="T122" s="201" t="s">
        <v>500</v>
      </c>
      <c r="U122" s="201" t="s">
        <v>506</v>
      </c>
      <c r="V122" s="202" t="s">
        <v>505</v>
      </c>
      <c r="W122" s="202" t="s">
        <v>491</v>
      </c>
      <c r="X122" s="202" t="s">
        <v>523</v>
      </c>
      <c r="Y122" s="202" t="s">
        <v>492</v>
      </c>
      <c r="Z122" s="202" t="s">
        <v>494</v>
      </c>
      <c r="AA122" s="202" t="s">
        <v>493</v>
      </c>
      <c r="AB122" s="202" t="s">
        <v>551</v>
      </c>
      <c r="AC122" s="220" t="s">
        <v>489</v>
      </c>
      <c r="AD122" s="220" t="s">
        <v>619</v>
      </c>
      <c r="AE122" s="202" t="s">
        <v>488</v>
      </c>
      <c r="AF122" s="200" t="s">
        <v>490</v>
      </c>
      <c r="AG122" s="202" t="s">
        <v>582</v>
      </c>
      <c r="AH122" s="202" t="s">
        <v>584</v>
      </c>
      <c r="AI122" s="202" t="s">
        <v>512</v>
      </c>
      <c r="AJ122" s="202" t="s">
        <v>513</v>
      </c>
      <c r="AK122" s="202" t="s">
        <v>514</v>
      </c>
      <c r="AL122" s="202" t="s">
        <v>524</v>
      </c>
      <c r="AM122" s="202"/>
    </row>
    <row r="123" spans="2:66" x14ac:dyDescent="0.2">
      <c r="B123" s="197" t="s">
        <v>392</v>
      </c>
      <c r="C123" s="219"/>
      <c r="D123" s="219"/>
      <c r="E123" s="219"/>
      <c r="F123" s="219"/>
      <c r="G123" s="219"/>
      <c r="H123" s="219"/>
      <c r="I123" s="219"/>
      <c r="J123" s="219"/>
      <c r="K123" s="219"/>
      <c r="L123" s="219">
        <f>Ore_to_PI!AH52</f>
        <v>-841.69623437072971</v>
      </c>
      <c r="M123" s="219">
        <f>Ore_to_PI!AH70</f>
        <v>-99.008821849873215</v>
      </c>
      <c r="N123" s="219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19"/>
      <c r="Z123" s="219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19"/>
      <c r="AL123" s="219"/>
      <c r="AM123" s="289">
        <f>SUM(C123:AL123)</f>
        <v>-940.70505622060296</v>
      </c>
    </row>
    <row r="124" spans="2:66" x14ac:dyDescent="0.2">
      <c r="B124" s="197" t="s">
        <v>393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/>
      <c r="M124" s="219"/>
      <c r="N124" s="219">
        <f>Ore_to_PI!AI132</f>
        <v>-1202.01</v>
      </c>
      <c r="O124" s="219">
        <f>Ore_to_PI!AI149</f>
        <v>-98.84370786785361</v>
      </c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89">
        <f t="shared" ref="AM124:AM137" si="14">SUM(C124:AL124)</f>
        <v>-1300.8537078678537</v>
      </c>
    </row>
    <row r="125" spans="2:66" x14ac:dyDescent="0.2">
      <c r="B125" s="197" t="s">
        <v>394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/>
      <c r="O125" s="219"/>
      <c r="P125" s="219">
        <f>Ore_to_PI!AI217</f>
        <v>-284.89999999999998</v>
      </c>
      <c r="Q125" s="219">
        <f>Ore_to_PI!AI234</f>
        <v>-99.008821849873215</v>
      </c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89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197" t="s">
        <v>522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>
        <f>Ore_to_PI!BA52</f>
        <v>-841.69623437072971</v>
      </c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89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197" t="s">
        <v>502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/>
      <c r="S127" s="219">
        <f>Ore_to_PI!BB132</f>
        <v>-1202.01</v>
      </c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89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197" t="s">
        <v>501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/>
      <c r="T128" s="219">
        <f>Ore_to_PI!BB217</f>
        <v>-284.89999999999998</v>
      </c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89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418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/>
      <c r="U129" s="219">
        <f>Ore_to_PI!BT48</f>
        <v>-834.48831000000007</v>
      </c>
      <c r="V129" s="219">
        <f>Ore_to_PI!BT63</f>
        <v>-1454.2261001517452</v>
      </c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89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415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/>
      <c r="V130" s="219"/>
      <c r="W130" s="219">
        <f>Ore_to_PI!BU132</f>
        <v>-1202.01</v>
      </c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89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429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>
        <f>Ore_to_PI!BU217</f>
        <v>-284.89999999999998</v>
      </c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89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416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19">
        <f>Ore_to_PI!CP131</f>
        <v>-634.9</v>
      </c>
      <c r="Z132" s="219">
        <f>Ore_to_PI!CP119</f>
        <v>-601.6</v>
      </c>
      <c r="AA132" s="219">
        <f>Ore_to_PI!CP145</f>
        <v>-125.87204049624027</v>
      </c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89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411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/>
      <c r="Z133" s="219"/>
      <c r="AA133" s="219"/>
      <c r="AB133" s="219">
        <f>Ore_to_PI!CP211</f>
        <v>6546468.5968566798</v>
      </c>
      <c r="AC133" s="219">
        <f>Ore_to_PI!CP243</f>
        <v>-37.006500000000003</v>
      </c>
      <c r="AD133" s="219">
        <f>Ore_to_PI!CP282</f>
        <v>-221.69899000000004</v>
      </c>
      <c r="AE133" s="219">
        <f>Ore_to_PI!CP228</f>
        <v>-284.89999999999998</v>
      </c>
      <c r="AF133" s="219">
        <f>Ore_to_PI!CP258</f>
        <v>-89.542108138870873</v>
      </c>
      <c r="AG133" s="219"/>
      <c r="AH133" s="219"/>
      <c r="AI133" s="219"/>
      <c r="AJ133" s="219"/>
      <c r="AK133" s="219"/>
      <c r="AL133" s="219"/>
      <c r="AM133" s="289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581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/>
      <c r="AC134" s="219"/>
      <c r="AD134" s="219"/>
      <c r="AE134" s="219"/>
      <c r="AF134" s="219"/>
      <c r="AG134" s="219">
        <f>Ore_to_PI!DJ241</f>
        <v>-23.917987170512152</v>
      </c>
      <c r="AH134" s="219"/>
      <c r="AI134" s="219"/>
      <c r="AJ134" s="219"/>
      <c r="AK134" s="219"/>
      <c r="AL134" s="219"/>
      <c r="AM134" s="289">
        <f t="shared" si="14"/>
        <v>-23.917987170512152</v>
      </c>
    </row>
    <row r="135" spans="2:65" x14ac:dyDescent="0.2">
      <c r="B135" s="197" t="s">
        <v>583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19">
        <f>Ore_to_PI!EE241</f>
        <v>-23.917987170512152</v>
      </c>
      <c r="AI135" s="219"/>
      <c r="AJ135" s="219"/>
      <c r="AK135" s="219"/>
      <c r="AL135" s="219"/>
      <c r="AM135" s="289">
        <f t="shared" si="14"/>
        <v>-23.917987170512152</v>
      </c>
    </row>
    <row r="136" spans="2:65" x14ac:dyDescent="0.2">
      <c r="B136" s="197" t="s">
        <v>80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>
        <f>Ore_to_PI!EF134</f>
        <v>3963.8871338071585</v>
      </c>
      <c r="AJ136" s="219"/>
      <c r="AK136" s="219"/>
      <c r="AL136" s="219"/>
      <c r="AM136" s="289">
        <f t="shared" si="14"/>
        <v>3963.8871338071585</v>
      </c>
    </row>
    <row r="137" spans="2:65" x14ac:dyDescent="0.2">
      <c r="B137" s="197" t="s">
        <v>404</v>
      </c>
      <c r="C137" s="219"/>
      <c r="D137" s="219"/>
      <c r="E137" s="219"/>
      <c r="F137" s="22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33"/>
      <c r="AB137" s="219"/>
      <c r="AC137" s="219"/>
      <c r="AD137" s="219"/>
      <c r="AE137" s="219"/>
      <c r="AF137" s="219"/>
      <c r="AG137" s="219"/>
      <c r="AH137" s="219"/>
      <c r="AI137" s="219"/>
      <c r="AJ137" s="219">
        <f>Ore_to_PI!FF131</f>
        <v>0</v>
      </c>
      <c r="AK137" s="219">
        <f>Ore_to_PI!FF149</f>
        <v>-126.30390709179704</v>
      </c>
      <c r="AL137" s="219">
        <f>Ore_to_PI!FF109</f>
        <v>-89.61</v>
      </c>
      <c r="AM137" s="289">
        <f t="shared" si="14"/>
        <v>-215.91390709179706</v>
      </c>
    </row>
    <row r="138" spans="2:65" x14ac:dyDescent="0.2">
      <c r="B138" s="197"/>
      <c r="C138" s="450" t="s">
        <v>396</v>
      </c>
      <c r="D138" s="450"/>
      <c r="E138" s="450"/>
      <c r="F138" s="450"/>
      <c r="G138" s="450"/>
      <c r="H138" s="450"/>
      <c r="I138" s="450"/>
      <c r="J138" s="450"/>
      <c r="K138" s="450"/>
      <c r="L138" s="450"/>
      <c r="M138" s="450"/>
      <c r="N138" s="450"/>
      <c r="O138" s="450"/>
      <c r="P138" s="450"/>
      <c r="Q138" s="450"/>
      <c r="R138" s="450"/>
      <c r="S138" s="450"/>
      <c r="T138" s="450"/>
      <c r="U138" s="450"/>
      <c r="V138" s="450"/>
      <c r="W138" s="450"/>
      <c r="X138" s="450"/>
      <c r="Y138" s="450"/>
      <c r="Z138" s="450"/>
      <c r="AA138" s="450"/>
      <c r="AB138" s="450"/>
      <c r="AC138" s="450"/>
      <c r="AD138" s="450"/>
      <c r="AE138" s="450"/>
      <c r="AF138" s="450"/>
      <c r="AG138" s="450"/>
      <c r="AH138" s="450"/>
      <c r="AI138" s="450"/>
      <c r="AJ138" s="450"/>
      <c r="AK138" s="450"/>
      <c r="AL138" s="450"/>
      <c r="AM138" s="165" t="s">
        <v>432</v>
      </c>
      <c r="AN138" s="25"/>
    </row>
    <row r="139" spans="2:65" x14ac:dyDescent="0.2">
      <c r="B139" s="197"/>
      <c r="C139" s="238">
        <f t="shared" ref="C139:G139" si="15">SUM(C123:C137)</f>
        <v>0</v>
      </c>
      <c r="D139" s="238">
        <f t="shared" si="15"/>
        <v>0</v>
      </c>
      <c r="E139" s="238">
        <f t="shared" si="15"/>
        <v>0</v>
      </c>
      <c r="F139" s="238">
        <f t="shared" si="15"/>
        <v>0</v>
      </c>
      <c r="G139" s="238">
        <f t="shared" si="15"/>
        <v>0</v>
      </c>
      <c r="H139" s="238">
        <f t="shared" ref="H139:AL139" si="16">SUM(H123:H137)</f>
        <v>0</v>
      </c>
      <c r="I139" s="238">
        <f t="shared" si="16"/>
        <v>0</v>
      </c>
      <c r="J139" s="238">
        <f t="shared" si="16"/>
        <v>0</v>
      </c>
      <c r="K139" s="238">
        <f t="shared" si="16"/>
        <v>0</v>
      </c>
      <c r="L139" s="238">
        <f t="shared" si="16"/>
        <v>-841.69623437072971</v>
      </c>
      <c r="M139" s="238">
        <f t="shared" si="16"/>
        <v>-99.008821849873215</v>
      </c>
      <c r="N139" s="238">
        <f t="shared" si="16"/>
        <v>-1202.01</v>
      </c>
      <c r="O139" s="238">
        <f t="shared" si="16"/>
        <v>-98.84370786785361</v>
      </c>
      <c r="P139" s="238">
        <f t="shared" si="16"/>
        <v>-284.89999999999998</v>
      </c>
      <c r="Q139" s="238">
        <f t="shared" si="16"/>
        <v>-99.008821849873215</v>
      </c>
      <c r="R139" s="238">
        <f t="shared" si="16"/>
        <v>-841.69623437072971</v>
      </c>
      <c r="S139" s="238">
        <f t="shared" si="16"/>
        <v>-1202.01</v>
      </c>
      <c r="T139" s="238">
        <f t="shared" si="16"/>
        <v>-284.89999999999998</v>
      </c>
      <c r="U139" s="238">
        <f t="shared" si="16"/>
        <v>-834.48831000000007</v>
      </c>
      <c r="V139" s="238">
        <f t="shared" si="16"/>
        <v>-1454.2261001517452</v>
      </c>
      <c r="W139" s="238">
        <f t="shared" si="16"/>
        <v>-1202.01</v>
      </c>
      <c r="X139" s="238">
        <f t="shared" si="16"/>
        <v>-284.89999999999998</v>
      </c>
      <c r="Y139" s="238">
        <f t="shared" si="16"/>
        <v>-634.9</v>
      </c>
      <c r="Z139" s="238">
        <f t="shared" si="16"/>
        <v>-601.6</v>
      </c>
      <c r="AA139" s="238">
        <f t="shared" si="16"/>
        <v>-125.87204049624027</v>
      </c>
      <c r="AB139" s="238">
        <f t="shared" si="16"/>
        <v>6546468.5968566798</v>
      </c>
      <c r="AC139" s="238">
        <f t="shared" si="16"/>
        <v>-37.006500000000003</v>
      </c>
      <c r="AD139" s="238">
        <f t="shared" si="16"/>
        <v>-221.69899000000004</v>
      </c>
      <c r="AE139" s="238">
        <f t="shared" si="16"/>
        <v>-284.89999999999998</v>
      </c>
      <c r="AF139" s="238">
        <f t="shared" si="16"/>
        <v>-89.542108138870873</v>
      </c>
      <c r="AG139" s="238">
        <f t="shared" si="16"/>
        <v>-23.917987170512152</v>
      </c>
      <c r="AH139" s="238">
        <f t="shared" si="16"/>
        <v>-23.917987170512152</v>
      </c>
      <c r="AI139" s="238">
        <f t="shared" si="16"/>
        <v>3963.8871338071585</v>
      </c>
      <c r="AJ139" s="238">
        <f t="shared" si="16"/>
        <v>0</v>
      </c>
      <c r="AK139" s="238">
        <f t="shared" si="16"/>
        <v>-126.30390709179704</v>
      </c>
      <c r="AL139" s="238">
        <f t="shared" si="16"/>
        <v>-89.61</v>
      </c>
      <c r="AM139" s="165"/>
    </row>
    <row r="140" spans="2:65" x14ac:dyDescent="0.2">
      <c r="B140" s="197"/>
      <c r="C140" s="450" t="s">
        <v>433</v>
      </c>
      <c r="D140" s="450"/>
      <c r="E140" s="450"/>
      <c r="F140" s="450"/>
      <c r="G140" s="450"/>
      <c r="H140" s="450"/>
      <c r="I140" s="450"/>
      <c r="J140" s="450"/>
      <c r="K140" s="450"/>
      <c r="L140" s="450"/>
      <c r="M140" s="450"/>
      <c r="N140" s="450"/>
      <c r="O140" s="450"/>
      <c r="P140" s="450"/>
      <c r="Q140" s="450"/>
      <c r="R140" s="450"/>
      <c r="S140" s="450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0"/>
      <c r="AI140" s="450"/>
      <c r="AJ140" s="450"/>
      <c r="AK140" s="450"/>
      <c r="AL140" s="450"/>
    </row>
    <row r="141" spans="2:65" x14ac:dyDescent="0.2">
      <c r="B141" s="197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ht="236" x14ac:dyDescent="0.2">
      <c r="B151" s="197"/>
      <c r="C151" s="200" t="s">
        <v>400</v>
      </c>
      <c r="D151" s="200" t="s">
        <v>402</v>
      </c>
      <c r="E151" s="200" t="s">
        <v>403</v>
      </c>
      <c r="F151" s="200" t="s">
        <v>422</v>
      </c>
      <c r="G151" s="200" t="s">
        <v>444</v>
      </c>
      <c r="H151" s="200" t="s">
        <v>533</v>
      </c>
      <c r="I151" s="200" t="s">
        <v>534</v>
      </c>
      <c r="J151" s="200" t="s">
        <v>478</v>
      </c>
      <c r="K151" s="200" t="s">
        <v>526</v>
      </c>
      <c r="L151" s="201" t="s">
        <v>509</v>
      </c>
      <c r="M151" s="200" t="s">
        <v>476</v>
      </c>
      <c r="N151" s="201" t="s">
        <v>479</v>
      </c>
      <c r="O151" s="200" t="s">
        <v>504</v>
      </c>
      <c r="P151" s="202" t="s">
        <v>497</v>
      </c>
      <c r="Q151" s="200" t="s">
        <v>483</v>
      </c>
      <c r="R151" s="201" t="s">
        <v>508</v>
      </c>
      <c r="S151" s="201" t="s">
        <v>503</v>
      </c>
      <c r="T151" s="201" t="s">
        <v>500</v>
      </c>
      <c r="U151" s="201" t="s">
        <v>506</v>
      </c>
      <c r="V151" s="202" t="s">
        <v>505</v>
      </c>
      <c r="W151" s="202" t="s">
        <v>491</v>
      </c>
      <c r="X151" s="202" t="s">
        <v>523</v>
      </c>
      <c r="Y151" s="202" t="s">
        <v>492</v>
      </c>
      <c r="Z151" s="202" t="s">
        <v>494</v>
      </c>
      <c r="AA151" s="202" t="s">
        <v>493</v>
      </c>
      <c r="AB151" s="202" t="s">
        <v>551</v>
      </c>
      <c r="AC151" s="220" t="s">
        <v>489</v>
      </c>
      <c r="AD151" s="220" t="s">
        <v>619</v>
      </c>
      <c r="AE151" s="202" t="s">
        <v>488</v>
      </c>
      <c r="AF151" s="200" t="s">
        <v>490</v>
      </c>
      <c r="AG151" s="202" t="s">
        <v>582</v>
      </c>
      <c r="AH151" s="202" t="s">
        <v>584</v>
      </c>
      <c r="AI151" s="202" t="s">
        <v>512</v>
      </c>
      <c r="AJ151" s="202" t="s">
        <v>513</v>
      </c>
      <c r="AK151" s="202" t="s">
        <v>514</v>
      </c>
      <c r="AL151" s="202" t="s">
        <v>524</v>
      </c>
      <c r="AM151" s="202"/>
      <c r="AN151" s="202"/>
    </row>
    <row r="152" spans="2:44" x14ac:dyDescent="0.2">
      <c r="B152" s="197" t="s">
        <v>399</v>
      </c>
      <c r="C152" s="230">
        <f>Ore_to_PI!O52</f>
        <v>-841.69623437072971</v>
      </c>
      <c r="D152" s="230"/>
      <c r="E152" s="230"/>
      <c r="F152" s="230"/>
      <c r="G152" s="230"/>
      <c r="H152" s="230"/>
      <c r="I152" s="230"/>
      <c r="J152" s="230"/>
      <c r="K152" s="230"/>
      <c r="L152" s="230"/>
      <c r="M152" s="230"/>
      <c r="N152" s="230"/>
      <c r="O152" s="230"/>
      <c r="P152" s="230"/>
      <c r="Q152" s="230"/>
      <c r="R152" s="230"/>
      <c r="S152" s="230"/>
      <c r="T152" s="230"/>
      <c r="U152" s="230"/>
      <c r="V152" s="230"/>
      <c r="W152" s="230"/>
      <c r="X152" s="230"/>
      <c r="Y152" s="230"/>
      <c r="Z152" s="230"/>
      <c r="AA152" s="230"/>
      <c r="AB152" s="230"/>
      <c r="AC152" s="230"/>
      <c r="AD152" s="230"/>
      <c r="AE152" s="230"/>
      <c r="AF152" s="230"/>
      <c r="AG152" s="230"/>
      <c r="AH152" s="230"/>
      <c r="AI152" s="230"/>
      <c r="AJ152" s="230"/>
      <c r="AK152" s="230"/>
      <c r="AL152" s="230"/>
    </row>
    <row r="153" spans="2:44" ht="16" x14ac:dyDescent="0.2">
      <c r="B153" s="198" t="s">
        <v>401</v>
      </c>
      <c r="C153" s="230"/>
      <c r="D153" s="230">
        <f>Ore_to_PI!O132</f>
        <v>-1202.01</v>
      </c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x14ac:dyDescent="0.2">
      <c r="B154" s="199" t="s">
        <v>423</v>
      </c>
      <c r="C154" s="230"/>
      <c r="D154" s="230"/>
      <c r="E154" s="230">
        <f>Ore_to_PI!O218</f>
        <v>23054812.906863328</v>
      </c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7" t="s">
        <v>447</v>
      </c>
      <c r="C155" s="230"/>
      <c r="D155" s="230"/>
      <c r="E155" s="230"/>
      <c r="F155" s="236">
        <f>Ore_to_PI!O242</f>
        <v>0</v>
      </c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443</v>
      </c>
      <c r="C156" s="230"/>
      <c r="D156" s="230"/>
      <c r="E156" s="230"/>
      <c r="F156" s="230"/>
      <c r="G156" s="230">
        <f>h_CH4</f>
        <v>-74.599999999999994</v>
      </c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536</v>
      </c>
      <c r="C157" s="230"/>
      <c r="D157" s="230"/>
      <c r="E157" s="230"/>
      <c r="F157" s="230"/>
      <c r="G157" s="230"/>
      <c r="H157" s="230">
        <f>LHV_Diesel*MW_C12H23</f>
        <v>7127.6028120000001</v>
      </c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R157" s="220"/>
    </row>
    <row r="158" spans="2:44" x14ac:dyDescent="0.2">
      <c r="B158" s="197" t="s">
        <v>535</v>
      </c>
      <c r="C158" s="230"/>
      <c r="D158" s="230"/>
      <c r="E158" s="230"/>
      <c r="F158" s="230"/>
      <c r="G158" s="230"/>
      <c r="H158" s="230"/>
      <c r="I158" s="230">
        <f>Ore_to_PI!O156</f>
        <v>-250.1</v>
      </c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477</v>
      </c>
      <c r="C159" s="230"/>
      <c r="D159" s="230"/>
      <c r="E159" s="230"/>
      <c r="F159" s="230"/>
      <c r="G159" s="230"/>
      <c r="H159" s="230"/>
      <c r="I159" s="230"/>
      <c r="J159" s="230">
        <f>Ore_to_PI!EF106</f>
        <v>5540.6175999999996</v>
      </c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525</v>
      </c>
      <c r="C160" s="230"/>
      <c r="D160" s="230"/>
      <c r="E160" s="230"/>
      <c r="F160" s="230"/>
      <c r="G160" s="230"/>
      <c r="H160" s="230"/>
      <c r="I160" s="230"/>
      <c r="J160" s="230"/>
      <c r="K160" s="230">
        <v>0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</row>
    <row r="161" spans="2:40" x14ac:dyDescent="0.2">
      <c r="C161" s="450" t="s">
        <v>56</v>
      </c>
      <c r="D161" s="450"/>
      <c r="E161" s="450"/>
      <c r="F161" s="450"/>
      <c r="G161" s="450"/>
      <c r="H161" s="450"/>
      <c r="I161" s="450"/>
      <c r="J161" s="450"/>
      <c r="K161" s="450"/>
      <c r="L161" s="450"/>
      <c r="M161" s="450"/>
      <c r="N161" s="450"/>
      <c r="O161" s="450"/>
      <c r="P161" s="450"/>
      <c r="Q161" s="450"/>
      <c r="R161" s="450"/>
      <c r="S161" s="450"/>
      <c r="T161" s="450"/>
      <c r="U161" s="450"/>
      <c r="V161" s="450"/>
      <c r="W161" s="450"/>
      <c r="X161" s="450"/>
      <c r="Y161" s="450"/>
      <c r="Z161" s="450"/>
      <c r="AA161" s="450"/>
      <c r="AB161" s="450"/>
      <c r="AC161" s="450"/>
      <c r="AD161" s="450"/>
      <c r="AE161" s="450"/>
      <c r="AF161" s="450"/>
      <c r="AG161" s="450"/>
      <c r="AH161" s="450"/>
      <c r="AI161" s="450"/>
      <c r="AJ161" s="450"/>
      <c r="AK161" s="450"/>
      <c r="AL161" s="450"/>
      <c r="AM161" s="25"/>
      <c r="AN161" s="25"/>
    </row>
    <row r="162" spans="2:40" x14ac:dyDescent="0.2">
      <c r="C162" s="238">
        <f t="shared" ref="C162:AL162" si="17">SUM(C152:C160)</f>
        <v>-841.69623437072971</v>
      </c>
      <c r="D162" s="238">
        <f t="shared" si="17"/>
        <v>-1202.01</v>
      </c>
      <c r="E162" s="238">
        <f t="shared" si="17"/>
        <v>23054812.906863328</v>
      </c>
      <c r="F162" s="238">
        <f t="shared" si="17"/>
        <v>0</v>
      </c>
      <c r="G162" s="238">
        <f t="shared" si="17"/>
        <v>-74.599999999999994</v>
      </c>
      <c r="H162" s="238">
        <f t="shared" si="17"/>
        <v>7127.6028120000001</v>
      </c>
      <c r="I162" s="238">
        <f t="shared" si="17"/>
        <v>-250.1</v>
      </c>
      <c r="J162" s="238">
        <f t="shared" si="17"/>
        <v>5540.6175999999996</v>
      </c>
      <c r="K162" s="238">
        <f t="shared" si="17"/>
        <v>0</v>
      </c>
      <c r="L162" s="238">
        <f t="shared" si="17"/>
        <v>0</v>
      </c>
      <c r="M162" s="238">
        <f t="shared" si="17"/>
        <v>0</v>
      </c>
      <c r="N162" s="238">
        <f t="shared" si="17"/>
        <v>0</v>
      </c>
      <c r="O162" s="238">
        <f t="shared" si="17"/>
        <v>0</v>
      </c>
      <c r="P162" s="238">
        <f t="shared" si="17"/>
        <v>0</v>
      </c>
      <c r="Q162" s="238">
        <f t="shared" si="17"/>
        <v>0</v>
      </c>
      <c r="R162" s="238">
        <f t="shared" si="17"/>
        <v>0</v>
      </c>
      <c r="S162" s="238">
        <f t="shared" si="17"/>
        <v>0</v>
      </c>
      <c r="T162" s="238">
        <f t="shared" si="17"/>
        <v>0</v>
      </c>
      <c r="U162" s="238">
        <f t="shared" si="17"/>
        <v>0</v>
      </c>
      <c r="V162" s="238">
        <f t="shared" si="17"/>
        <v>0</v>
      </c>
      <c r="W162" s="238">
        <f t="shared" si="17"/>
        <v>0</v>
      </c>
      <c r="X162" s="238">
        <f t="shared" si="17"/>
        <v>0</v>
      </c>
      <c r="Y162" s="238">
        <f t="shared" si="17"/>
        <v>0</v>
      </c>
      <c r="Z162" s="238">
        <f t="shared" si="17"/>
        <v>0</v>
      </c>
      <c r="AA162" s="238">
        <f t="shared" si="17"/>
        <v>0</v>
      </c>
      <c r="AB162" s="238">
        <f t="shared" si="17"/>
        <v>0</v>
      </c>
      <c r="AC162" s="238">
        <f t="shared" si="17"/>
        <v>0</v>
      </c>
      <c r="AD162" s="238">
        <f t="shared" si="17"/>
        <v>0</v>
      </c>
      <c r="AE162" s="238">
        <f t="shared" si="17"/>
        <v>0</v>
      </c>
      <c r="AF162" s="238">
        <f t="shared" si="17"/>
        <v>0</v>
      </c>
      <c r="AG162" s="238">
        <f t="shared" si="17"/>
        <v>0</v>
      </c>
      <c r="AH162" s="238">
        <f t="shared" si="17"/>
        <v>0</v>
      </c>
      <c r="AI162" s="238">
        <f t="shared" si="17"/>
        <v>0</v>
      </c>
      <c r="AJ162" s="238">
        <f t="shared" si="17"/>
        <v>0</v>
      </c>
      <c r="AK162" s="238">
        <f t="shared" si="17"/>
        <v>0</v>
      </c>
      <c r="AL162" s="238">
        <f t="shared" si="17"/>
        <v>0</v>
      </c>
    </row>
    <row r="163" spans="2:40" x14ac:dyDescent="0.2">
      <c r="C163" s="450" t="s">
        <v>434</v>
      </c>
      <c r="D163" s="450"/>
      <c r="E163" s="450"/>
      <c r="F163" s="450"/>
      <c r="G163" s="450"/>
      <c r="H163" s="450"/>
      <c r="I163" s="450"/>
      <c r="J163" s="450"/>
      <c r="K163" s="450"/>
      <c r="L163" s="450"/>
      <c r="M163" s="450"/>
      <c r="N163" s="450"/>
      <c r="O163" s="450"/>
      <c r="P163" s="450"/>
      <c r="Q163" s="450"/>
      <c r="R163" s="450"/>
      <c r="S163" s="450"/>
      <c r="T163" s="450"/>
      <c r="U163" s="450"/>
      <c r="V163" s="450"/>
      <c r="W163" s="450"/>
      <c r="X163" s="450"/>
      <c r="Y163" s="450"/>
      <c r="Z163" s="450"/>
      <c r="AA163" s="450"/>
      <c r="AB163" s="450"/>
      <c r="AC163" s="450"/>
      <c r="AD163" s="450"/>
      <c r="AE163" s="450"/>
      <c r="AF163" s="450"/>
      <c r="AG163" s="450"/>
      <c r="AH163" s="450"/>
      <c r="AI163" s="450"/>
      <c r="AJ163" s="450"/>
      <c r="AK163" s="450"/>
      <c r="AL163" s="450"/>
      <c r="AM163" s="25"/>
      <c r="AN163" s="25"/>
    </row>
    <row r="167" spans="2:40" x14ac:dyDescent="0.2">
      <c r="C167" s="450" t="s">
        <v>579</v>
      </c>
      <c r="D167" s="450"/>
      <c r="E167" s="450"/>
      <c r="F167" s="450"/>
      <c r="G167" s="450"/>
      <c r="H167" s="450"/>
      <c r="I167" s="450"/>
      <c r="J167" s="450"/>
      <c r="K167" s="450"/>
      <c r="L167" s="231"/>
      <c r="M167" s="231"/>
      <c r="N167" s="231"/>
      <c r="O167" s="231"/>
      <c r="P167" s="231"/>
      <c r="Q167" s="231"/>
      <c r="R167" s="231"/>
      <c r="S167" s="231"/>
      <c r="T167" s="231"/>
      <c r="U167" s="25"/>
      <c r="V167" s="25"/>
    </row>
    <row r="170" spans="2:40" x14ac:dyDescent="0.2">
      <c r="B170" s="197" t="s">
        <v>400</v>
      </c>
      <c r="C170" s="238" cm="1">
        <f t="array" ref="C170:C205">TRANSPOSE(C162:AL162)</f>
        <v>-841.69623437072971</v>
      </c>
      <c r="E170" s="238" cm="1">
        <f t="array" ref="E170:E205">TRANSPOSE(C139:AL139)</f>
        <v>0</v>
      </c>
      <c r="G170" s="238">
        <f t="shared" ref="G170:G196" si="18">BG83</f>
        <v>-841.69623437072971</v>
      </c>
      <c r="I170" s="238" cm="1">
        <f t="array" ref="I170:I205">BN83:BN118</f>
        <v>0</v>
      </c>
      <c r="K170" s="281">
        <f>C170+E170-G170-I170</f>
        <v>0</v>
      </c>
    </row>
    <row r="171" spans="2:40" x14ac:dyDescent="0.2">
      <c r="B171" s="197" t="s">
        <v>402</v>
      </c>
      <c r="C171" s="238">
        <v>-1202.01</v>
      </c>
      <c r="E171" s="238">
        <v>0</v>
      </c>
      <c r="G171" s="238">
        <f t="shared" si="18"/>
        <v>-1202.01</v>
      </c>
      <c r="I171" s="238">
        <v>0</v>
      </c>
      <c r="K171" s="281">
        <f t="shared" ref="K171:K205" si="19">C171+E171-G171-I171</f>
        <v>0</v>
      </c>
    </row>
    <row r="172" spans="2:40" x14ac:dyDescent="0.2">
      <c r="B172" s="197" t="s">
        <v>403</v>
      </c>
      <c r="C172" s="238">
        <v>23054812.906863328</v>
      </c>
      <c r="E172" s="238">
        <v>0</v>
      </c>
      <c r="G172" s="238">
        <f t="shared" si="18"/>
        <v>23054812.906863328</v>
      </c>
      <c r="I172" s="238">
        <v>0</v>
      </c>
      <c r="K172" s="281">
        <f t="shared" si="19"/>
        <v>0</v>
      </c>
    </row>
    <row r="173" spans="2:40" x14ac:dyDescent="0.2">
      <c r="B173" s="197" t="s">
        <v>422</v>
      </c>
      <c r="C173" s="238">
        <v>0</v>
      </c>
      <c r="E173" s="238">
        <v>0</v>
      </c>
      <c r="G173" s="238">
        <f t="shared" si="18"/>
        <v>0</v>
      </c>
      <c r="I173" s="238">
        <v>0</v>
      </c>
      <c r="K173" s="281">
        <f t="shared" si="19"/>
        <v>0</v>
      </c>
    </row>
    <row r="174" spans="2:40" x14ac:dyDescent="0.2">
      <c r="B174" s="197" t="s">
        <v>444</v>
      </c>
      <c r="C174" s="238">
        <v>-74.599999999999994</v>
      </c>
      <c r="E174" s="238">
        <v>0</v>
      </c>
      <c r="G174" s="238">
        <f t="shared" si="18"/>
        <v>-223.79999999999998</v>
      </c>
      <c r="I174" s="238">
        <v>0</v>
      </c>
      <c r="K174" s="281" t="s">
        <v>585</v>
      </c>
    </row>
    <row r="175" spans="2:40" x14ac:dyDescent="0.2">
      <c r="B175" s="197" t="s">
        <v>474</v>
      </c>
      <c r="C175" s="238">
        <v>7127.6028120000001</v>
      </c>
      <c r="E175" s="238">
        <v>0</v>
      </c>
      <c r="G175" s="238">
        <f t="shared" si="18"/>
        <v>21382.808435999999</v>
      </c>
      <c r="I175" s="238">
        <v>0</v>
      </c>
      <c r="K175" s="281" t="s">
        <v>585</v>
      </c>
    </row>
    <row r="176" spans="2:40" x14ac:dyDescent="0.2">
      <c r="B176" s="197" t="s">
        <v>475</v>
      </c>
      <c r="C176" s="238">
        <v>-250.1</v>
      </c>
      <c r="E176" s="238">
        <v>0</v>
      </c>
      <c r="G176" s="238">
        <f t="shared" si="18"/>
        <v>-250.1</v>
      </c>
      <c r="I176" s="238">
        <v>0</v>
      </c>
      <c r="K176" s="281">
        <f t="shared" si="19"/>
        <v>0</v>
      </c>
    </row>
    <row r="177" spans="2:18" x14ac:dyDescent="0.2">
      <c r="B177" s="197" t="s">
        <v>478</v>
      </c>
      <c r="C177" s="238">
        <v>5540.6175999999996</v>
      </c>
      <c r="E177" s="238">
        <v>0</v>
      </c>
      <c r="G177" s="238">
        <f t="shared" si="18"/>
        <v>5540.6175999999996</v>
      </c>
      <c r="I177" s="238">
        <v>0</v>
      </c>
      <c r="K177" s="281">
        <f t="shared" si="19"/>
        <v>0</v>
      </c>
    </row>
    <row r="178" spans="2:18" x14ac:dyDescent="0.2">
      <c r="B178" s="197" t="s">
        <v>526</v>
      </c>
      <c r="C178" s="238">
        <v>0</v>
      </c>
      <c r="E178" s="238">
        <v>0</v>
      </c>
      <c r="G178" s="238">
        <f t="shared" si="18"/>
        <v>0</v>
      </c>
      <c r="I178" s="238">
        <v>0</v>
      </c>
      <c r="K178" s="281">
        <f t="shared" si="19"/>
        <v>0</v>
      </c>
    </row>
    <row r="179" spans="2:18" ht="16" x14ac:dyDescent="0.2">
      <c r="B179" s="198" t="s">
        <v>509</v>
      </c>
      <c r="C179" s="238">
        <v>0</v>
      </c>
      <c r="E179" s="238">
        <v>-841.69623437072971</v>
      </c>
      <c r="G179" s="238">
        <f t="shared" si="18"/>
        <v>-841.69623437072971</v>
      </c>
      <c r="I179" s="238">
        <v>0</v>
      </c>
      <c r="K179" s="281">
        <f t="shared" si="19"/>
        <v>0</v>
      </c>
    </row>
    <row r="180" spans="2:18" x14ac:dyDescent="0.2">
      <c r="B180" s="197" t="s">
        <v>476</v>
      </c>
      <c r="C180" s="238">
        <v>0</v>
      </c>
      <c r="E180" s="238">
        <v>-99.008821849873215</v>
      </c>
      <c r="G180" s="238">
        <f t="shared" si="18"/>
        <v>0</v>
      </c>
      <c r="I180" s="238">
        <v>-99.008821849873215</v>
      </c>
      <c r="K180" s="281">
        <f t="shared" si="19"/>
        <v>0</v>
      </c>
    </row>
    <row r="181" spans="2:18" ht="16" x14ac:dyDescent="0.2">
      <c r="B181" s="198" t="s">
        <v>479</v>
      </c>
      <c r="C181" s="238">
        <v>0</v>
      </c>
      <c r="E181" s="238">
        <v>-1202.01</v>
      </c>
      <c r="G181" s="238">
        <f t="shared" si="18"/>
        <v>-1202.01</v>
      </c>
      <c r="I181" s="238">
        <v>0</v>
      </c>
      <c r="K181" s="281">
        <f t="shared" si="19"/>
        <v>0</v>
      </c>
    </row>
    <row r="182" spans="2:18" x14ac:dyDescent="0.2">
      <c r="B182" s="197" t="s">
        <v>504</v>
      </c>
      <c r="C182" s="238">
        <v>0</v>
      </c>
      <c r="E182" s="238">
        <v>-98.84370786785361</v>
      </c>
      <c r="G182" s="238">
        <f t="shared" si="18"/>
        <v>0</v>
      </c>
      <c r="I182" s="238">
        <v>-98.84370786785361</v>
      </c>
      <c r="K182" s="281">
        <f t="shared" si="19"/>
        <v>0</v>
      </c>
    </row>
    <row r="183" spans="2:18" x14ac:dyDescent="0.2">
      <c r="B183" s="199" t="s">
        <v>497</v>
      </c>
      <c r="C183" s="238">
        <v>0</v>
      </c>
      <c r="D183" s="245" t="s">
        <v>438</v>
      </c>
      <c r="E183" s="238">
        <v>-284.89999999999998</v>
      </c>
      <c r="F183" s="165" t="s">
        <v>440</v>
      </c>
      <c r="G183" s="238">
        <f t="shared" si="18"/>
        <v>-284.89999999999998</v>
      </c>
      <c r="H183" s="165" t="s">
        <v>440</v>
      </c>
      <c r="I183" s="238">
        <v>0</v>
      </c>
      <c r="J183" s="245" t="s">
        <v>441</v>
      </c>
      <c r="K183" s="281">
        <f t="shared" si="19"/>
        <v>0</v>
      </c>
      <c r="P183" s="200"/>
    </row>
    <row r="184" spans="2:18" x14ac:dyDescent="0.2">
      <c r="B184" s="197" t="s">
        <v>483</v>
      </c>
      <c r="C184" s="238">
        <v>0</v>
      </c>
      <c r="E184" s="238">
        <v>-99.008821849873215</v>
      </c>
      <c r="G184" s="238">
        <f t="shared" si="18"/>
        <v>0</v>
      </c>
      <c r="I184" s="238">
        <v>-99.008821849873215</v>
      </c>
      <c r="K184" s="281">
        <f t="shared" si="19"/>
        <v>0</v>
      </c>
    </row>
    <row r="185" spans="2:18" ht="16" x14ac:dyDescent="0.2">
      <c r="B185" s="198" t="s">
        <v>508</v>
      </c>
      <c r="C185" s="238">
        <v>0</v>
      </c>
      <c r="E185" s="238">
        <v>-841.69623437072971</v>
      </c>
      <c r="G185" s="238">
        <f t="shared" si="18"/>
        <v>-841.69623437072971</v>
      </c>
      <c r="I185" s="238">
        <v>0</v>
      </c>
      <c r="K185" s="281">
        <f t="shared" si="19"/>
        <v>0</v>
      </c>
    </row>
    <row r="186" spans="2:18" ht="16" x14ac:dyDescent="0.2">
      <c r="B186" s="198" t="s">
        <v>503</v>
      </c>
      <c r="C186" s="238">
        <v>0</v>
      </c>
      <c r="E186" s="238">
        <v>-1202.01</v>
      </c>
      <c r="G186" s="238">
        <f t="shared" si="18"/>
        <v>-1202.01</v>
      </c>
      <c r="I186" s="238">
        <v>0</v>
      </c>
      <c r="K186" s="281">
        <f t="shared" si="19"/>
        <v>0</v>
      </c>
    </row>
    <row r="187" spans="2:18" ht="16" x14ac:dyDescent="0.2">
      <c r="B187" s="198" t="s">
        <v>500</v>
      </c>
      <c r="C187" s="238">
        <v>0</v>
      </c>
      <c r="E187" s="238">
        <v>-284.89999999999998</v>
      </c>
      <c r="G187" s="238">
        <f t="shared" si="18"/>
        <v>-284.89999999999998</v>
      </c>
      <c r="I187" s="238">
        <v>0</v>
      </c>
      <c r="K187" s="281">
        <f t="shared" si="19"/>
        <v>0</v>
      </c>
    </row>
    <row r="188" spans="2:18" ht="16" x14ac:dyDescent="0.2">
      <c r="B188" s="198" t="s">
        <v>506</v>
      </c>
      <c r="C188" s="238">
        <v>0</v>
      </c>
      <c r="E188" s="238">
        <v>-834.48831000000007</v>
      </c>
      <c r="G188" s="238">
        <f t="shared" si="18"/>
        <v>-834.48831000000007</v>
      </c>
      <c r="I188" s="238">
        <v>0</v>
      </c>
      <c r="K188" s="281">
        <f t="shared" si="19"/>
        <v>0</v>
      </c>
    </row>
    <row r="189" spans="2:18" x14ac:dyDescent="0.2">
      <c r="B189" s="199" t="s">
        <v>505</v>
      </c>
      <c r="C189" s="238">
        <v>0</v>
      </c>
      <c r="E189" s="238">
        <v>-1454.2261001517452</v>
      </c>
      <c r="G189" s="238">
        <f t="shared" si="18"/>
        <v>0</v>
      </c>
      <c r="I189" s="238">
        <v>-1454.2261001517452</v>
      </c>
      <c r="K189" s="281">
        <f t="shared" si="19"/>
        <v>0</v>
      </c>
    </row>
    <row r="190" spans="2:18" x14ac:dyDescent="0.2">
      <c r="B190" s="199" t="s">
        <v>491</v>
      </c>
      <c r="C190" s="238">
        <v>0</v>
      </c>
      <c r="E190" s="238">
        <v>-1202.01</v>
      </c>
      <c r="G190" s="238">
        <f t="shared" si="18"/>
        <v>-1202.01</v>
      </c>
      <c r="I190" s="238">
        <v>0</v>
      </c>
      <c r="K190" s="281">
        <f t="shared" si="19"/>
        <v>0</v>
      </c>
      <c r="N190" s="25"/>
      <c r="P190" s="25"/>
      <c r="Q190" s="25"/>
      <c r="R190" s="25"/>
    </row>
    <row r="191" spans="2:18" x14ac:dyDescent="0.2">
      <c r="B191" s="199" t="s">
        <v>523</v>
      </c>
      <c r="C191" s="238">
        <v>0</v>
      </c>
      <c r="E191" s="238">
        <v>-284.89999999999998</v>
      </c>
      <c r="G191" s="238">
        <f t="shared" si="18"/>
        <v>-284.89999999999998</v>
      </c>
      <c r="I191" s="238">
        <v>0</v>
      </c>
      <c r="K191" s="281">
        <f t="shared" si="19"/>
        <v>0</v>
      </c>
      <c r="N191" s="25"/>
      <c r="P191" s="25"/>
      <c r="Q191" s="25"/>
      <c r="R191" s="25"/>
    </row>
    <row r="192" spans="2:18" x14ac:dyDescent="0.2">
      <c r="B192" s="199" t="s">
        <v>492</v>
      </c>
      <c r="C192" s="238">
        <v>0</v>
      </c>
      <c r="E192" s="238">
        <v>-634.9</v>
      </c>
      <c r="G192" s="238">
        <f t="shared" si="18"/>
        <v>-634.9</v>
      </c>
      <c r="I192" s="238">
        <v>0</v>
      </c>
      <c r="K192" s="281">
        <f t="shared" si="19"/>
        <v>0</v>
      </c>
      <c r="N192" s="25"/>
      <c r="P192" s="25"/>
      <c r="Q192" s="25"/>
      <c r="R192" s="25"/>
    </row>
    <row r="193" spans="2:19" x14ac:dyDescent="0.2">
      <c r="B193" s="199" t="s">
        <v>494</v>
      </c>
      <c r="C193" s="238">
        <v>0</v>
      </c>
      <c r="E193" s="238">
        <v>-601.6</v>
      </c>
      <c r="G193" s="238">
        <f t="shared" si="18"/>
        <v>0</v>
      </c>
      <c r="I193" s="238">
        <v>-601.6</v>
      </c>
      <c r="K193" s="281">
        <f t="shared" si="19"/>
        <v>0</v>
      </c>
      <c r="N193" s="25"/>
      <c r="P193" s="25"/>
      <c r="Q193" s="25"/>
      <c r="R193" s="25"/>
    </row>
    <row r="194" spans="2:19" x14ac:dyDescent="0.2">
      <c r="B194" s="199" t="s">
        <v>493</v>
      </c>
      <c r="C194" s="238">
        <v>0</v>
      </c>
      <c r="E194" s="238">
        <v>-125.87204049624027</v>
      </c>
      <c r="G194" s="238">
        <f t="shared" si="18"/>
        <v>0</v>
      </c>
      <c r="I194" s="238">
        <v>-125.87204049624027</v>
      </c>
      <c r="K194" s="281">
        <f t="shared" si="19"/>
        <v>0</v>
      </c>
      <c r="N194" s="25"/>
      <c r="P194" s="25"/>
      <c r="Q194" s="25"/>
      <c r="R194" s="25"/>
    </row>
    <row r="195" spans="2:19" x14ac:dyDescent="0.2">
      <c r="B195" s="199" t="s">
        <v>551</v>
      </c>
      <c r="C195" s="238">
        <v>0</v>
      </c>
      <c r="E195" s="238">
        <v>6546468.5968566798</v>
      </c>
      <c r="G195" s="238">
        <f t="shared" si="18"/>
        <v>6546468.5968566798</v>
      </c>
      <c r="I195" s="238">
        <v>0</v>
      </c>
      <c r="K195" s="281">
        <f t="shared" si="19"/>
        <v>0</v>
      </c>
    </row>
    <row r="196" spans="2:19" ht="16" x14ac:dyDescent="0.2">
      <c r="B196" s="239" t="s">
        <v>489</v>
      </c>
      <c r="C196" s="238">
        <v>0</v>
      </c>
      <c r="E196" s="238">
        <v>-37.006500000000003</v>
      </c>
      <c r="G196" s="238">
        <f t="shared" si="18"/>
        <v>-37.006500000000003</v>
      </c>
      <c r="I196" s="238">
        <v>0</v>
      </c>
      <c r="K196" s="281">
        <f t="shared" si="19"/>
        <v>0</v>
      </c>
    </row>
    <row r="197" spans="2:19" ht="16" x14ac:dyDescent="0.2">
      <c r="B197" s="239" t="s">
        <v>619</v>
      </c>
      <c r="C197" s="238">
        <v>0</v>
      </c>
      <c r="E197" s="238">
        <v>-221.69899000000004</v>
      </c>
      <c r="G197" s="238"/>
      <c r="I197" s="238">
        <v>-221.69899000000004</v>
      </c>
      <c r="K197" s="281">
        <f t="shared" si="19"/>
        <v>0</v>
      </c>
    </row>
    <row r="198" spans="2:19" x14ac:dyDescent="0.2">
      <c r="B198" s="199" t="s">
        <v>488</v>
      </c>
      <c r="C198" s="238">
        <v>0</v>
      </c>
      <c r="E198" s="238">
        <v>-284.89999999999998</v>
      </c>
      <c r="G198" s="238">
        <f t="shared" ref="G198:G205" si="20">BG111</f>
        <v>0</v>
      </c>
      <c r="I198" s="238">
        <v>-284.89999999999998</v>
      </c>
      <c r="K198" s="281">
        <f t="shared" si="19"/>
        <v>0</v>
      </c>
      <c r="L198" s="25"/>
    </row>
    <row r="199" spans="2:19" x14ac:dyDescent="0.2">
      <c r="B199" s="197" t="s">
        <v>490</v>
      </c>
      <c r="C199" s="238">
        <v>0</v>
      </c>
      <c r="E199" s="238">
        <v>-89.542108138870873</v>
      </c>
      <c r="G199" s="238">
        <f t="shared" si="20"/>
        <v>0</v>
      </c>
      <c r="I199" s="238">
        <v>-89.542108138870873</v>
      </c>
      <c r="K199" s="281">
        <f t="shared" si="19"/>
        <v>0</v>
      </c>
    </row>
    <row r="200" spans="2:19" x14ac:dyDescent="0.2">
      <c r="B200" s="199" t="s">
        <v>582</v>
      </c>
      <c r="C200" s="238">
        <v>0</v>
      </c>
      <c r="E200" s="238">
        <v>-23.917987170512152</v>
      </c>
      <c r="G200" s="238">
        <f t="shared" si="20"/>
        <v>-23.917987170512152</v>
      </c>
      <c r="I200" s="238">
        <v>0</v>
      </c>
      <c r="K200" s="281">
        <f t="shared" si="19"/>
        <v>0</v>
      </c>
    </row>
    <row r="201" spans="2:19" x14ac:dyDescent="0.2">
      <c r="B201" s="199" t="s">
        <v>584</v>
      </c>
      <c r="C201" s="238">
        <v>0</v>
      </c>
      <c r="E201" s="238">
        <v>-23.917987170512152</v>
      </c>
      <c r="G201" s="238">
        <f t="shared" si="20"/>
        <v>-23.917987170512156</v>
      </c>
      <c r="I201" s="238">
        <v>-23.917987170512156</v>
      </c>
      <c r="K201" s="281" t="s">
        <v>585</v>
      </c>
    </row>
    <row r="202" spans="2:19" x14ac:dyDescent="0.2">
      <c r="B202" s="199" t="s">
        <v>512</v>
      </c>
      <c r="C202" s="238">
        <v>0</v>
      </c>
      <c r="E202" s="238">
        <v>3963.8871338071585</v>
      </c>
      <c r="G202" s="238">
        <f t="shared" si="20"/>
        <v>3963.8871338071585</v>
      </c>
      <c r="I202" s="238">
        <v>0</v>
      </c>
      <c r="K202" s="281">
        <f t="shared" si="19"/>
        <v>0</v>
      </c>
      <c r="P202" s="231"/>
      <c r="Q202" s="231"/>
      <c r="R202" s="231"/>
      <c r="S202" s="231"/>
    </row>
    <row r="203" spans="2:19" x14ac:dyDescent="0.2">
      <c r="B203" s="199" t="s">
        <v>513</v>
      </c>
      <c r="C203" s="238">
        <v>0</v>
      </c>
      <c r="E203" s="238">
        <v>0</v>
      </c>
      <c r="G203" s="238">
        <f t="shared" si="20"/>
        <v>0</v>
      </c>
      <c r="I203" s="238">
        <v>0</v>
      </c>
      <c r="K203" s="281">
        <f t="shared" si="19"/>
        <v>0</v>
      </c>
    </row>
    <row r="204" spans="2:19" x14ac:dyDescent="0.2">
      <c r="B204" s="199" t="s">
        <v>514</v>
      </c>
      <c r="C204" s="238">
        <v>0</v>
      </c>
      <c r="E204" s="238">
        <v>-126.30390709179704</v>
      </c>
      <c r="G204" s="238">
        <f t="shared" si="20"/>
        <v>0</v>
      </c>
      <c r="I204" s="238">
        <v>-126.30390709179704</v>
      </c>
      <c r="K204" s="281">
        <f t="shared" si="19"/>
        <v>0</v>
      </c>
    </row>
    <row r="205" spans="2:19" x14ac:dyDescent="0.2">
      <c r="B205" s="199" t="s">
        <v>524</v>
      </c>
      <c r="C205" s="238">
        <v>0</v>
      </c>
      <c r="E205" s="238">
        <v>-89.61</v>
      </c>
      <c r="G205" s="238">
        <f t="shared" si="20"/>
        <v>0</v>
      </c>
      <c r="I205" s="238">
        <v>-89.61</v>
      </c>
      <c r="K205" s="281">
        <f t="shared" si="19"/>
        <v>0</v>
      </c>
    </row>
    <row r="206" spans="2:19" ht="17" x14ac:dyDescent="0.2">
      <c r="B206" s="199"/>
      <c r="C206" s="3" t="s">
        <v>437</v>
      </c>
      <c r="E206" s="3" t="s">
        <v>439</v>
      </c>
      <c r="G206" s="25" t="s">
        <v>436</v>
      </c>
      <c r="I206" s="25" t="s">
        <v>38</v>
      </c>
      <c r="K206" s="25">
        <f>SUM(K170:K205)</f>
        <v>0</v>
      </c>
    </row>
    <row r="207" spans="2:19" x14ac:dyDescent="0.2">
      <c r="B207" s="199"/>
      <c r="G207" s="25"/>
      <c r="I207" s="25"/>
    </row>
    <row r="208" spans="2:19" x14ac:dyDescent="0.2">
      <c r="B208" s="199"/>
    </row>
    <row r="209" spans="2:15" x14ac:dyDescent="0.2">
      <c r="D209" s="231"/>
      <c r="E209" s="231"/>
      <c r="L209" s="231"/>
      <c r="M209" s="231"/>
    </row>
    <row r="212" spans="2:15" x14ac:dyDescent="0.2">
      <c r="D212" s="231"/>
      <c r="E212" s="231"/>
    </row>
    <row r="213" spans="2:15" x14ac:dyDescent="0.2">
      <c r="B213" s="286" t="s">
        <v>392</v>
      </c>
      <c r="C213" s="287">
        <v>0</v>
      </c>
      <c r="N213" s="231"/>
      <c r="O213" s="231"/>
    </row>
    <row r="214" spans="2:15" x14ac:dyDescent="0.2">
      <c r="B214" s="286" t="s">
        <v>393</v>
      </c>
      <c r="C214" s="287">
        <v>0</v>
      </c>
    </row>
    <row r="215" spans="2:15" x14ac:dyDescent="0.2">
      <c r="B215" s="286" t="s">
        <v>394</v>
      </c>
      <c r="C215" s="287">
        <f>Ore_to_PI!AA195</f>
        <v>80616.370239891301</v>
      </c>
    </row>
    <row r="216" spans="2:15" x14ac:dyDescent="0.2">
      <c r="B216" s="286" t="s">
        <v>522</v>
      </c>
      <c r="C216" s="287">
        <f>Ore_to_PI!AS28</f>
        <v>609792.2517593482</v>
      </c>
      <c r="F216" s="231"/>
      <c r="G216" s="231"/>
      <c r="I216" s="231"/>
      <c r="J216" s="231"/>
      <c r="K216" s="231"/>
    </row>
    <row r="217" spans="2:15" x14ac:dyDescent="0.2">
      <c r="B217" s="286" t="s">
        <v>502</v>
      </c>
      <c r="C217" s="287">
        <f>Ore_to_PI!AS113</f>
        <v>2824.8856477449194</v>
      </c>
    </row>
    <row r="218" spans="2:15" x14ac:dyDescent="0.2">
      <c r="B218" s="286" t="s">
        <v>501</v>
      </c>
      <c r="C218" s="287">
        <f>Ore_to_PI!AS190</f>
        <v>282.1287710315147</v>
      </c>
    </row>
    <row r="219" spans="2:15" x14ac:dyDescent="0.2">
      <c r="B219" s="286" t="s">
        <v>418</v>
      </c>
      <c r="C219" s="287">
        <f>Ore_to_PI!BL35</f>
        <v>12479.249680000003</v>
      </c>
    </row>
    <row r="220" spans="2:15" x14ac:dyDescent="0.2">
      <c r="B220" s="286" t="s">
        <v>415</v>
      </c>
      <c r="C220" s="287">
        <f>Ore_to_PI!BK116</f>
        <v>34.678095164114971</v>
      </c>
    </row>
    <row r="221" spans="2:15" x14ac:dyDescent="0.2">
      <c r="B221" s="286" t="s">
        <v>429</v>
      </c>
      <c r="C221" s="287">
        <f>Ore_to_PI!BK195</f>
        <v>50.358084153937838</v>
      </c>
    </row>
    <row r="222" spans="2:15" x14ac:dyDescent="0.2">
      <c r="B222" s="286" t="s">
        <v>416</v>
      </c>
      <c r="C222" s="287">
        <v>0</v>
      </c>
    </row>
    <row r="223" spans="2:15" x14ac:dyDescent="0.2">
      <c r="B223" s="286" t="s">
        <v>411</v>
      </c>
      <c r="C223" s="287">
        <v>0</v>
      </c>
    </row>
    <row r="224" spans="2:15" x14ac:dyDescent="0.2">
      <c r="B224" s="197" t="s">
        <v>581</v>
      </c>
      <c r="C224" s="287">
        <f>Ore_to_PI!DB229</f>
        <v>33191.859393697465</v>
      </c>
    </row>
    <row r="225" spans="2:11" x14ac:dyDescent="0.2">
      <c r="B225" s="197" t="s">
        <v>583</v>
      </c>
      <c r="C225" s="287">
        <v>0</v>
      </c>
    </row>
    <row r="226" spans="2:11" x14ac:dyDescent="0.2">
      <c r="B226" s="197" t="s">
        <v>80</v>
      </c>
      <c r="C226" s="287">
        <v>0</v>
      </c>
    </row>
    <row r="227" spans="2:11" x14ac:dyDescent="0.2">
      <c r="B227" s="197" t="s">
        <v>404</v>
      </c>
      <c r="C227" s="289">
        <f>Ore_to_PI!ES117</f>
        <v>318930.1042317453</v>
      </c>
    </row>
    <row r="228" spans="2:11" x14ac:dyDescent="0.2">
      <c r="B228" s="199"/>
      <c r="C228" s="288" t="s">
        <v>262</v>
      </c>
    </row>
    <row r="233" spans="2:11" x14ac:dyDescent="0.2">
      <c r="H233" s="165"/>
      <c r="I233" s="165"/>
      <c r="J233" s="165"/>
      <c r="K233" s="165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83" workbookViewId="0">
      <selection activeCell="BT31" sqref="BT30:BT31"/>
    </sheetView>
  </sheetViews>
  <sheetFormatPr baseColWidth="10" defaultColWidth="11.5" defaultRowHeight="15" x14ac:dyDescent="0.2"/>
  <sheetData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v>0.47896953999999997</v>
      </c>
      <c r="AU18" s="313"/>
      <c r="AV18" s="313"/>
      <c r="AW18" s="313"/>
      <c r="AX18" s="313"/>
      <c r="AY18" s="313"/>
      <c r="AZ18" s="313"/>
      <c r="BA18" s="313"/>
      <c r="BB18" s="313"/>
      <c r="BC18" s="313"/>
      <c r="BD18" s="313"/>
      <c r="BE18" s="313"/>
      <c r="BF18" s="313"/>
      <c r="BG18" s="313"/>
      <c r="BH18" s="314"/>
      <c r="BI18" s="315">
        <f>SUM(AT18:BH18)</f>
        <v>0.47896953999999997</v>
      </c>
      <c r="BJ18" s="131"/>
      <c r="BK18" s="131"/>
      <c r="BL18" s="286"/>
      <c r="BM18" s="286" t="s">
        <v>400</v>
      </c>
      <c r="BN18" s="316"/>
      <c r="BO18" s="316"/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/>
      <c r="AU19" s="313">
        <v>0.18440139999999999</v>
      </c>
      <c r="AV19" s="313"/>
      <c r="AW19" s="313"/>
      <c r="AX19" s="313"/>
      <c r="AY19" s="313"/>
      <c r="AZ19" s="313"/>
      <c r="BA19" s="313"/>
      <c r="BB19" s="313"/>
      <c r="BC19" s="313"/>
      <c r="BD19" s="313"/>
      <c r="BE19" s="313"/>
      <c r="BF19" s="313"/>
      <c r="BG19" s="313"/>
      <c r="BH19" s="314"/>
      <c r="BI19" s="315">
        <f t="shared" ref="BI19:BI53" si="0">SUM(AT19:BH19)</f>
        <v>0.18440139999999999</v>
      </c>
      <c r="BJ19" s="131"/>
      <c r="BK19" s="131"/>
      <c r="BL19" s="286"/>
      <c r="BM19" s="286" t="s">
        <v>402</v>
      </c>
      <c r="BN19" s="316"/>
      <c r="BO19" s="316"/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/>
      <c r="AU20" s="313"/>
      <c r="AV20" s="313">
        <v>754.33705407660659</v>
      </c>
      <c r="AW20" s="313"/>
      <c r="AX20" s="313"/>
      <c r="AY20" s="313"/>
      <c r="AZ20" s="313"/>
      <c r="BA20" s="313"/>
      <c r="BB20" s="313"/>
      <c r="BC20" s="313"/>
      <c r="BD20" s="313"/>
      <c r="BE20" s="313"/>
      <c r="BF20" s="313"/>
      <c r="BG20" s="313"/>
      <c r="BH20" s="314"/>
      <c r="BI20" s="315">
        <f t="shared" si="0"/>
        <v>754.33705407660659</v>
      </c>
      <c r="BJ20" s="131"/>
      <c r="BK20" s="131"/>
      <c r="BL20" s="286"/>
      <c r="BM20" s="286" t="s">
        <v>403</v>
      </c>
      <c r="BN20" s="316"/>
      <c r="BO20" s="316"/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v>6.0012280000000001E-2</v>
      </c>
      <c r="AU21" s="313">
        <v>6.0012280000000001E-2</v>
      </c>
      <c r="AV21" s="313">
        <v>6.0012280000000001E-2</v>
      </c>
      <c r="AW21" s="313"/>
      <c r="AX21" s="313"/>
      <c r="AY21" s="313"/>
      <c r="AZ21" s="313"/>
      <c r="BA21" s="313"/>
      <c r="BB21" s="313"/>
      <c r="BC21" s="313">
        <v>6.0012280000000001E-2</v>
      </c>
      <c r="BD21" s="313">
        <v>6.0012280000000001E-2</v>
      </c>
      <c r="BE21" s="313"/>
      <c r="BF21" s="313"/>
      <c r="BG21" s="313"/>
      <c r="BH21" s="313">
        <v>6.0012280000000001E-2</v>
      </c>
      <c r="BI21" s="315">
        <f t="shared" si="0"/>
        <v>0.36007368000000006</v>
      </c>
      <c r="BJ21" s="131"/>
      <c r="BK21" s="131"/>
      <c r="BL21" s="286"/>
      <c r="BM21" s="286" t="s">
        <v>422</v>
      </c>
      <c r="BN21" s="316"/>
      <c r="BO21" s="316"/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/>
      <c r="AU22" s="313"/>
      <c r="AV22" s="313"/>
      <c r="AW22" s="313"/>
      <c r="AX22" s="313"/>
      <c r="AY22" s="313"/>
      <c r="AZ22" s="313"/>
      <c r="BA22" s="313"/>
      <c r="BB22" s="313"/>
      <c r="BC22" s="313">
        <v>1.604276E-2</v>
      </c>
      <c r="BD22" s="313">
        <v>1.604276E-2</v>
      </c>
      <c r="BE22" s="313"/>
      <c r="BF22" s="313"/>
      <c r="BG22" s="313"/>
      <c r="BH22" s="313">
        <v>1.604276E-2</v>
      </c>
      <c r="BI22" s="315">
        <f t="shared" si="0"/>
        <v>4.8128279999999996E-2</v>
      </c>
      <c r="BJ22" s="131"/>
      <c r="BK22" s="131"/>
      <c r="BL22" s="286"/>
      <c r="BM22" s="286" t="s">
        <v>444</v>
      </c>
      <c r="BN22" s="316"/>
      <c r="BO22" s="316"/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v>0.16731462</v>
      </c>
      <c r="AU23" s="313">
        <v>0.16731462</v>
      </c>
      <c r="AV23" s="313">
        <v>0.16731462</v>
      </c>
      <c r="AW23" s="313"/>
      <c r="AX23" s="313"/>
      <c r="AY23" s="313"/>
      <c r="AZ23" s="313"/>
      <c r="BA23" s="313"/>
      <c r="BB23" s="313"/>
      <c r="BC23" s="313"/>
      <c r="BD23" s="313"/>
      <c r="BE23" s="313"/>
      <c r="BF23" s="313"/>
      <c r="BG23" s="313"/>
      <c r="BH23" s="314"/>
      <c r="BI23" s="315">
        <f t="shared" si="0"/>
        <v>0.50194386000000002</v>
      </c>
      <c r="BJ23" s="131"/>
      <c r="BK23" s="131"/>
      <c r="BL23" s="286"/>
      <c r="BM23" s="286" t="s">
        <v>533</v>
      </c>
      <c r="BN23" s="316"/>
      <c r="BO23" s="316"/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/>
      <c r="AU24" s="313">
        <v>0.11423092</v>
      </c>
      <c r="AV24" s="313"/>
      <c r="AW24" s="313"/>
      <c r="AX24" s="313"/>
      <c r="AY24" s="313"/>
      <c r="AZ24" s="313"/>
      <c r="BA24" s="313"/>
      <c r="BB24" s="313"/>
      <c r="BC24" s="313"/>
      <c r="BD24" s="313"/>
      <c r="BE24" s="313"/>
      <c r="BF24" s="313"/>
      <c r="BG24" s="313"/>
      <c r="BH24" s="314"/>
      <c r="BI24" s="315">
        <f t="shared" si="0"/>
        <v>0.11423092</v>
      </c>
      <c r="BJ24" s="131"/>
      <c r="BK24" s="131"/>
      <c r="BL24" s="286"/>
      <c r="BM24" s="286" t="s">
        <v>534</v>
      </c>
      <c r="BN24" s="316"/>
      <c r="BO24" s="316"/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/>
      <c r="AU25" s="313"/>
      <c r="AV25" s="313"/>
      <c r="AW25" s="313"/>
      <c r="AX25" s="313"/>
      <c r="AY25" s="313"/>
      <c r="AZ25" s="313"/>
      <c r="BA25" s="313"/>
      <c r="BB25" s="313"/>
      <c r="BC25" s="313"/>
      <c r="BD25" s="313"/>
      <c r="BE25" s="313"/>
      <c r="BF25" s="313"/>
      <c r="BG25" s="313"/>
      <c r="BH25" s="314">
        <v>0.1402688</v>
      </c>
      <c r="BI25" s="315">
        <f t="shared" si="0"/>
        <v>0.1402688</v>
      </c>
      <c r="BJ25" s="131"/>
      <c r="BK25" s="131"/>
      <c r="BL25" s="286"/>
      <c r="BM25" s="286" t="s">
        <v>478</v>
      </c>
      <c r="BN25" s="316"/>
      <c r="BO25" s="316"/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/>
      <c r="AU26" s="313"/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/>
      <c r="BD26" s="313"/>
      <c r="BE26" s="313">
        <v>0</v>
      </c>
      <c r="BF26" s="313"/>
      <c r="BG26" s="313"/>
      <c r="BH26" s="314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/>
      <c r="BO26" s="316"/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/>
      <c r="AU27" s="313"/>
      <c r="AV27" s="313"/>
      <c r="AW27" s="313">
        <v>0.47896953999999997</v>
      </c>
      <c r="AX27" s="313"/>
      <c r="AY27" s="313"/>
      <c r="AZ27" s="313"/>
      <c r="BA27" s="313"/>
      <c r="BB27" s="313"/>
      <c r="BC27" s="313"/>
      <c r="BD27" s="313"/>
      <c r="BE27" s="313"/>
      <c r="BF27" s="313"/>
      <c r="BG27" s="313"/>
      <c r="BH27" s="314"/>
      <c r="BI27" s="315">
        <f t="shared" si="0"/>
        <v>0.47896953999999997</v>
      </c>
      <c r="BJ27" s="131"/>
      <c r="BK27" s="131"/>
      <c r="BL27" s="318"/>
      <c r="BM27" s="286" t="s">
        <v>509</v>
      </c>
      <c r="BN27" s="316"/>
      <c r="BO27" s="316"/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  <c r="BD28" s="313"/>
      <c r="BE28" s="313"/>
      <c r="BF28" s="313"/>
      <c r="BG28" s="313"/>
      <c r="BH28" s="314"/>
      <c r="BI28" s="315">
        <f t="shared" si="0"/>
        <v>0</v>
      </c>
      <c r="BJ28" s="131"/>
      <c r="BK28" s="131"/>
      <c r="BL28" s="286"/>
      <c r="BM28" s="286" t="s">
        <v>476</v>
      </c>
      <c r="BN28" s="316"/>
      <c r="BO28" s="316">
        <v>9.0038560000000004E-2</v>
      </c>
      <c r="BP28" s="289">
        <f t="shared" si="1"/>
        <v>9.0038560000000004E-2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/>
      <c r="AU29" s="313"/>
      <c r="AV29" s="313"/>
      <c r="AW29" s="313"/>
      <c r="AX29" s="313">
        <v>0.18440139999999999</v>
      </c>
      <c r="AY29" s="313"/>
      <c r="AZ29" s="313"/>
      <c r="BA29" s="313"/>
      <c r="BB29" s="313"/>
      <c r="BC29" s="313"/>
      <c r="BD29" s="313"/>
      <c r="BE29" s="313"/>
      <c r="BF29" s="313"/>
      <c r="BG29" s="313"/>
      <c r="BH29" s="314"/>
      <c r="BI29" s="315">
        <f t="shared" si="0"/>
        <v>0.18440139999999999</v>
      </c>
      <c r="BJ29" s="131"/>
      <c r="BK29" s="131"/>
      <c r="BL29" s="318"/>
      <c r="BM29" s="286" t="s">
        <v>479</v>
      </c>
      <c r="BN29" s="319"/>
      <c r="BO29" s="316"/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/>
      <c r="AU30" s="313"/>
      <c r="AV30" s="313"/>
      <c r="AW30" s="313"/>
      <c r="AX30" s="313"/>
      <c r="AY30" s="313"/>
      <c r="AZ30" s="313"/>
      <c r="BA30" s="313"/>
      <c r="BB30" s="313"/>
      <c r="BC30" s="313"/>
      <c r="BD30" s="313"/>
      <c r="BE30" s="313"/>
      <c r="BF30" s="313"/>
      <c r="BG30" s="320"/>
      <c r="BH30" s="314"/>
      <c r="BI30" s="315">
        <f t="shared" si="0"/>
        <v>0</v>
      </c>
      <c r="BJ30" s="131"/>
      <c r="BK30" s="131"/>
      <c r="BL30" s="286"/>
      <c r="BM30" s="286" t="s">
        <v>504</v>
      </c>
      <c r="BN30" s="316"/>
      <c r="BO30" s="316">
        <v>9.0038560000000004E-2</v>
      </c>
      <c r="BP30" s="289">
        <f t="shared" si="1"/>
        <v>9.0038560000000004E-2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/>
      <c r="AU31" s="313"/>
      <c r="AV31" s="313"/>
      <c r="AW31" s="313"/>
      <c r="AX31" s="313"/>
      <c r="AY31" s="313">
        <v>754.33705407660659</v>
      </c>
      <c r="AZ31" s="313"/>
      <c r="BA31" s="313"/>
      <c r="BB31" s="313"/>
      <c r="BC31" s="313"/>
      <c r="BD31" s="313"/>
      <c r="BE31" s="313"/>
      <c r="BF31" s="313"/>
      <c r="BG31" s="313"/>
      <c r="BH31" s="321"/>
      <c r="BI31" s="315">
        <f t="shared" si="0"/>
        <v>754.33705407660659</v>
      </c>
      <c r="BJ31" s="131"/>
      <c r="BK31" s="131"/>
      <c r="BL31" s="199"/>
      <c r="BM31" s="286" t="s">
        <v>497</v>
      </c>
      <c r="BN31" s="316"/>
      <c r="BO31" s="316"/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/>
      <c r="AU32" s="313"/>
      <c r="AV32" s="313"/>
      <c r="AW32" s="313"/>
      <c r="AX32" s="313"/>
      <c r="AY32" s="313"/>
      <c r="AZ32" s="313"/>
      <c r="BA32" s="313"/>
      <c r="BB32" s="313"/>
      <c r="BC32" s="313"/>
      <c r="BD32" s="313"/>
      <c r="BE32" s="313"/>
      <c r="BF32" s="313"/>
      <c r="BG32" s="313"/>
      <c r="BH32" s="314"/>
      <c r="BI32" s="315">
        <f t="shared" si="0"/>
        <v>0</v>
      </c>
      <c r="BJ32" s="131"/>
      <c r="BK32" s="131"/>
      <c r="BL32" s="286"/>
      <c r="BM32" s="286" t="s">
        <v>483</v>
      </c>
      <c r="BN32" s="316"/>
      <c r="BO32" s="316">
        <v>9.0038560000000004E-2</v>
      </c>
      <c r="BP32" s="289">
        <f t="shared" si="1"/>
        <v>9.0038560000000004E-2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/>
      <c r="AU33" s="313"/>
      <c r="AV33" s="313"/>
      <c r="AW33" s="313"/>
      <c r="AX33" s="313"/>
      <c r="AY33" s="313"/>
      <c r="AZ33" s="313">
        <v>0.47896953999999997</v>
      </c>
      <c r="BA33" s="313"/>
      <c r="BB33" s="313"/>
      <c r="BC33" s="313"/>
      <c r="BD33" s="313"/>
      <c r="BE33" s="313"/>
      <c r="BF33" s="313"/>
      <c r="BG33" s="313"/>
      <c r="BH33" s="314"/>
      <c r="BI33" s="315">
        <f t="shared" si="0"/>
        <v>0.47896953999999997</v>
      </c>
      <c r="BJ33" s="131"/>
      <c r="BK33" s="131"/>
      <c r="BL33" s="318"/>
      <c r="BM33" s="286" t="s">
        <v>508</v>
      </c>
      <c r="BN33" s="316"/>
      <c r="BO33" s="316"/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/>
      <c r="AU34" s="313"/>
      <c r="AV34" s="313"/>
      <c r="AW34" s="313"/>
      <c r="AX34" s="313"/>
      <c r="AY34" s="313"/>
      <c r="AZ34" s="313"/>
      <c r="BA34" s="313">
        <v>0.18440139999999999</v>
      </c>
      <c r="BB34" s="313"/>
      <c r="BC34" s="313"/>
      <c r="BD34" s="313"/>
      <c r="BE34" s="313"/>
      <c r="BF34" s="313"/>
      <c r="BG34" s="313"/>
      <c r="BH34" s="314"/>
      <c r="BI34" s="315">
        <f t="shared" si="0"/>
        <v>0.18440139999999999</v>
      </c>
      <c r="BJ34" s="131"/>
      <c r="BK34" s="131"/>
      <c r="BL34" s="318"/>
      <c r="BM34" s="286" t="s">
        <v>503</v>
      </c>
      <c r="BN34" s="316"/>
      <c r="BO34" s="316"/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/>
      <c r="AU35" s="313"/>
      <c r="AV35" s="313"/>
      <c r="AW35" s="313"/>
      <c r="AX35" s="313"/>
      <c r="AY35" s="313"/>
      <c r="AZ35" s="313"/>
      <c r="BA35" s="313"/>
      <c r="BB35" s="313">
        <v>754.33705407660659</v>
      </c>
      <c r="BC35" s="313"/>
      <c r="BD35" s="313"/>
      <c r="BE35" s="313"/>
      <c r="BF35" s="313"/>
      <c r="BG35" s="313"/>
      <c r="BH35" s="314"/>
      <c r="BI35" s="315">
        <f t="shared" si="0"/>
        <v>754.33705407660659</v>
      </c>
      <c r="BJ35" s="131"/>
      <c r="BK35" s="131"/>
      <c r="BL35" s="318"/>
      <c r="BM35" s="286" t="s">
        <v>500</v>
      </c>
      <c r="BN35" s="316"/>
      <c r="BO35" s="316"/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/>
      <c r="AU36" s="313"/>
      <c r="AV36" s="313"/>
      <c r="AW36" s="313"/>
      <c r="AX36" s="313"/>
      <c r="AY36" s="313"/>
      <c r="AZ36" s="313"/>
      <c r="BA36" s="313"/>
      <c r="BB36" s="313"/>
      <c r="BC36" s="313"/>
      <c r="BD36" s="313"/>
      <c r="BE36" s="313"/>
      <c r="BF36" s="313"/>
      <c r="BG36" s="313">
        <v>0.21977250000000001</v>
      </c>
      <c r="BH36" s="314"/>
      <c r="BI36" s="315">
        <f t="shared" si="0"/>
        <v>0.21977250000000001</v>
      </c>
      <c r="BJ36" s="131"/>
      <c r="BK36" s="131"/>
      <c r="BL36" s="318"/>
      <c r="BM36" s="286" t="s">
        <v>506</v>
      </c>
      <c r="BN36" s="316"/>
      <c r="BO36" s="316"/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/>
      <c r="AU37" s="313"/>
      <c r="AV37" s="313"/>
      <c r="AW37" s="313"/>
      <c r="AX37" s="313"/>
      <c r="AY37" s="313"/>
      <c r="AZ37" s="313"/>
      <c r="BA37" s="313"/>
      <c r="BB37" s="313"/>
      <c r="BC37" s="313"/>
      <c r="BD37" s="313"/>
      <c r="BE37" s="313"/>
      <c r="BF37" s="313"/>
      <c r="BG37" s="313"/>
      <c r="BH37" s="321"/>
      <c r="BI37" s="315">
        <f t="shared" si="0"/>
        <v>0</v>
      </c>
      <c r="BJ37" s="322"/>
      <c r="BK37" s="131"/>
      <c r="BL37" s="199"/>
      <c r="BM37" s="286" t="s">
        <v>505</v>
      </c>
      <c r="BN37" s="316"/>
      <c r="BO37" s="316">
        <v>0.25919703999999999</v>
      </c>
      <c r="BP37" s="289">
        <f t="shared" si="1"/>
        <v>0.25919703999999999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/>
      <c r="AU38" s="313"/>
      <c r="AV38" s="313"/>
      <c r="AW38" s="313"/>
      <c r="AX38" s="313"/>
      <c r="AY38" s="313"/>
      <c r="AZ38" s="313"/>
      <c r="BA38" s="313"/>
      <c r="BB38" s="313"/>
      <c r="BC38" s="313">
        <v>0.18440139999999999</v>
      </c>
      <c r="BD38" s="313"/>
      <c r="BE38" s="313"/>
      <c r="BF38" s="313"/>
      <c r="BG38" s="313"/>
      <c r="BH38" s="314"/>
      <c r="BI38" s="315">
        <f t="shared" si="0"/>
        <v>0.18440139999999999</v>
      </c>
      <c r="BJ38" s="131"/>
      <c r="BK38" s="131"/>
      <c r="BL38" s="199"/>
      <c r="BM38" s="286" t="s">
        <v>491</v>
      </c>
      <c r="BN38" s="316"/>
      <c r="BO38" s="316"/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/>
      <c r="AU39" s="313"/>
      <c r="AV39" s="313"/>
      <c r="AW39" s="313"/>
      <c r="AX39" s="313"/>
      <c r="AY39" s="313"/>
      <c r="AZ39" s="313"/>
      <c r="BA39" s="313"/>
      <c r="BB39" s="313"/>
      <c r="BC39" s="313"/>
      <c r="BD39" s="313">
        <v>754.33705407660659</v>
      </c>
      <c r="BE39" s="313"/>
      <c r="BF39" s="313"/>
      <c r="BG39" s="313"/>
      <c r="BH39" s="314"/>
      <c r="BI39" s="315">
        <f t="shared" si="0"/>
        <v>754.33705407660659</v>
      </c>
      <c r="BJ39" s="131"/>
      <c r="BK39" s="131"/>
      <c r="BL39" s="199"/>
      <c r="BM39" s="286" t="s">
        <v>523</v>
      </c>
      <c r="BN39" s="316"/>
      <c r="BO39" s="316"/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3"/>
      <c r="BF40" s="313"/>
      <c r="BG40" s="313">
        <v>5.6077400000000006E-2</v>
      </c>
      <c r="BH40" s="314"/>
      <c r="BI40" s="315">
        <f t="shared" si="0"/>
        <v>5.6077400000000006E-2</v>
      </c>
      <c r="BJ40" s="131"/>
      <c r="BK40" s="131"/>
      <c r="BL40" s="199"/>
      <c r="BM40" s="286" t="s">
        <v>492</v>
      </c>
      <c r="BN40" s="316"/>
      <c r="BO40" s="316"/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/>
      <c r="AU41" s="313"/>
      <c r="AV41" s="313"/>
      <c r="AW41" s="313"/>
      <c r="AX41" s="313"/>
      <c r="AY41" s="313"/>
      <c r="AZ41" s="313"/>
      <c r="BA41" s="313"/>
      <c r="BB41" s="313"/>
      <c r="BC41" s="313"/>
      <c r="BD41" s="313"/>
      <c r="BE41" s="313"/>
      <c r="BF41" s="313"/>
      <c r="BG41" s="313"/>
      <c r="BH41" s="321"/>
      <c r="BI41" s="315">
        <f t="shared" si="0"/>
        <v>0</v>
      </c>
      <c r="BJ41" s="131"/>
      <c r="BK41" s="131"/>
      <c r="BL41" s="199"/>
      <c r="BM41" s="286" t="s">
        <v>494</v>
      </c>
      <c r="BN41" s="316"/>
      <c r="BO41" s="316">
        <v>4.0304400000000004E-2</v>
      </c>
      <c r="BP41" s="289">
        <f t="shared" si="1"/>
        <v>4.0304400000000004E-2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/>
      <c r="AU42" s="313"/>
      <c r="AV42" s="313"/>
      <c r="AW42" s="313"/>
      <c r="AX42" s="313"/>
      <c r="AY42" s="313"/>
      <c r="AZ42" s="313"/>
      <c r="BA42" s="313"/>
      <c r="BB42" s="313"/>
      <c r="BC42" s="313"/>
      <c r="BD42" s="313"/>
      <c r="BE42" s="313"/>
      <c r="BF42" s="313"/>
      <c r="BG42" s="313"/>
      <c r="BH42" s="314"/>
      <c r="BI42" s="315">
        <f t="shared" si="0"/>
        <v>0</v>
      </c>
      <c r="BJ42" s="131"/>
      <c r="BK42" s="131"/>
      <c r="BL42" s="199"/>
      <c r="BM42" s="286" t="s">
        <v>493</v>
      </c>
      <c r="BN42" s="316"/>
      <c r="BO42" s="316">
        <v>9.0038560000000004E-2</v>
      </c>
      <c r="BP42" s="289">
        <f t="shared" si="1"/>
        <v>9.0038560000000004E-2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/>
      <c r="AU43" s="313"/>
      <c r="AV43" s="313"/>
      <c r="AW43" s="313"/>
      <c r="AX43" s="313"/>
      <c r="AY43" s="313"/>
      <c r="AZ43" s="313"/>
      <c r="BA43" s="313"/>
      <c r="BB43" s="313"/>
      <c r="BC43" s="313"/>
      <c r="BD43" s="313"/>
      <c r="BE43" s="313"/>
      <c r="BF43" s="313"/>
      <c r="BG43" s="313">
        <v>217.63525920401193</v>
      </c>
      <c r="BH43" s="314"/>
      <c r="BI43" s="315">
        <f t="shared" si="0"/>
        <v>217.63525920401193</v>
      </c>
      <c r="BJ43" s="131"/>
      <c r="BK43" s="131"/>
      <c r="BL43" s="199"/>
      <c r="BM43" s="286" t="s">
        <v>551</v>
      </c>
      <c r="BN43" s="316"/>
      <c r="BO43" s="316"/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/>
      <c r="AU44" s="313"/>
      <c r="AV44" s="313"/>
      <c r="AW44" s="313"/>
      <c r="AX44" s="313"/>
      <c r="AY44" s="313"/>
      <c r="AZ44" s="313"/>
      <c r="BA44" s="313"/>
      <c r="BB44" s="313"/>
      <c r="BC44" s="313"/>
      <c r="BD44" s="313"/>
      <c r="BE44" s="313">
        <v>0.12416072</v>
      </c>
      <c r="BF44" s="313"/>
      <c r="BG44" s="313"/>
      <c r="BH44" s="314"/>
      <c r="BI44" s="315">
        <f t="shared" si="0"/>
        <v>0.12416072</v>
      </c>
      <c r="BJ44" s="131"/>
      <c r="BK44" s="131"/>
      <c r="BL44" s="239"/>
      <c r="BM44" s="286" t="s">
        <v>489</v>
      </c>
      <c r="BN44" s="316"/>
      <c r="BO44" s="316"/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/>
      <c r="AU45" s="313"/>
      <c r="AV45" s="313"/>
      <c r="AW45" s="313"/>
      <c r="AX45" s="313"/>
      <c r="AY45" s="313"/>
      <c r="AZ45" s="313"/>
      <c r="BA45" s="313"/>
      <c r="BB45" s="313"/>
      <c r="BC45" s="313"/>
      <c r="BD45" s="313"/>
      <c r="BE45" s="313"/>
      <c r="BF45" s="313"/>
      <c r="BG45" s="313"/>
      <c r="BH45" s="314"/>
      <c r="BI45" s="315">
        <f t="shared" si="0"/>
        <v>0</v>
      </c>
      <c r="BJ45" s="131"/>
      <c r="BK45" s="131"/>
      <c r="BL45" s="199"/>
      <c r="BM45" s="286" t="s">
        <v>619</v>
      </c>
      <c r="BN45" s="316"/>
      <c r="BO45" s="316">
        <v>1.445899</v>
      </c>
      <c r="BP45" s="289">
        <f t="shared" si="1"/>
        <v>1.445899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/>
      <c r="AU46" s="313"/>
      <c r="AV46" s="313"/>
      <c r="AW46" s="313"/>
      <c r="AX46" s="313"/>
      <c r="AY46" s="313"/>
      <c r="AZ46" s="313"/>
      <c r="BA46" s="313"/>
      <c r="BB46" s="313"/>
      <c r="BC46" s="313"/>
      <c r="BD46" s="313"/>
      <c r="BE46" s="313"/>
      <c r="BF46" s="313"/>
      <c r="BG46" s="313"/>
      <c r="BH46" s="314"/>
      <c r="BI46" s="315">
        <f t="shared" si="0"/>
        <v>0</v>
      </c>
      <c r="BJ46" s="131"/>
      <c r="BK46" s="131"/>
      <c r="BL46" s="286"/>
      <c r="BM46" s="286" t="s">
        <v>488</v>
      </c>
      <c r="BN46" s="316"/>
      <c r="BO46" s="316">
        <v>0.57429051399999997</v>
      </c>
      <c r="BP46" s="289">
        <f t="shared" si="1"/>
        <v>0.57429051399999997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/>
      <c r="AU47" s="313"/>
      <c r="AV47" s="313"/>
      <c r="AW47" s="313"/>
      <c r="AX47" s="313"/>
      <c r="AY47" s="313"/>
      <c r="AZ47" s="313"/>
      <c r="BA47" s="313"/>
      <c r="BB47" s="313"/>
      <c r="BC47" s="313"/>
      <c r="BD47" s="313"/>
      <c r="BE47" s="313"/>
      <c r="BF47" s="313"/>
      <c r="BG47" s="313"/>
      <c r="BH47" s="314"/>
      <c r="BI47" s="315">
        <f t="shared" si="0"/>
        <v>0</v>
      </c>
      <c r="BJ47" s="131"/>
      <c r="BK47" s="131"/>
      <c r="BL47" s="199"/>
      <c r="BM47" s="286" t="s">
        <v>490</v>
      </c>
      <c r="BN47" s="316"/>
      <c r="BO47" s="316">
        <v>9.0038560000000004E-2</v>
      </c>
      <c r="BP47" s="289">
        <f t="shared" si="1"/>
        <v>9.0038560000000004E-2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/>
      <c r="AU48" s="313"/>
      <c r="AV48" s="313"/>
      <c r="AW48" s="313"/>
      <c r="AX48" s="313"/>
      <c r="AY48" s="313"/>
      <c r="AZ48" s="313"/>
      <c r="BA48" s="313"/>
      <c r="BB48" s="313"/>
      <c r="BC48" s="313"/>
      <c r="BD48" s="313"/>
      <c r="BE48" s="313"/>
      <c r="BF48" s="313">
        <v>8.4139320000000004E-2</v>
      </c>
      <c r="BG48" s="313"/>
      <c r="BH48" s="321"/>
      <c r="BI48" s="315">
        <f t="shared" si="0"/>
        <v>8.4139320000000004E-2</v>
      </c>
      <c r="BJ48" s="131"/>
      <c r="BK48" s="131"/>
      <c r="BL48" s="199"/>
      <c r="BM48" s="286" t="s">
        <v>582</v>
      </c>
      <c r="BN48" s="316"/>
      <c r="BO48" s="316"/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/>
      <c r="AU49" s="313"/>
      <c r="AV49" s="313"/>
      <c r="AW49" s="313"/>
      <c r="AX49" s="313"/>
      <c r="AY49" s="313"/>
      <c r="AZ49" s="313"/>
      <c r="BA49" s="313"/>
      <c r="BB49" s="313"/>
      <c r="BC49" s="313"/>
      <c r="BD49" s="313"/>
      <c r="BE49" s="313"/>
      <c r="BF49" s="313"/>
      <c r="BG49" s="313"/>
      <c r="BH49" s="313">
        <v>8.4139320000000004E-2</v>
      </c>
      <c r="BI49" s="315">
        <f t="shared" si="0"/>
        <v>8.4139320000000004E-2</v>
      </c>
      <c r="BJ49" s="131"/>
      <c r="BK49" s="131"/>
      <c r="BL49" s="199"/>
      <c r="BM49" s="286" t="s">
        <v>584</v>
      </c>
      <c r="BN49" s="316">
        <v>8.4139320000000004E-2</v>
      </c>
      <c r="BO49" s="316"/>
      <c r="BP49" s="289">
        <f t="shared" si="1"/>
        <v>8.4139320000000004E-2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/>
      <c r="AU50" s="313"/>
      <c r="AV50" s="313"/>
      <c r="AW50" s="313"/>
      <c r="AX50" s="313"/>
      <c r="AY50" s="313"/>
      <c r="AZ50" s="313"/>
      <c r="BA50" s="313"/>
      <c r="BB50" s="313"/>
      <c r="BC50" s="313"/>
      <c r="BD50" s="313"/>
      <c r="BE50" s="313"/>
      <c r="BF50" s="313"/>
      <c r="BG50" s="313"/>
      <c r="BH50" s="320">
        <v>217.91110910401193</v>
      </c>
      <c r="BI50" s="315">
        <f t="shared" si="0"/>
        <v>217.91110910401193</v>
      </c>
      <c r="BJ50" s="131"/>
      <c r="BK50" s="131"/>
      <c r="BL50" s="199"/>
      <c r="BM50" s="286" t="s">
        <v>512</v>
      </c>
      <c r="BN50" s="316"/>
      <c r="BO50" s="316"/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4"/>
      <c r="AU51" s="314"/>
      <c r="AV51" s="314"/>
      <c r="AW51" s="314"/>
      <c r="AX51" s="314"/>
      <c r="AY51" s="314"/>
      <c r="AZ51" s="314"/>
      <c r="BA51" s="314"/>
      <c r="BB51" s="314"/>
      <c r="BC51" s="314"/>
      <c r="BD51" s="314"/>
      <c r="BE51" s="314"/>
      <c r="BF51" s="314"/>
      <c r="BG51" s="314"/>
      <c r="BH51" s="314"/>
      <c r="BI51" s="315">
        <f t="shared" si="0"/>
        <v>0</v>
      </c>
      <c r="BJ51" s="131"/>
      <c r="BK51" s="131"/>
      <c r="BL51" s="199"/>
      <c r="BM51" s="286" t="s">
        <v>513</v>
      </c>
      <c r="BN51" s="316">
        <v>5.5844999999999999E-2</v>
      </c>
      <c r="BO51" s="316"/>
      <c r="BP51" s="289">
        <f t="shared" si="1"/>
        <v>5.5844999999999999E-2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23"/>
      <c r="AU52" s="323"/>
      <c r="AV52" s="323"/>
      <c r="AW52" s="323"/>
      <c r="AX52" s="323"/>
      <c r="AY52" s="323"/>
      <c r="AZ52" s="323"/>
      <c r="BA52" s="323"/>
      <c r="BB52" s="323"/>
      <c r="BC52" s="323"/>
      <c r="BD52" s="323"/>
      <c r="BE52" s="323"/>
      <c r="BF52" s="323"/>
      <c r="BG52" s="323"/>
      <c r="BH52" s="324"/>
      <c r="BI52" s="315">
        <f t="shared" si="0"/>
        <v>0</v>
      </c>
      <c r="BJ52" s="131"/>
      <c r="BK52" s="131"/>
      <c r="BL52" s="131"/>
      <c r="BM52" s="325" t="s">
        <v>514</v>
      </c>
      <c r="BN52" s="326"/>
      <c r="BO52" s="230">
        <v>0.15410336000000002</v>
      </c>
      <c r="BP52" s="289">
        <f t="shared" si="1"/>
        <v>0.15410336000000002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27"/>
      <c r="AU53" s="327"/>
      <c r="AV53" s="327"/>
      <c r="AW53" s="327"/>
      <c r="AX53" s="327"/>
      <c r="AY53" s="327"/>
      <c r="AZ53" s="327"/>
      <c r="BA53" s="327"/>
      <c r="BB53" s="327"/>
      <c r="BC53" s="327"/>
      <c r="BD53" s="327"/>
      <c r="BE53" s="327"/>
      <c r="BF53" s="327"/>
      <c r="BG53" s="327"/>
      <c r="BH53" s="327"/>
      <c r="BI53" s="315">
        <f t="shared" si="0"/>
        <v>0</v>
      </c>
      <c r="BJ53" s="131"/>
      <c r="BK53" s="131"/>
      <c r="BL53" s="131"/>
      <c r="BM53" s="325" t="s">
        <v>524</v>
      </c>
      <c r="BN53" s="326"/>
      <c r="BO53" s="230">
        <v>0.11616169999999999</v>
      </c>
      <c r="BP53" s="289">
        <f t="shared" si="1"/>
        <v>0.11616169999999999</v>
      </c>
    </row>
    <row r="54" spans="5:68" x14ac:dyDescent="0.2">
      <c r="E54" s="131"/>
      <c r="F54" s="453"/>
      <c r="G54" s="453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54" t="s">
        <v>395</v>
      </c>
      <c r="AU54" s="455"/>
      <c r="AV54" s="455"/>
      <c r="AW54" s="455"/>
      <c r="AX54" s="455"/>
      <c r="AY54" s="455"/>
      <c r="AZ54" s="455"/>
      <c r="BA54" s="455"/>
      <c r="BB54" s="455"/>
      <c r="BC54" s="455"/>
      <c r="BD54" s="455"/>
      <c r="BE54" s="455"/>
      <c r="BF54" s="455"/>
      <c r="BG54" s="455"/>
      <c r="BH54" s="455"/>
      <c r="BI54" s="329" t="s">
        <v>436</v>
      </c>
      <c r="BJ54" s="131"/>
      <c r="BK54" s="131"/>
      <c r="BL54" s="131"/>
      <c r="BM54" s="322"/>
      <c r="BN54" s="452" t="s">
        <v>397</v>
      </c>
      <c r="BO54" s="452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0.70629643999999991</v>
      </c>
      <c r="AU55" s="330">
        <f t="shared" ref="AU55:BH55" si="2">SUM(AU18:AU53)</f>
        <v>0.52595921999999995</v>
      </c>
      <c r="AV55" s="330">
        <f t="shared" si="2"/>
        <v>754.56438097660657</v>
      </c>
      <c r="AW55" s="330">
        <f t="shared" si="2"/>
        <v>0.47896953999999997</v>
      </c>
      <c r="AX55" s="330">
        <f t="shared" si="2"/>
        <v>0.18440139999999999</v>
      </c>
      <c r="AY55" s="330">
        <f t="shared" si="2"/>
        <v>754.33705407660659</v>
      </c>
      <c r="AZ55" s="330">
        <f t="shared" si="2"/>
        <v>0.47896953999999997</v>
      </c>
      <c r="BA55" s="330">
        <f t="shared" si="2"/>
        <v>0.18440139999999999</v>
      </c>
      <c r="BB55" s="330">
        <f t="shared" si="2"/>
        <v>754.33705407660659</v>
      </c>
      <c r="BC55" s="330">
        <f t="shared" si="2"/>
        <v>0.26045644000000001</v>
      </c>
      <c r="BD55" s="330">
        <f t="shared" si="2"/>
        <v>754.41310911660662</v>
      </c>
      <c r="BE55" s="330">
        <f t="shared" si="2"/>
        <v>0.12416072</v>
      </c>
      <c r="BF55" s="330">
        <f t="shared" si="2"/>
        <v>8.4139320000000004E-2</v>
      </c>
      <c r="BG55" s="330">
        <f t="shared" si="2"/>
        <v>217.91110910401193</v>
      </c>
      <c r="BH55" s="330">
        <f t="shared" si="2"/>
        <v>218.21157226401192</v>
      </c>
      <c r="BJ55" s="131"/>
      <c r="BK55" s="131"/>
      <c r="BL55" s="131"/>
      <c r="BM55" s="131"/>
      <c r="BN55" s="322"/>
      <c r="BO55" s="131"/>
    </row>
    <row r="56" spans="5:68" ht="236" x14ac:dyDescent="0.2">
      <c r="E56" s="279"/>
      <c r="F56" s="200" t="s">
        <v>400</v>
      </c>
      <c r="G56" s="200" t="s">
        <v>402</v>
      </c>
      <c r="H56" s="200" t="s">
        <v>403</v>
      </c>
      <c r="I56" s="200" t="s">
        <v>422</v>
      </c>
      <c r="J56" s="200" t="s">
        <v>444</v>
      </c>
      <c r="K56" s="200" t="s">
        <v>533</v>
      </c>
      <c r="L56" s="200" t="s">
        <v>534</v>
      </c>
      <c r="M56" s="200" t="s">
        <v>478</v>
      </c>
      <c r="N56" s="200" t="s">
        <v>526</v>
      </c>
      <c r="O56" s="331" t="s">
        <v>509</v>
      </c>
      <c r="P56" s="332" t="s">
        <v>476</v>
      </c>
      <c r="Q56" s="331" t="s">
        <v>479</v>
      </c>
      <c r="R56" s="332" t="s">
        <v>504</v>
      </c>
      <c r="S56" s="202" t="s">
        <v>497</v>
      </c>
      <c r="T56" s="332" t="s">
        <v>483</v>
      </c>
      <c r="U56" s="331" t="s">
        <v>508</v>
      </c>
      <c r="V56" s="331" t="s">
        <v>503</v>
      </c>
      <c r="W56" s="331" t="s">
        <v>500</v>
      </c>
      <c r="X56" s="331" t="s">
        <v>506</v>
      </c>
      <c r="Y56" s="202" t="s">
        <v>505</v>
      </c>
      <c r="Z56" s="202" t="s">
        <v>491</v>
      </c>
      <c r="AA56" s="202" t="s">
        <v>523</v>
      </c>
      <c r="AB56" s="202" t="s">
        <v>492</v>
      </c>
      <c r="AC56" s="202" t="s">
        <v>494</v>
      </c>
      <c r="AD56" s="202" t="s">
        <v>493</v>
      </c>
      <c r="AE56" s="202" t="s">
        <v>551</v>
      </c>
      <c r="AF56" s="220" t="s">
        <v>489</v>
      </c>
      <c r="AG56" s="220" t="s">
        <v>619</v>
      </c>
      <c r="AH56" s="202" t="s">
        <v>488</v>
      </c>
      <c r="AI56" s="332" t="s">
        <v>490</v>
      </c>
      <c r="AJ56" s="202" t="s">
        <v>582</v>
      </c>
      <c r="AK56" s="202" t="s">
        <v>584</v>
      </c>
      <c r="AL56" s="202" t="s">
        <v>512</v>
      </c>
      <c r="AM56" s="202" t="s">
        <v>513</v>
      </c>
      <c r="AN56" s="202" t="s">
        <v>514</v>
      </c>
      <c r="AO56" s="202" t="s">
        <v>524</v>
      </c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</row>
    <row r="57" spans="5:68" x14ac:dyDescent="0.2">
      <c r="E57" s="286" t="s">
        <v>392</v>
      </c>
      <c r="F57" s="219"/>
      <c r="G57" s="219"/>
      <c r="H57" s="219"/>
      <c r="I57" s="219"/>
      <c r="J57" s="219"/>
      <c r="K57" s="219"/>
      <c r="L57" s="219"/>
      <c r="M57" s="219"/>
      <c r="N57" s="219"/>
      <c r="O57" s="313">
        <v>0.47896953999999997</v>
      </c>
      <c r="P57" s="313">
        <v>9.0038560000000004E-2</v>
      </c>
      <c r="Q57" s="313"/>
      <c r="R57" s="313"/>
      <c r="S57" s="313"/>
      <c r="T57" s="313"/>
      <c r="U57" s="313"/>
      <c r="V57" s="313"/>
      <c r="W57" s="313"/>
      <c r="X57" s="313"/>
      <c r="Y57" s="313"/>
      <c r="Z57" s="313"/>
      <c r="AA57" s="313"/>
      <c r="AB57" s="313"/>
      <c r="AC57" s="313"/>
      <c r="AD57" s="313"/>
      <c r="AE57" s="313"/>
      <c r="AF57" s="313"/>
      <c r="AG57" s="313"/>
      <c r="AH57" s="313"/>
      <c r="AI57" s="313"/>
      <c r="AJ57" s="313"/>
      <c r="AK57" s="313"/>
      <c r="AL57" s="313"/>
      <c r="AM57" s="313"/>
      <c r="AN57" s="313"/>
      <c r="AO57" s="313"/>
      <c r="AP57" s="287">
        <f>SUM(F57:AO57)</f>
        <v>0.56900810000000002</v>
      </c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393</v>
      </c>
      <c r="F58" s="219"/>
      <c r="G58" s="219"/>
      <c r="H58" s="219"/>
      <c r="I58" s="219"/>
      <c r="J58" s="219"/>
      <c r="K58" s="219"/>
      <c r="L58" s="219"/>
      <c r="M58" s="219"/>
      <c r="N58" s="219"/>
      <c r="O58" s="313"/>
      <c r="P58" s="313"/>
      <c r="Q58" s="313">
        <v>0.18440139999999999</v>
      </c>
      <c r="R58" s="313">
        <v>9.0038560000000004E-2</v>
      </c>
      <c r="S58" s="313"/>
      <c r="T58" s="313"/>
      <c r="U58" s="313"/>
      <c r="V58" s="313"/>
      <c r="W58" s="313"/>
      <c r="X58" s="313"/>
      <c r="Y58" s="313"/>
      <c r="Z58" s="313"/>
      <c r="AA58" s="313"/>
      <c r="AB58" s="313"/>
      <c r="AC58" s="313"/>
      <c r="AD58" s="313"/>
      <c r="AE58" s="313"/>
      <c r="AF58" s="313"/>
      <c r="AG58" s="313"/>
      <c r="AH58" s="313"/>
      <c r="AI58" s="313"/>
      <c r="AJ58" s="313"/>
      <c r="AK58" s="313"/>
      <c r="AL58" s="313"/>
      <c r="AM58" s="313"/>
      <c r="AN58" s="313"/>
      <c r="AO58" s="313"/>
      <c r="AP58" s="287">
        <f t="shared" ref="AP58:AP71" si="3">SUM(F58:AO58)</f>
        <v>0.27443995999999998</v>
      </c>
      <c r="AQ58" s="131"/>
      <c r="AR58" s="131"/>
      <c r="AS58" s="131"/>
      <c r="AT58" s="322"/>
      <c r="AU58" s="322"/>
      <c r="AV58" s="322"/>
      <c r="AW58" s="322"/>
      <c r="AX58" s="322"/>
      <c r="AY58" s="322"/>
      <c r="AZ58" s="322"/>
      <c r="BA58" s="322"/>
      <c r="BB58" s="322"/>
      <c r="BC58" s="322"/>
      <c r="BD58" s="322"/>
      <c r="BE58" s="322"/>
      <c r="BF58" s="322"/>
      <c r="BG58" s="322"/>
      <c r="BH58" s="131"/>
      <c r="BI58" s="131"/>
      <c r="BJ58" s="131"/>
      <c r="BK58" s="131"/>
      <c r="BL58" s="131"/>
      <c r="BM58" s="322"/>
      <c r="BN58" s="322"/>
      <c r="BO58" s="131"/>
    </row>
    <row r="59" spans="5:68" x14ac:dyDescent="0.2">
      <c r="E59" s="286" t="s">
        <v>394</v>
      </c>
      <c r="F59" s="219"/>
      <c r="G59" s="219"/>
      <c r="H59" s="219"/>
      <c r="I59" s="219"/>
      <c r="J59" s="219"/>
      <c r="K59" s="219"/>
      <c r="L59" s="219"/>
      <c r="M59" s="219"/>
      <c r="N59" s="219"/>
      <c r="O59" s="313"/>
      <c r="P59" s="313"/>
      <c r="Q59" s="313"/>
      <c r="R59" s="313"/>
      <c r="S59" s="313">
        <v>754.33705407660659</v>
      </c>
      <c r="T59" s="313">
        <v>9.0038560000000004E-2</v>
      </c>
      <c r="U59" s="313"/>
      <c r="V59" s="313"/>
      <c r="W59" s="313"/>
      <c r="X59" s="313"/>
      <c r="Y59" s="313"/>
      <c r="Z59" s="313"/>
      <c r="AA59" s="313"/>
      <c r="AB59" s="313"/>
      <c r="AC59" s="313"/>
      <c r="AD59" s="313"/>
      <c r="AE59" s="313"/>
      <c r="AF59" s="313"/>
      <c r="AG59" s="313"/>
      <c r="AH59" s="313"/>
      <c r="AI59" s="313"/>
      <c r="AJ59" s="313"/>
      <c r="AK59" s="313"/>
      <c r="AL59" s="313"/>
      <c r="AM59" s="313"/>
      <c r="AN59" s="313"/>
      <c r="AO59" s="313"/>
      <c r="AP59" s="287">
        <f t="shared" si="3"/>
        <v>754.42709263660663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522</v>
      </c>
      <c r="F60" s="219"/>
      <c r="G60" s="219"/>
      <c r="H60" s="219"/>
      <c r="I60" s="219"/>
      <c r="J60" s="219"/>
      <c r="K60" s="219"/>
      <c r="L60" s="219"/>
      <c r="M60" s="219"/>
      <c r="N60" s="219"/>
      <c r="O60" s="313"/>
      <c r="P60" s="313"/>
      <c r="Q60" s="313"/>
      <c r="R60" s="313"/>
      <c r="S60" s="313"/>
      <c r="T60" s="313"/>
      <c r="U60" s="313">
        <v>0.47896953999999997</v>
      </c>
      <c r="V60" s="313"/>
      <c r="W60" s="313"/>
      <c r="X60" s="313"/>
      <c r="Y60" s="313"/>
      <c r="Z60" s="313"/>
      <c r="AA60" s="313"/>
      <c r="AB60" s="313"/>
      <c r="AC60" s="313"/>
      <c r="AD60" s="313"/>
      <c r="AE60" s="313"/>
      <c r="AF60" s="313"/>
      <c r="AG60" s="313"/>
      <c r="AH60" s="313"/>
      <c r="AI60" s="313"/>
      <c r="AJ60" s="313"/>
      <c r="AK60" s="313"/>
      <c r="AL60" s="313"/>
      <c r="AM60" s="313"/>
      <c r="AN60" s="313"/>
      <c r="AO60" s="313"/>
      <c r="AP60" s="287">
        <f t="shared" si="3"/>
        <v>0.47896953999999997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502</v>
      </c>
      <c r="F61" s="219"/>
      <c r="G61" s="219"/>
      <c r="H61" s="219"/>
      <c r="I61" s="219"/>
      <c r="J61" s="219"/>
      <c r="K61" s="219"/>
      <c r="L61" s="219"/>
      <c r="M61" s="219"/>
      <c r="N61" s="219"/>
      <c r="O61" s="313"/>
      <c r="P61" s="313"/>
      <c r="Q61" s="313"/>
      <c r="R61" s="313"/>
      <c r="S61" s="313"/>
      <c r="T61" s="313"/>
      <c r="U61" s="313"/>
      <c r="V61" s="313">
        <v>0.18440139999999999</v>
      </c>
      <c r="W61" s="313"/>
      <c r="X61" s="313"/>
      <c r="Y61" s="313"/>
      <c r="Z61" s="313"/>
      <c r="AA61" s="313"/>
      <c r="AB61" s="313"/>
      <c r="AC61" s="313"/>
      <c r="AD61" s="313"/>
      <c r="AE61" s="313"/>
      <c r="AF61" s="313"/>
      <c r="AG61" s="313"/>
      <c r="AH61" s="313"/>
      <c r="AI61" s="313"/>
      <c r="AJ61" s="313"/>
      <c r="AK61" s="313"/>
      <c r="AL61" s="313"/>
      <c r="AM61" s="313"/>
      <c r="AN61" s="313"/>
      <c r="AO61" s="313"/>
      <c r="AP61" s="287">
        <f t="shared" si="3"/>
        <v>0.18440139999999999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501</v>
      </c>
      <c r="F62" s="219"/>
      <c r="G62" s="219"/>
      <c r="H62" s="219"/>
      <c r="I62" s="219"/>
      <c r="J62" s="219"/>
      <c r="K62" s="219"/>
      <c r="L62" s="219"/>
      <c r="M62" s="219"/>
      <c r="N62" s="219"/>
      <c r="O62" s="313"/>
      <c r="P62" s="313"/>
      <c r="Q62" s="313"/>
      <c r="R62" s="313"/>
      <c r="S62" s="313"/>
      <c r="T62" s="313"/>
      <c r="U62" s="313"/>
      <c r="V62" s="313"/>
      <c r="W62" s="313">
        <v>754.33705407660659</v>
      </c>
      <c r="X62" s="313"/>
      <c r="Y62" s="313"/>
      <c r="Z62" s="313"/>
      <c r="AA62" s="313"/>
      <c r="AB62" s="313"/>
      <c r="AC62" s="313"/>
      <c r="AD62" s="313"/>
      <c r="AE62" s="313"/>
      <c r="AF62" s="313"/>
      <c r="AG62" s="313"/>
      <c r="AH62" s="313"/>
      <c r="AI62" s="313"/>
      <c r="AJ62" s="313"/>
      <c r="AK62" s="313"/>
      <c r="AL62" s="313"/>
      <c r="AM62" s="313"/>
      <c r="AN62" s="313"/>
      <c r="AO62" s="313"/>
      <c r="AP62" s="287">
        <f t="shared" si="3"/>
        <v>754.33705407660659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418</v>
      </c>
      <c r="F63" s="219"/>
      <c r="G63" s="219"/>
      <c r="H63" s="219"/>
      <c r="I63" s="219"/>
      <c r="J63" s="219"/>
      <c r="K63" s="219"/>
      <c r="L63" s="219"/>
      <c r="M63" s="219"/>
      <c r="N63" s="219"/>
      <c r="O63" s="313"/>
      <c r="P63" s="313"/>
      <c r="Q63" s="313"/>
      <c r="R63" s="313"/>
      <c r="S63" s="313"/>
      <c r="T63" s="313"/>
      <c r="U63" s="313"/>
      <c r="V63" s="313"/>
      <c r="W63" s="313"/>
      <c r="X63" s="313">
        <v>0.21977250000000001</v>
      </c>
      <c r="Y63" s="313">
        <v>0.25919703999999999</v>
      </c>
      <c r="Z63" s="313"/>
      <c r="AA63" s="313"/>
      <c r="AB63" s="313"/>
      <c r="AC63" s="313"/>
      <c r="AD63" s="313"/>
      <c r="AE63" s="313"/>
      <c r="AF63" s="313"/>
      <c r="AG63" s="313"/>
      <c r="AH63" s="313"/>
      <c r="AI63" s="313"/>
      <c r="AJ63" s="313"/>
      <c r="AK63" s="313"/>
      <c r="AL63" s="313"/>
      <c r="AM63" s="313"/>
      <c r="AN63" s="313"/>
      <c r="AO63" s="313"/>
      <c r="AP63" s="287">
        <f t="shared" si="3"/>
        <v>0.47896954000000003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415</v>
      </c>
      <c r="F64" s="219"/>
      <c r="G64" s="219"/>
      <c r="H64" s="219"/>
      <c r="I64" s="219"/>
      <c r="J64" s="219"/>
      <c r="K64" s="219"/>
      <c r="L64" s="219"/>
      <c r="M64" s="219"/>
      <c r="N64" s="219"/>
      <c r="O64" s="313"/>
      <c r="P64" s="313"/>
      <c r="Q64" s="313"/>
      <c r="R64" s="313"/>
      <c r="S64" s="313"/>
      <c r="T64" s="313"/>
      <c r="U64" s="313"/>
      <c r="V64" s="313"/>
      <c r="W64" s="313"/>
      <c r="X64" s="313"/>
      <c r="Y64" s="313"/>
      <c r="Z64" s="313">
        <v>0.18440139999999999</v>
      </c>
      <c r="AA64" s="313"/>
      <c r="AB64" s="313"/>
      <c r="AC64" s="313"/>
      <c r="AD64" s="313"/>
      <c r="AE64" s="313"/>
      <c r="AF64" s="313"/>
      <c r="AG64" s="313"/>
      <c r="AH64" s="313"/>
      <c r="AI64" s="313"/>
      <c r="AJ64" s="313"/>
      <c r="AK64" s="313"/>
      <c r="AL64" s="313"/>
      <c r="AM64" s="313"/>
      <c r="AN64" s="313"/>
      <c r="AO64" s="313"/>
      <c r="AP64" s="287">
        <f t="shared" si="3"/>
        <v>0.18440139999999999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429</v>
      </c>
      <c r="F65" s="219"/>
      <c r="G65" s="219"/>
      <c r="H65" s="219"/>
      <c r="I65" s="219"/>
      <c r="J65" s="219"/>
      <c r="K65" s="219"/>
      <c r="L65" s="219"/>
      <c r="M65" s="219"/>
      <c r="N65" s="219"/>
      <c r="O65" s="313"/>
      <c r="P65" s="313"/>
      <c r="Q65" s="313"/>
      <c r="R65" s="313"/>
      <c r="S65" s="313"/>
      <c r="T65" s="313"/>
      <c r="U65" s="313"/>
      <c r="V65" s="313"/>
      <c r="W65" s="313"/>
      <c r="X65" s="313"/>
      <c r="Y65" s="313"/>
      <c r="Z65" s="313"/>
      <c r="AA65" s="313">
        <v>754.33705407660659</v>
      </c>
      <c r="AB65" s="313"/>
      <c r="AC65" s="313"/>
      <c r="AD65" s="313"/>
      <c r="AE65" s="313"/>
      <c r="AF65" s="313"/>
      <c r="AG65" s="313"/>
      <c r="AH65" s="313"/>
      <c r="AI65" s="313"/>
      <c r="AJ65" s="313"/>
      <c r="AK65" s="313"/>
      <c r="AL65" s="313"/>
      <c r="AM65" s="313"/>
      <c r="AN65" s="313"/>
      <c r="AO65" s="313"/>
      <c r="AP65" s="287">
        <f t="shared" si="3"/>
        <v>754.33705407660659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416</v>
      </c>
      <c r="F66" s="219"/>
      <c r="G66" s="219"/>
      <c r="H66" s="219"/>
      <c r="I66" s="219"/>
      <c r="J66" s="219"/>
      <c r="K66" s="219"/>
      <c r="L66" s="219"/>
      <c r="M66" s="219"/>
      <c r="N66" s="219"/>
      <c r="O66" s="313"/>
      <c r="P66" s="313"/>
      <c r="Q66" s="313"/>
      <c r="R66" s="313"/>
      <c r="S66" s="313"/>
      <c r="T66" s="313"/>
      <c r="U66" s="313"/>
      <c r="V66" s="313"/>
      <c r="W66" s="313"/>
      <c r="X66" s="313"/>
      <c r="Y66" s="313"/>
      <c r="Z66" s="313"/>
      <c r="AA66" s="313"/>
      <c r="AB66" s="313">
        <v>5.6077400000000006E-2</v>
      </c>
      <c r="AC66" s="313">
        <v>4.0304400000000004E-2</v>
      </c>
      <c r="AD66" s="313">
        <v>9.0038560000000004E-2</v>
      </c>
      <c r="AE66" s="313"/>
      <c r="AF66" s="313"/>
      <c r="AG66" s="313"/>
      <c r="AH66" s="313"/>
      <c r="AI66" s="313"/>
      <c r="AJ66" s="313"/>
      <c r="AK66" s="313"/>
      <c r="AL66" s="313"/>
      <c r="AM66" s="313"/>
      <c r="AN66" s="313"/>
      <c r="AO66" s="313"/>
      <c r="AP66" s="287">
        <f t="shared" si="3"/>
        <v>0.18642036000000001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411</v>
      </c>
      <c r="F67" s="219"/>
      <c r="G67" s="219"/>
      <c r="H67" s="219"/>
      <c r="I67" s="219"/>
      <c r="J67" s="219"/>
      <c r="K67" s="219"/>
      <c r="L67" s="219"/>
      <c r="M67" s="219"/>
      <c r="N67" s="219"/>
      <c r="O67" s="313"/>
      <c r="P67" s="313"/>
      <c r="Q67" s="313"/>
      <c r="R67" s="313"/>
      <c r="S67" s="313"/>
      <c r="T67" s="313"/>
      <c r="U67" s="313"/>
      <c r="V67" s="313"/>
      <c r="W67" s="313"/>
      <c r="X67" s="313"/>
      <c r="Y67" s="313"/>
      <c r="Z67" s="313"/>
      <c r="AA67" s="313"/>
      <c r="AB67" s="313"/>
      <c r="AC67" s="313"/>
      <c r="AD67" s="313"/>
      <c r="AE67" s="313">
        <v>217.63525920401193</v>
      </c>
      <c r="AF67" s="313">
        <v>0.12416072</v>
      </c>
      <c r="AG67" s="313">
        <v>1.445899</v>
      </c>
      <c r="AH67" s="313">
        <v>0.57429051399999997</v>
      </c>
      <c r="AI67" s="313">
        <v>9.0038560000000004E-2</v>
      </c>
      <c r="AJ67" s="313"/>
      <c r="AK67" s="313"/>
      <c r="AL67" s="313"/>
      <c r="AM67" s="313"/>
      <c r="AN67" s="313"/>
      <c r="AO67" s="313"/>
      <c r="AP67" s="287">
        <f t="shared" si="3"/>
        <v>219.86964799801194</v>
      </c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</row>
    <row r="68" spans="5:67" x14ac:dyDescent="0.2">
      <c r="E68" s="286" t="s">
        <v>581</v>
      </c>
      <c r="F68" s="219"/>
      <c r="G68" s="219"/>
      <c r="H68" s="219"/>
      <c r="I68" s="219"/>
      <c r="J68" s="219"/>
      <c r="K68" s="219"/>
      <c r="L68" s="219"/>
      <c r="M68" s="219"/>
      <c r="N68" s="219"/>
      <c r="O68" s="313"/>
      <c r="P68" s="313"/>
      <c r="Q68" s="313"/>
      <c r="R68" s="313"/>
      <c r="S68" s="313"/>
      <c r="T68" s="313"/>
      <c r="U68" s="313"/>
      <c r="V68" s="313"/>
      <c r="W68" s="313"/>
      <c r="X68" s="313"/>
      <c r="Y68" s="313"/>
      <c r="Z68" s="313"/>
      <c r="AA68" s="313"/>
      <c r="AB68" s="313"/>
      <c r="AC68" s="313"/>
      <c r="AD68" s="313"/>
      <c r="AE68" s="313"/>
      <c r="AF68" s="313"/>
      <c r="AG68" s="313"/>
      <c r="AH68" s="313"/>
      <c r="AI68" s="313"/>
      <c r="AJ68" s="313">
        <v>8.4139320000000004E-2</v>
      </c>
      <c r="AK68" s="313"/>
      <c r="AL68" s="313"/>
      <c r="AM68" s="313"/>
      <c r="AN68" s="313"/>
      <c r="AO68" s="313"/>
      <c r="AP68" s="287">
        <f t="shared" si="3"/>
        <v>8.4139320000000004E-2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583</v>
      </c>
      <c r="F69" s="219"/>
      <c r="G69" s="219"/>
      <c r="H69" s="219"/>
      <c r="I69" s="219"/>
      <c r="J69" s="219"/>
      <c r="K69" s="219"/>
      <c r="L69" s="219"/>
      <c r="M69" s="219"/>
      <c r="N69" s="219"/>
      <c r="O69" s="313"/>
      <c r="P69" s="313"/>
      <c r="Q69" s="313"/>
      <c r="R69" s="313"/>
      <c r="S69" s="313"/>
      <c r="T69" s="313"/>
      <c r="U69" s="313"/>
      <c r="V69" s="313"/>
      <c r="W69" s="313"/>
      <c r="X69" s="313"/>
      <c r="Y69" s="313"/>
      <c r="Z69" s="313"/>
      <c r="AA69" s="313"/>
      <c r="AB69" s="313"/>
      <c r="AC69" s="313"/>
      <c r="AD69" s="313"/>
      <c r="AE69" s="313"/>
      <c r="AF69" s="313"/>
      <c r="AG69" s="313"/>
      <c r="AH69" s="313"/>
      <c r="AI69" s="313"/>
      <c r="AJ69" s="313"/>
      <c r="AK69" s="313">
        <v>8.4139320000000004E-2</v>
      </c>
      <c r="AL69" s="313"/>
      <c r="AM69" s="313"/>
      <c r="AN69" s="313"/>
      <c r="AO69" s="313"/>
      <c r="AP69" s="287">
        <f t="shared" si="3"/>
        <v>8.4139320000000004E-2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80</v>
      </c>
      <c r="F70" s="219"/>
      <c r="G70" s="219"/>
      <c r="H70" s="219"/>
      <c r="I70" s="219"/>
      <c r="J70" s="219"/>
      <c r="K70" s="219"/>
      <c r="L70" s="219"/>
      <c r="M70" s="219"/>
      <c r="N70" s="219"/>
      <c r="O70" s="313"/>
      <c r="P70" s="313"/>
      <c r="Q70" s="313"/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3"/>
      <c r="AC70" s="313"/>
      <c r="AD70" s="313"/>
      <c r="AE70" s="313"/>
      <c r="AF70" s="313"/>
      <c r="AG70" s="313"/>
      <c r="AH70" s="313"/>
      <c r="AI70" s="320"/>
      <c r="AJ70" s="313"/>
      <c r="AK70" s="313"/>
      <c r="AL70" s="320">
        <v>217.91110910401193</v>
      </c>
      <c r="AM70" s="313"/>
      <c r="AN70" s="313"/>
      <c r="AO70" s="313"/>
      <c r="AP70" s="287">
        <f t="shared" si="3"/>
        <v>217.91110910401193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404</v>
      </c>
      <c r="F71" s="219"/>
      <c r="G71" s="219"/>
      <c r="H71" s="219"/>
      <c r="I71" s="229"/>
      <c r="J71" s="219"/>
      <c r="K71" s="219"/>
      <c r="L71" s="219"/>
      <c r="M71" s="219"/>
      <c r="N71" s="219"/>
      <c r="O71" s="313"/>
      <c r="P71" s="313"/>
      <c r="Q71" s="313"/>
      <c r="R71" s="313"/>
      <c r="S71" s="313"/>
      <c r="T71" s="313"/>
      <c r="U71" s="313"/>
      <c r="V71" s="313"/>
      <c r="W71" s="313"/>
      <c r="X71" s="313"/>
      <c r="Y71" s="313"/>
      <c r="Z71" s="313"/>
      <c r="AA71" s="313"/>
      <c r="AB71" s="313"/>
      <c r="AC71" s="313"/>
      <c r="AD71" s="333"/>
      <c r="AE71" s="313"/>
      <c r="AF71" s="313"/>
      <c r="AG71" s="313"/>
      <c r="AH71" s="313"/>
      <c r="AI71" s="313"/>
      <c r="AJ71" s="313"/>
      <c r="AK71" s="313"/>
      <c r="AL71" s="313"/>
      <c r="AM71" s="313">
        <v>5.5844999999999999E-2</v>
      </c>
      <c r="AN71" s="313">
        <v>0.15410336000000002</v>
      </c>
      <c r="AO71" s="313">
        <v>0.11616169999999999</v>
      </c>
      <c r="AP71" s="287">
        <f t="shared" si="3"/>
        <v>0.32611006000000003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/>
      <c r="F72" s="452" t="s">
        <v>396</v>
      </c>
      <c r="G72" s="452"/>
      <c r="H72" s="452"/>
      <c r="I72" s="452"/>
      <c r="J72" s="452"/>
      <c r="K72" s="452"/>
      <c r="L72" s="452"/>
      <c r="M72" s="452"/>
      <c r="N72" s="452"/>
      <c r="O72" s="452"/>
      <c r="P72" s="452"/>
      <c r="Q72" s="452"/>
      <c r="R72" s="452"/>
      <c r="S72" s="452"/>
      <c r="T72" s="452"/>
      <c r="U72" s="452"/>
      <c r="V72" s="452"/>
      <c r="W72" s="452"/>
      <c r="X72" s="452"/>
      <c r="Y72" s="452"/>
      <c r="Z72" s="452"/>
      <c r="AA72" s="452"/>
      <c r="AB72" s="452"/>
      <c r="AC72" s="452"/>
      <c r="AD72" s="452"/>
      <c r="AE72" s="452"/>
      <c r="AF72" s="452"/>
      <c r="AG72" s="452"/>
      <c r="AH72" s="452"/>
      <c r="AI72" s="452"/>
      <c r="AJ72" s="452"/>
      <c r="AK72" s="452"/>
      <c r="AL72" s="452"/>
      <c r="AM72" s="452"/>
      <c r="AN72" s="452"/>
      <c r="AO72" s="452"/>
      <c r="AP72" s="322" t="s">
        <v>432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287">
        <f>SUM(F57:F71)</f>
        <v>0</v>
      </c>
      <c r="G73" s="287">
        <f t="shared" ref="G73:AO73" si="4">SUM(G57:G71)</f>
        <v>0</v>
      </c>
      <c r="H73" s="287">
        <f t="shared" si="4"/>
        <v>0</v>
      </c>
      <c r="I73" s="287">
        <f t="shared" si="4"/>
        <v>0</v>
      </c>
      <c r="J73" s="287">
        <f t="shared" si="4"/>
        <v>0</v>
      </c>
      <c r="K73" s="287">
        <f t="shared" si="4"/>
        <v>0</v>
      </c>
      <c r="L73" s="287">
        <f t="shared" si="4"/>
        <v>0</v>
      </c>
      <c r="M73" s="287">
        <f t="shared" si="4"/>
        <v>0</v>
      </c>
      <c r="N73" s="287">
        <f t="shared" si="4"/>
        <v>0</v>
      </c>
      <c r="O73" s="287">
        <f t="shared" si="4"/>
        <v>0.47896953999999997</v>
      </c>
      <c r="P73" s="287">
        <f t="shared" si="4"/>
        <v>9.0038560000000004E-2</v>
      </c>
      <c r="Q73" s="287">
        <f t="shared" si="4"/>
        <v>0.18440139999999999</v>
      </c>
      <c r="R73" s="287">
        <f t="shared" si="4"/>
        <v>9.0038560000000004E-2</v>
      </c>
      <c r="S73" s="287">
        <f t="shared" si="4"/>
        <v>754.33705407660659</v>
      </c>
      <c r="T73" s="287">
        <f t="shared" si="4"/>
        <v>9.0038560000000004E-2</v>
      </c>
      <c r="U73" s="287">
        <f t="shared" si="4"/>
        <v>0.47896953999999997</v>
      </c>
      <c r="V73" s="287">
        <f t="shared" si="4"/>
        <v>0.18440139999999999</v>
      </c>
      <c r="W73" s="287">
        <f t="shared" si="4"/>
        <v>754.33705407660659</v>
      </c>
      <c r="X73" s="287">
        <f t="shared" si="4"/>
        <v>0.21977250000000001</v>
      </c>
      <c r="Y73" s="287">
        <f t="shared" si="4"/>
        <v>0.25919703999999999</v>
      </c>
      <c r="Z73" s="287">
        <f t="shared" si="4"/>
        <v>0.18440139999999999</v>
      </c>
      <c r="AA73" s="287">
        <f t="shared" si="4"/>
        <v>754.33705407660659</v>
      </c>
      <c r="AB73" s="287">
        <f t="shared" si="4"/>
        <v>5.6077400000000006E-2</v>
      </c>
      <c r="AC73" s="287">
        <f t="shared" si="4"/>
        <v>4.0304400000000004E-2</v>
      </c>
      <c r="AD73" s="287">
        <f t="shared" si="4"/>
        <v>9.0038560000000004E-2</v>
      </c>
      <c r="AE73" s="287">
        <f t="shared" si="4"/>
        <v>217.63525920401193</v>
      </c>
      <c r="AF73" s="287">
        <f t="shared" si="4"/>
        <v>0.12416072</v>
      </c>
      <c r="AG73" s="287">
        <f t="shared" si="4"/>
        <v>1.445899</v>
      </c>
      <c r="AH73" s="287">
        <f t="shared" si="4"/>
        <v>0.57429051399999997</v>
      </c>
      <c r="AI73" s="287">
        <f t="shared" si="4"/>
        <v>9.0038560000000004E-2</v>
      </c>
      <c r="AJ73" s="287">
        <f t="shared" si="4"/>
        <v>8.4139320000000004E-2</v>
      </c>
      <c r="AK73" s="287">
        <f t="shared" si="4"/>
        <v>8.4139320000000004E-2</v>
      </c>
      <c r="AL73" s="287">
        <f t="shared" si="4"/>
        <v>217.91110910401193</v>
      </c>
      <c r="AM73" s="287">
        <f t="shared" si="4"/>
        <v>5.5844999999999999E-2</v>
      </c>
      <c r="AN73" s="287">
        <f t="shared" si="4"/>
        <v>0.15410336000000002</v>
      </c>
      <c r="AO73" s="287">
        <f t="shared" si="4"/>
        <v>0.11616169999999999</v>
      </c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452" t="s">
        <v>433</v>
      </c>
      <c r="G74" s="452"/>
      <c r="H74" s="452"/>
      <c r="I74" s="452"/>
      <c r="J74" s="452"/>
      <c r="K74" s="452"/>
      <c r="L74" s="452"/>
      <c r="M74" s="452"/>
      <c r="N74" s="452"/>
      <c r="O74" s="452"/>
      <c r="P74" s="452"/>
      <c r="Q74" s="452"/>
      <c r="R74" s="452"/>
      <c r="S74" s="452"/>
      <c r="T74" s="452"/>
      <c r="U74" s="452"/>
      <c r="V74" s="452"/>
      <c r="W74" s="452"/>
      <c r="X74" s="452"/>
      <c r="Y74" s="452"/>
      <c r="Z74" s="452"/>
      <c r="AA74" s="452"/>
      <c r="AB74" s="452"/>
      <c r="AC74" s="452"/>
      <c r="AD74" s="452"/>
      <c r="AE74" s="452"/>
      <c r="AF74" s="452"/>
      <c r="AG74" s="452"/>
      <c r="AH74" s="452"/>
      <c r="AI74" s="452"/>
      <c r="AJ74" s="452"/>
      <c r="AK74" s="452"/>
      <c r="AL74" s="452"/>
      <c r="AM74" s="452"/>
      <c r="AN74" s="452"/>
      <c r="AO74" s="452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ht="236" x14ac:dyDescent="0.2">
      <c r="E83" s="286"/>
      <c r="F83" s="332" t="s">
        <v>400</v>
      </c>
      <c r="G83" s="332" t="s">
        <v>402</v>
      </c>
      <c r="H83" s="332" t="s">
        <v>403</v>
      </c>
      <c r="I83" s="332" t="s">
        <v>422</v>
      </c>
      <c r="J83" s="332" t="s">
        <v>444</v>
      </c>
      <c r="K83" s="332" t="s">
        <v>533</v>
      </c>
      <c r="L83" s="332" t="s">
        <v>534</v>
      </c>
      <c r="M83" s="332" t="s">
        <v>478</v>
      </c>
      <c r="N83" s="332" t="s">
        <v>526</v>
      </c>
      <c r="O83" s="331" t="s">
        <v>509</v>
      </c>
      <c r="P83" s="332" t="s">
        <v>476</v>
      </c>
      <c r="Q83" s="331" t="s">
        <v>479</v>
      </c>
      <c r="R83" s="332" t="s">
        <v>504</v>
      </c>
      <c r="S83" s="202" t="s">
        <v>497</v>
      </c>
      <c r="T83" s="332" t="s">
        <v>483</v>
      </c>
      <c r="U83" s="331" t="s">
        <v>508</v>
      </c>
      <c r="V83" s="331" t="s">
        <v>503</v>
      </c>
      <c r="W83" s="331" t="s">
        <v>500</v>
      </c>
      <c r="X83" s="331" t="s">
        <v>506</v>
      </c>
      <c r="Y83" s="202" t="s">
        <v>505</v>
      </c>
      <c r="Z83" s="202" t="s">
        <v>491</v>
      </c>
      <c r="AA83" s="202" t="s">
        <v>523</v>
      </c>
      <c r="AB83" s="202" t="s">
        <v>492</v>
      </c>
      <c r="AC83" s="202" t="s">
        <v>494</v>
      </c>
      <c r="AD83" s="202" t="s">
        <v>493</v>
      </c>
      <c r="AE83" s="202" t="s">
        <v>551</v>
      </c>
      <c r="AF83" s="220" t="s">
        <v>489</v>
      </c>
      <c r="AG83" s="220" t="s">
        <v>619</v>
      </c>
      <c r="AH83" s="202" t="s">
        <v>488</v>
      </c>
      <c r="AI83" s="332" t="s">
        <v>490</v>
      </c>
      <c r="AJ83" s="202" t="s">
        <v>582</v>
      </c>
      <c r="AK83" s="202" t="s">
        <v>584</v>
      </c>
      <c r="AL83" s="202" t="s">
        <v>512</v>
      </c>
      <c r="AM83" s="202" t="s">
        <v>513</v>
      </c>
      <c r="AN83" s="202" t="s">
        <v>514</v>
      </c>
      <c r="AO83" s="202" t="s">
        <v>524</v>
      </c>
      <c r="AP83" s="202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x14ac:dyDescent="0.2">
      <c r="E84" s="286" t="s">
        <v>399</v>
      </c>
      <c r="F84" s="334">
        <v>0.47896953999999997</v>
      </c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  <c r="AN84" s="334"/>
      <c r="AO84" s="334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ht="16" x14ac:dyDescent="0.2">
      <c r="E85" s="318" t="s">
        <v>480</v>
      </c>
      <c r="F85" s="334"/>
      <c r="G85" s="334">
        <v>0.18440139999999999</v>
      </c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  <c r="AM85" s="334"/>
      <c r="AN85" s="334"/>
      <c r="AO85" s="334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x14ac:dyDescent="0.2">
      <c r="E86" s="199" t="s">
        <v>423</v>
      </c>
      <c r="F86" s="334"/>
      <c r="G86" s="334"/>
      <c r="H86" s="334">
        <v>754.33705407660659</v>
      </c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  <c r="AM86" s="334"/>
      <c r="AN86" s="334"/>
      <c r="AO86" s="334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286" t="s">
        <v>447</v>
      </c>
      <c r="F87" s="334"/>
      <c r="G87" s="334"/>
      <c r="H87" s="334"/>
      <c r="I87" s="335">
        <v>6.0012280000000001E-2</v>
      </c>
      <c r="J87" s="334"/>
      <c r="K87" s="334"/>
      <c r="L87" s="334"/>
      <c r="M87" s="334"/>
      <c r="N87" s="334"/>
      <c r="O87" s="334"/>
      <c r="P87" s="334"/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  <c r="AN87" s="334"/>
      <c r="AO87" s="334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ht="16" x14ac:dyDescent="0.2">
      <c r="E88" s="286" t="s">
        <v>443</v>
      </c>
      <c r="F88" s="334"/>
      <c r="G88" s="334"/>
      <c r="H88" s="334"/>
      <c r="I88" s="334"/>
      <c r="J88" s="336">
        <v>1.604276E-2</v>
      </c>
      <c r="K88" s="334"/>
      <c r="L88" s="334"/>
      <c r="M88" s="334"/>
      <c r="N88" s="334"/>
      <c r="O88" s="334"/>
      <c r="P88" s="334"/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  <c r="AN88" s="334"/>
      <c r="AO88" s="334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536</v>
      </c>
      <c r="F89" s="334"/>
      <c r="G89" s="334"/>
      <c r="H89" s="334"/>
      <c r="I89" s="334"/>
      <c r="J89" s="334"/>
      <c r="K89" s="334">
        <v>0.16731462</v>
      </c>
      <c r="L89" s="334"/>
      <c r="M89" s="334"/>
      <c r="N89" s="334"/>
      <c r="O89" s="334"/>
      <c r="P89" s="334"/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131"/>
      <c r="AQ89" s="131"/>
      <c r="AR89" s="131"/>
      <c r="AS89" s="131"/>
      <c r="AT89" s="220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535</v>
      </c>
      <c r="F90" s="334"/>
      <c r="G90" s="334"/>
      <c r="H90" s="334"/>
      <c r="I90" s="334"/>
      <c r="J90" s="334"/>
      <c r="K90" s="334"/>
      <c r="L90" s="334">
        <v>0.11423092</v>
      </c>
      <c r="M90" s="334"/>
      <c r="N90" s="334"/>
      <c r="O90" s="334"/>
      <c r="P90" s="334"/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  <c r="AB90" s="334"/>
      <c r="AC90" s="334"/>
      <c r="AD90" s="334"/>
      <c r="AE90" s="334"/>
      <c r="AF90" s="334"/>
      <c r="AG90" s="334"/>
      <c r="AH90" s="334"/>
      <c r="AI90" s="334"/>
      <c r="AJ90" s="334"/>
      <c r="AK90" s="334"/>
      <c r="AL90" s="334"/>
      <c r="AM90" s="334"/>
      <c r="AN90" s="334"/>
      <c r="AO90" s="334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477</v>
      </c>
      <c r="F91" s="334"/>
      <c r="G91" s="334"/>
      <c r="H91" s="334"/>
      <c r="I91" s="334"/>
      <c r="J91" s="334"/>
      <c r="K91" s="334"/>
      <c r="L91" s="334"/>
      <c r="M91" s="334">
        <v>0.1402688</v>
      </c>
      <c r="N91" s="334"/>
      <c r="O91" s="334"/>
      <c r="P91" s="334"/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  <c r="AB91" s="334"/>
      <c r="AC91" s="334"/>
      <c r="AD91" s="334"/>
      <c r="AE91" s="334"/>
      <c r="AF91" s="334"/>
      <c r="AG91" s="334"/>
      <c r="AH91" s="334"/>
      <c r="AI91" s="334"/>
      <c r="AJ91" s="334"/>
      <c r="AK91" s="334"/>
      <c r="AL91" s="334"/>
      <c r="AM91" s="334"/>
      <c r="AN91" s="334"/>
      <c r="AO91" s="334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525</v>
      </c>
      <c r="F92" s="334"/>
      <c r="G92" s="334"/>
      <c r="H92" s="334"/>
      <c r="I92" s="334"/>
      <c r="J92" s="334"/>
      <c r="K92" s="334"/>
      <c r="L92" s="334"/>
      <c r="M92" s="334"/>
      <c r="N92" s="334">
        <v>0</v>
      </c>
      <c r="O92" s="334"/>
      <c r="P92" s="334"/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  <c r="AB92" s="334"/>
      <c r="AC92" s="334"/>
      <c r="AD92" s="334"/>
      <c r="AE92" s="334"/>
      <c r="AF92" s="334"/>
      <c r="AG92" s="334"/>
      <c r="AH92" s="334"/>
      <c r="AI92" s="334"/>
      <c r="AJ92" s="334"/>
      <c r="AK92" s="334"/>
      <c r="AL92" s="334"/>
      <c r="AM92" s="334"/>
      <c r="AN92" s="334"/>
      <c r="AO92" s="334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131"/>
      <c r="F93" s="452" t="s">
        <v>56</v>
      </c>
      <c r="G93" s="452"/>
      <c r="H93" s="452"/>
      <c r="I93" s="452"/>
      <c r="J93" s="452"/>
      <c r="K93" s="452"/>
      <c r="L93" s="452"/>
      <c r="M93" s="452"/>
      <c r="N93" s="452"/>
      <c r="O93" s="452"/>
      <c r="P93" s="452"/>
      <c r="Q93" s="452"/>
      <c r="R93" s="452"/>
      <c r="S93" s="452"/>
      <c r="T93" s="452"/>
      <c r="U93" s="452"/>
      <c r="V93" s="452"/>
      <c r="W93" s="452"/>
      <c r="X93" s="452"/>
      <c r="Y93" s="452"/>
      <c r="Z93" s="452"/>
      <c r="AA93" s="452"/>
      <c r="AB93" s="452"/>
      <c r="AC93" s="452"/>
      <c r="AD93" s="452"/>
      <c r="AE93" s="452"/>
      <c r="AF93" s="452"/>
      <c r="AG93" s="452"/>
      <c r="AH93" s="452"/>
      <c r="AI93" s="452"/>
      <c r="AJ93" s="452"/>
      <c r="AK93" s="452"/>
      <c r="AL93" s="452"/>
      <c r="AM93" s="452"/>
      <c r="AN93" s="452"/>
      <c r="AO93" s="452"/>
      <c r="AP93" s="322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287">
        <f>SUM(F84:F92)</f>
        <v>0.47896953999999997</v>
      </c>
      <c r="G94" s="287">
        <f t="shared" ref="G94:N94" si="5">SUM(G84:G92)</f>
        <v>0.18440139999999999</v>
      </c>
      <c r="H94" s="287">
        <f t="shared" si="5"/>
        <v>754.33705407660659</v>
      </c>
      <c r="I94" s="287">
        <f t="shared" si="5"/>
        <v>6.0012280000000001E-2</v>
      </c>
      <c r="J94" s="287">
        <f t="shared" si="5"/>
        <v>1.604276E-2</v>
      </c>
      <c r="K94" s="287">
        <f t="shared" si="5"/>
        <v>0.16731462</v>
      </c>
      <c r="L94" s="287">
        <f t="shared" si="5"/>
        <v>0.11423092</v>
      </c>
      <c r="M94" s="287">
        <f t="shared" si="5"/>
        <v>0.1402688</v>
      </c>
      <c r="N94" s="287">
        <f t="shared" si="5"/>
        <v>0</v>
      </c>
      <c r="O94" s="287">
        <v>0</v>
      </c>
      <c r="P94" s="287">
        <v>0</v>
      </c>
      <c r="Q94" s="287">
        <v>0</v>
      </c>
      <c r="R94" s="287">
        <v>0</v>
      </c>
      <c r="S94" s="287">
        <v>0</v>
      </c>
      <c r="T94" s="287">
        <v>0</v>
      </c>
      <c r="U94" s="287">
        <v>0</v>
      </c>
      <c r="V94" s="287">
        <v>0</v>
      </c>
      <c r="W94" s="287">
        <v>0</v>
      </c>
      <c r="X94" s="287">
        <v>0</v>
      </c>
      <c r="Y94" s="287">
        <v>0</v>
      </c>
      <c r="Z94" s="287">
        <v>0</v>
      </c>
      <c r="AA94" s="287">
        <v>0</v>
      </c>
      <c r="AB94" s="287">
        <v>0</v>
      </c>
      <c r="AC94" s="287">
        <v>0</v>
      </c>
      <c r="AD94" s="287">
        <v>0</v>
      </c>
      <c r="AE94" s="287">
        <v>0</v>
      </c>
      <c r="AF94" s="287">
        <v>0</v>
      </c>
      <c r="AG94" s="287">
        <v>0</v>
      </c>
      <c r="AH94" s="287">
        <v>0</v>
      </c>
      <c r="AI94" s="287">
        <v>0</v>
      </c>
      <c r="AJ94" s="287">
        <v>0</v>
      </c>
      <c r="AK94" s="287">
        <v>0</v>
      </c>
      <c r="AL94" s="287">
        <v>0</v>
      </c>
      <c r="AM94" s="287">
        <v>0</v>
      </c>
      <c r="AN94" s="287">
        <v>0</v>
      </c>
      <c r="AO94" s="287">
        <v>0</v>
      </c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</sheetData>
  <mergeCells count="6"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93" workbookViewId="0">
      <selection activeCell="L155" sqref="L155"/>
    </sheetView>
  </sheetViews>
  <sheetFormatPr baseColWidth="10" defaultColWidth="11.5" defaultRowHeight="15" x14ac:dyDescent="0.2"/>
  <sheetData>
    <row r="17" spans="5:68" ht="112" x14ac:dyDescent="0.2">
      <c r="AT17" s="200" t="s">
        <v>392</v>
      </c>
      <c r="AU17" s="200" t="s">
        <v>393</v>
      </c>
      <c r="AV17" s="200" t="s">
        <v>394</v>
      </c>
      <c r="AW17" s="200" t="s">
        <v>522</v>
      </c>
      <c r="AX17" s="200" t="s">
        <v>502</v>
      </c>
      <c r="AY17" s="200" t="s">
        <v>501</v>
      </c>
      <c r="AZ17" s="200" t="s">
        <v>418</v>
      </c>
      <c r="BA17" s="200" t="s">
        <v>415</v>
      </c>
      <c r="BB17" s="200" t="s">
        <v>429</v>
      </c>
      <c r="BC17" s="200" t="s">
        <v>416</v>
      </c>
      <c r="BD17" s="200" t="s">
        <v>411</v>
      </c>
      <c r="BE17" s="200" t="s">
        <v>581</v>
      </c>
      <c r="BF17" s="200" t="s">
        <v>583</v>
      </c>
      <c r="BG17" s="200" t="s">
        <v>80</v>
      </c>
      <c r="BH17" s="200" t="s">
        <v>404</v>
      </c>
    </row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f>MCC_M_RUVY_matrices_mat_level!AR83*MCC_h_RUVY_matrices_mat_level!AR83 /MCC_MW_RUVY_matrices_mat_level!AT18</f>
        <v>-1777985.4355511186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5">
        <f>SUM(AT18:BH18)</f>
        <v>-1777985.4355511186</v>
      </c>
      <c r="BJ18" s="131"/>
      <c r="BK18" s="131"/>
      <c r="BL18" s="286"/>
      <c r="BM18" s="286" t="s">
        <v>400</v>
      </c>
      <c r="BN18" s="316">
        <v>0</v>
      </c>
      <c r="BO18" s="316">
        <v>0</v>
      </c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>
        <v>0</v>
      </c>
      <c r="AU19" s="313">
        <f>MCC_M_RUVY_matrices_mat_level!AS84*MCC_h_RUVY_matrices_mat_level!AS84 /MCC_MW_RUVY_matrices_mat_level!AU19</f>
        <v>-1359457.7959575919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5">
        <f t="shared" ref="BI19:BI53" si="0">SUM(AT19:BH19)</f>
        <v>-1359457.7959575919</v>
      </c>
      <c r="BJ19" s="131"/>
      <c r="BK19" s="131"/>
      <c r="BL19" s="286"/>
      <c r="BM19" s="286" t="s">
        <v>402</v>
      </c>
      <c r="BN19" s="316">
        <v>0</v>
      </c>
      <c r="BO19" s="316">
        <v>0</v>
      </c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>
        <v>0</v>
      </c>
      <c r="AU20" s="313">
        <v>0</v>
      </c>
      <c r="AV20" s="313">
        <f>MCC_M_RUVY_matrices_mat_level!AT85*MCC_h_RUVY_matrices_mat_level!AT85 /MCC_MW_RUVY_matrices_mat_level!AV20</f>
        <v>9126570.1860198174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5">
        <f t="shared" si="0"/>
        <v>9126570.1860198174</v>
      </c>
      <c r="BJ20" s="131"/>
      <c r="BK20" s="131"/>
      <c r="BL20" s="286"/>
      <c r="BM20" s="286" t="s">
        <v>403</v>
      </c>
      <c r="BN20" s="316">
        <v>0</v>
      </c>
      <c r="BO20" s="316">
        <v>0</v>
      </c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f>MCC_M_RUVY_matrices_mat_level!AR86*MCC_h_RUVY_matrices_mat_level!AR86 /MCC_MW_RUVY_matrices_mat_level!AT21</f>
        <v>0</v>
      </c>
      <c r="AU21" s="313">
        <f>MCC_M_RUVY_matrices_mat_level!AS86*MCC_h_RUVY_matrices_mat_level!AS86 /MCC_MW_RUVY_matrices_mat_level!AU21</f>
        <v>0</v>
      </c>
      <c r="AV21" s="313">
        <f>MCC_M_RUVY_matrices_mat_level!AT86*MCC_h_RUVY_matrices_mat_level!AT86 /MCC_MW_RUVY_matrices_mat_level!AV21</f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f>MCC_M_RUVY_matrices_mat_level!BA86*MCC_h_RUVY_matrices_mat_level!BA86 /MCC_MW_RUVY_matrices_mat_level!BC21</f>
        <v>0</v>
      </c>
      <c r="BD21" s="313">
        <f>MCC_M_RUVY_matrices_mat_level!BB86*MCC_h_RUVY_matrices_mat_level!BB86 /MCC_MW_RUVY_matrices_mat_level!BD21</f>
        <v>0</v>
      </c>
      <c r="BE21" s="313">
        <v>0</v>
      </c>
      <c r="BF21" s="313">
        <v>0</v>
      </c>
      <c r="BG21" s="313">
        <v>0</v>
      </c>
      <c r="BH21" s="313">
        <f>MCC_M_RUVY_matrices_mat_level!BF86*MCC_h_RUVY_matrices_mat_level!BF86 /MCC_MW_RUVY_matrices_mat_level!BH21</f>
        <v>0</v>
      </c>
      <c r="BI21" s="315">
        <f t="shared" si="0"/>
        <v>0</v>
      </c>
      <c r="BJ21" s="131"/>
      <c r="BK21" s="131"/>
      <c r="BL21" s="286"/>
      <c r="BM21" s="286" t="s">
        <v>422</v>
      </c>
      <c r="BN21" s="316">
        <v>0</v>
      </c>
      <c r="BO21" s="316">
        <v>0</v>
      </c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f>MCC_M_RUVY_matrices_mat_level!BA87*MCC_h_RUVY_matrices_mat_level!BA87 /MCC_MW_RUVY_matrices_mat_level!BC22</f>
        <v>-174982.33358796954</v>
      </c>
      <c r="BD22" s="313">
        <f>MCC_M_RUVY_matrices_mat_level!BB87*MCC_h_RUVY_matrices_mat_level!BB87 /MCC_MW_RUVY_matrices_mat_level!BD22</f>
        <v>-949206.42548067577</v>
      </c>
      <c r="BE22" s="313">
        <v>0</v>
      </c>
      <c r="BF22" s="313">
        <v>0</v>
      </c>
      <c r="BG22" s="313">
        <v>0</v>
      </c>
      <c r="BH22" s="313">
        <f>MCC_M_RUVY_matrices_mat_level!BF87*MCC_h_RUVY_matrices_mat_level!BF87 /MCC_MW_RUVY_matrices_mat_level!BH22</f>
        <v>-208916.35016621815</v>
      </c>
      <c r="BI22" s="315">
        <f t="shared" si="0"/>
        <v>-1333105.1092348634</v>
      </c>
      <c r="BJ22" s="131"/>
      <c r="BK22" s="131"/>
      <c r="BL22" s="286"/>
      <c r="BM22" s="286" t="s">
        <v>444</v>
      </c>
      <c r="BN22" s="316">
        <v>0</v>
      </c>
      <c r="BO22" s="316">
        <v>0</v>
      </c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f>MCC_M_RUVY_matrices_mat_level!AR88*MCC_h_RUVY_matrices_mat_level!AR88 /MCC_MW_RUVY_matrices_mat_level!AT23</f>
        <v>88160.656904773379</v>
      </c>
      <c r="AU23" s="313">
        <f>MCC_M_RUVY_matrices_mat_level!AS88*MCC_h_RUVY_matrices_mat_level!AS88 /MCC_MW_RUVY_matrices_mat_level!AU23</f>
        <v>241.59146310558404</v>
      </c>
      <c r="AV23" s="313">
        <f>MCC_M_RUVY_matrices_mat_level!AT88*MCC_h_RUVY_matrices_mat_level!AT88 /MCC_MW_RUVY_matrices_mat_level!AV23</f>
        <v>21827.121921766418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5">
        <f t="shared" si="0"/>
        <v>110229.37028964538</v>
      </c>
      <c r="BJ23" s="131"/>
      <c r="BK23" s="131"/>
      <c r="BL23" s="286"/>
      <c r="BM23" s="286" t="s">
        <v>533</v>
      </c>
      <c r="BN23" s="316">
        <v>0</v>
      </c>
      <c r="BO23" s="316">
        <v>0</v>
      </c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>
        <v>0</v>
      </c>
      <c r="AU24" s="313">
        <f>MCC_M_RUVY_matrices_mat_level!AS89*MCC_h_RUVY_matrices_mat_level!AS89 /MCC_MW_RUVY_matrices_mat_level!AU24</f>
        <v>-1.1322425723331082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5">
        <f t="shared" si="0"/>
        <v>-1.1322425723331082</v>
      </c>
      <c r="BJ24" s="131"/>
      <c r="BK24" s="131"/>
      <c r="BL24" s="286"/>
      <c r="BM24" s="286" t="s">
        <v>534</v>
      </c>
      <c r="BN24" s="316">
        <v>0</v>
      </c>
      <c r="BO24" s="316">
        <v>0</v>
      </c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f>MCC_M_RUVY_matrices_mat_level!BF90*MCC_h_RUVY_matrices_mat_level!BF90 /MCC_MW_RUVY_matrices_mat_level!BH25</f>
        <v>194131.36779323625</v>
      </c>
      <c r="BI25" s="315">
        <f t="shared" si="0"/>
        <v>194131.36779323625</v>
      </c>
      <c r="BJ25" s="131"/>
      <c r="BK25" s="131"/>
      <c r="BL25" s="286"/>
      <c r="BM25" s="286" t="s">
        <v>478</v>
      </c>
      <c r="BN25" s="316">
        <v>0</v>
      </c>
      <c r="BO25" s="316">
        <v>0</v>
      </c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>
        <v>0</v>
      </c>
      <c r="BO26" s="316">
        <v>0</v>
      </c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>
        <v>0</v>
      </c>
      <c r="AU27" s="313">
        <v>0</v>
      </c>
      <c r="AV27" s="313">
        <v>0</v>
      </c>
      <c r="AW27" s="313">
        <f>MCC_M_RUVY_matrices_mat_level!AU92*MCC_h_RUVY_matrices_mat_level!AU92 /MCC_MW_RUVY_matrices_mat_level!AW27</f>
        <v>-1777985.4355511186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5">
        <f t="shared" si="0"/>
        <v>-1777985.4355511186</v>
      </c>
      <c r="BJ27" s="131"/>
      <c r="BK27" s="131"/>
      <c r="BL27" s="318"/>
      <c r="BM27" s="286" t="s">
        <v>509</v>
      </c>
      <c r="BN27" s="316">
        <v>0</v>
      </c>
      <c r="BO27" s="316">
        <v>0</v>
      </c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5">
        <f t="shared" si="0"/>
        <v>0</v>
      </c>
      <c r="BJ28" s="131"/>
      <c r="BK28" s="131"/>
      <c r="BL28" s="286"/>
      <c r="BM28" s="286" t="s">
        <v>476</v>
      </c>
      <c r="BN28" s="316">
        <v>0</v>
      </c>
      <c r="BO28" s="316">
        <f>MCC_M_RUVY_matrices_mat_level!BM93*MCC_h_RUVY_matrices_mat_level!BM93 / MCC_MW_RUVY_matrices_mat_level!BO28</f>
        <v>-35429.897676176748</v>
      </c>
      <c r="BP28" s="289">
        <f t="shared" si="1"/>
        <v>-35429.897676176748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>
        <v>0</v>
      </c>
      <c r="AU29" s="313">
        <v>0</v>
      </c>
      <c r="AV29" s="313">
        <v>0</v>
      </c>
      <c r="AW29" s="313">
        <v>0</v>
      </c>
      <c r="AX29" s="313">
        <f>MCC_M_RUVY_matrices_mat_level!AV94*MCC_h_RUVY_matrices_mat_level!AV94 /MCC_MW_RUVY_matrices_mat_level!AX29</f>
        <v>-1359457.7959575919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5">
        <f t="shared" si="0"/>
        <v>-1359457.7959575919</v>
      </c>
      <c r="BJ29" s="131"/>
      <c r="BK29" s="131"/>
      <c r="BL29" s="318"/>
      <c r="BM29" s="286" t="s">
        <v>479</v>
      </c>
      <c r="BN29" s="316">
        <v>0</v>
      </c>
      <c r="BO29" s="316">
        <v>0</v>
      </c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5">
        <f t="shared" si="0"/>
        <v>0</v>
      </c>
      <c r="BJ30" s="131"/>
      <c r="BK30" s="131"/>
      <c r="BL30" s="286"/>
      <c r="BM30" s="286" t="s">
        <v>504</v>
      </c>
      <c r="BN30" s="316">
        <v>0</v>
      </c>
      <c r="BO30" s="316">
        <f>MCC_M_RUVY_matrices_mat_level!BM95*MCC_h_RUVY_matrices_mat_level!BM95 / MCC_MW_RUVY_matrices_mat_level!BO30</f>
        <v>-106.02767886152715</v>
      </c>
      <c r="BP30" s="289">
        <f t="shared" si="1"/>
        <v>-106.02767886152715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f>MCC_M_RUVY_matrices_mat_level!AW96*MCC_h_RUVY_matrices_mat_level!AW96 /MCC_MW_RUVY_matrices_mat_level!AY31</f>
        <v>-112.78165025676648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5">
        <f t="shared" si="0"/>
        <v>-112.78165025676648</v>
      </c>
      <c r="BJ31" s="131"/>
      <c r="BK31" s="131"/>
      <c r="BL31" s="199"/>
      <c r="BM31" s="286" t="s">
        <v>497</v>
      </c>
      <c r="BN31" s="316">
        <v>0</v>
      </c>
      <c r="BO31" s="316">
        <v>0</v>
      </c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5">
        <f t="shared" si="0"/>
        <v>0</v>
      </c>
      <c r="BJ32" s="131"/>
      <c r="BK32" s="131"/>
      <c r="BL32" s="286"/>
      <c r="BM32" s="286" t="s">
        <v>483</v>
      </c>
      <c r="BN32" s="316">
        <v>0</v>
      </c>
      <c r="BO32" s="316">
        <f>MCC_M_RUVY_matrices_mat_level!BM97*MCC_h_RUVY_matrices_mat_level!BM97 / MCC_MW_RUVY_matrices_mat_level!BO32</f>
        <v>-8771.8572366008211</v>
      </c>
      <c r="BP32" s="289">
        <f t="shared" si="1"/>
        <v>-8771.8572366008211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f>MCC_M_RUVY_matrices_mat_level!AX98*MCC_h_RUVY_matrices_mat_level!AX98 /MCC_MW_RUVY_matrices_mat_level!AZ33</f>
        <v>-1777985.4355511186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5">
        <f t="shared" si="0"/>
        <v>-1777985.4355511186</v>
      </c>
      <c r="BJ33" s="131"/>
      <c r="BK33" s="131"/>
      <c r="BL33" s="318"/>
      <c r="BM33" s="286" t="s">
        <v>508</v>
      </c>
      <c r="BN33" s="316">
        <v>0</v>
      </c>
      <c r="BO33" s="316">
        <v>0</v>
      </c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f>MCC_M_RUVY_matrices_mat_level!AY99*MCC_h_RUVY_matrices_mat_level!AY99 /MCC_MW_RUVY_matrices_mat_level!BA34</f>
        <v>-1359457.7959575919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5">
        <f t="shared" si="0"/>
        <v>-1359457.7959575919</v>
      </c>
      <c r="BJ34" s="131"/>
      <c r="BK34" s="131"/>
      <c r="BL34" s="318"/>
      <c r="BM34" s="286" t="s">
        <v>503</v>
      </c>
      <c r="BN34" s="316">
        <v>0</v>
      </c>
      <c r="BO34" s="316">
        <v>0</v>
      </c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f>MCC_M_RUVY_matrices_mat_level!AZ100*MCC_h_RUVY_matrices_mat_level!AZ100 /MCC_MW_RUVY_matrices_mat_level!BB35</f>
        <v>-112.78165025676648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5">
        <f t="shared" si="0"/>
        <v>-112.78165025676648</v>
      </c>
      <c r="BJ35" s="131"/>
      <c r="BK35" s="131"/>
      <c r="BL35" s="318"/>
      <c r="BM35" s="286" t="s">
        <v>500</v>
      </c>
      <c r="BN35" s="316">
        <v>0</v>
      </c>
      <c r="BO35" s="316">
        <v>0</v>
      </c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f>MCC_M_RUVY_matrices_mat_level!BE101*MCC_h_RUVY_matrices_mat_level!BE101 /MCC_MW_RUVY_matrices_mat_level!BG36</f>
        <v>-3797055.1820632704</v>
      </c>
      <c r="BH36" s="313">
        <v>0</v>
      </c>
      <c r="BI36" s="315">
        <f t="shared" si="0"/>
        <v>-3797055.1820632704</v>
      </c>
      <c r="BJ36" s="131"/>
      <c r="BK36" s="131"/>
      <c r="BL36" s="318"/>
      <c r="BM36" s="286" t="s">
        <v>506</v>
      </c>
      <c r="BN36" s="316">
        <v>0</v>
      </c>
      <c r="BO36" s="316">
        <v>0</v>
      </c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5">
        <f t="shared" si="0"/>
        <v>0</v>
      </c>
      <c r="BJ37" s="322"/>
      <c r="BK37" s="131"/>
      <c r="BL37" s="199"/>
      <c r="BM37" s="286" t="s">
        <v>505</v>
      </c>
      <c r="BN37" s="316">
        <v>0</v>
      </c>
      <c r="BO37" s="316">
        <f>MCC_M_RUVY_matrices_mat_level!BM102*MCC_h_RUVY_matrices_mat_level!BM102 / MCC_MW_RUVY_matrices_mat_level!BO37</f>
        <v>-66021.418271669754</v>
      </c>
      <c r="BP37" s="289">
        <f t="shared" si="1"/>
        <v>-66021.418271669754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f>MCC_M_RUVY_matrices_mat_level!BA103*MCC_h_RUVY_matrices_mat_level!BA103 /MCC_MW_RUVY_matrices_mat_level!BC38</f>
        <v>-1359457.7959575919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5">
        <f t="shared" si="0"/>
        <v>-1359457.7959575919</v>
      </c>
      <c r="BJ38" s="131"/>
      <c r="BK38" s="131"/>
      <c r="BL38" s="199"/>
      <c r="BM38" s="286" t="s">
        <v>491</v>
      </c>
      <c r="BN38" s="316">
        <v>0</v>
      </c>
      <c r="BO38" s="316">
        <v>0</v>
      </c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f>MCC_M_RUVY_matrices_mat_level!BB104*MCC_h_RUVY_matrices_mat_level!BB104 /MCC_MW_RUVY_matrices_mat_level!BD39</f>
        <v>-112.78165025676648</v>
      </c>
      <c r="BE39" s="313">
        <v>0</v>
      </c>
      <c r="BF39" s="313">
        <v>0</v>
      </c>
      <c r="BG39" s="313">
        <v>0</v>
      </c>
      <c r="BH39" s="313">
        <v>0</v>
      </c>
      <c r="BI39" s="315">
        <f t="shared" si="0"/>
        <v>-112.78165025676648</v>
      </c>
      <c r="BJ39" s="131"/>
      <c r="BK39" s="131"/>
      <c r="BL39" s="199"/>
      <c r="BM39" s="286" t="s">
        <v>523</v>
      </c>
      <c r="BN39" s="316">
        <v>0</v>
      </c>
      <c r="BO39" s="316">
        <v>0</v>
      </c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f>MCC_M_RUVY_matrices_mat_level!BE105*MCC_h_RUVY_matrices_mat_level!BE105 /MCC_MW_RUVY_matrices_mat_level!BG40</f>
        <v>-1256817.6045988721</v>
      </c>
      <c r="BH40" s="313">
        <v>0</v>
      </c>
      <c r="BI40" s="315">
        <f t="shared" si="0"/>
        <v>-1256817.6045988721</v>
      </c>
      <c r="BJ40" s="131"/>
      <c r="BK40" s="131"/>
      <c r="BL40" s="199"/>
      <c r="BM40" s="286" t="s">
        <v>492</v>
      </c>
      <c r="BN40" s="316">
        <v>0</v>
      </c>
      <c r="BO40" s="316">
        <v>0</v>
      </c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5">
        <f t="shared" si="0"/>
        <v>0</v>
      </c>
      <c r="BJ41" s="131"/>
      <c r="BK41" s="131"/>
      <c r="BL41" s="199"/>
      <c r="BM41" s="286" t="s">
        <v>494</v>
      </c>
      <c r="BN41" s="316">
        <v>0</v>
      </c>
      <c r="BO41" s="316">
        <f>MCC_M_RUVY_matrices_mat_level!BM106*MCC_h_RUVY_matrices_mat_level!BM106 / MCC_MW_RUVY_matrices_mat_level!BO41</f>
        <v>-74404.460335125405</v>
      </c>
      <c r="BP41" s="289">
        <f t="shared" si="1"/>
        <v>-74404.460335125405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0</v>
      </c>
      <c r="BC42" s="313">
        <v>0</v>
      </c>
      <c r="BD42" s="313">
        <v>0</v>
      </c>
      <c r="BE42" s="313">
        <v>0</v>
      </c>
      <c r="BF42" s="313">
        <v>0</v>
      </c>
      <c r="BG42" s="313">
        <v>0</v>
      </c>
      <c r="BH42" s="313">
        <v>0</v>
      </c>
      <c r="BI42" s="315">
        <f t="shared" si="0"/>
        <v>0</v>
      </c>
      <c r="BJ42" s="131"/>
      <c r="BK42" s="131"/>
      <c r="BL42" s="199"/>
      <c r="BM42" s="286" t="s">
        <v>493</v>
      </c>
      <c r="BN42" s="316">
        <v>0</v>
      </c>
      <c r="BO42" s="316">
        <f>MCC_M_RUVY_matrices_mat_level!BM107*MCC_h_RUVY_matrices_mat_level!BM107 / MCC_MW_RUVY_matrices_mat_level!BO42</f>
        <v>-1082643.9792420177</v>
      </c>
      <c r="BP42" s="289">
        <f t="shared" si="1"/>
        <v>-1082643.9792420177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  <c r="BD43" s="313">
        <v>0</v>
      </c>
      <c r="BE43" s="313">
        <v>0</v>
      </c>
      <c r="BF43" s="313">
        <v>0</v>
      </c>
      <c r="BG43" s="313">
        <f>MCC_M_RUVY_matrices_mat_level!BE108*MCC_h_RUVY_matrices_mat_level!BE108 /MCC_MW_RUVY_matrices_mat_level!BG43</f>
        <v>6114656.4031687425</v>
      </c>
      <c r="BH43" s="313">
        <v>0</v>
      </c>
      <c r="BI43" s="315">
        <f t="shared" si="0"/>
        <v>6114656.4031687425</v>
      </c>
      <c r="BJ43" s="131"/>
      <c r="BK43" s="131"/>
      <c r="BL43" s="199"/>
      <c r="BM43" s="286" t="s">
        <v>551</v>
      </c>
      <c r="BN43" s="316">
        <v>0</v>
      </c>
      <c r="BO43" s="316">
        <v>0</v>
      </c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  <c r="BD44" s="313">
        <v>0</v>
      </c>
      <c r="BE44" s="313">
        <f>MCC_M_RUVY_matrices_mat_level!BC109*MCC_h_RUVY_matrices_mat_level!BC109 /MCC_MW_RUVY_matrices_mat_level!BE44</f>
        <v>-13740.19434752778</v>
      </c>
      <c r="BF44" s="313">
        <v>0</v>
      </c>
      <c r="BG44" s="313">
        <v>0</v>
      </c>
      <c r="BH44" s="313">
        <v>0</v>
      </c>
      <c r="BI44" s="315">
        <f t="shared" si="0"/>
        <v>-13740.19434752778</v>
      </c>
      <c r="BJ44" s="131"/>
      <c r="BK44" s="131"/>
      <c r="BL44" s="239"/>
      <c r="BM44" s="286" t="s">
        <v>489</v>
      </c>
      <c r="BN44" s="316">
        <v>0</v>
      </c>
      <c r="BO44" s="316">
        <v>0</v>
      </c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  <c r="BD45" s="313">
        <v>0</v>
      </c>
      <c r="BE45" s="313">
        <v>0</v>
      </c>
      <c r="BF45" s="313">
        <v>0</v>
      </c>
      <c r="BG45" s="313">
        <v>0</v>
      </c>
      <c r="BH45" s="313">
        <v>0</v>
      </c>
      <c r="BI45" s="315">
        <f t="shared" si="0"/>
        <v>0</v>
      </c>
      <c r="BJ45" s="131"/>
      <c r="BK45" s="131"/>
      <c r="BL45" s="199"/>
      <c r="BM45" s="286" t="s">
        <v>619</v>
      </c>
      <c r="BN45" s="316">
        <v>0</v>
      </c>
      <c r="BO45" s="316">
        <f>MCC_M_RUVY_matrices_mat_level!BM110*MCC_h_RUVY_matrices_mat_level!BM110 / MCC_MW_RUVY_matrices_mat_level!BO45</f>
        <v>-3677.1587424372706</v>
      </c>
      <c r="BP45" s="289">
        <f t="shared" si="1"/>
        <v>-3677.1587424372706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5">
        <f t="shared" si="0"/>
        <v>0</v>
      </c>
      <c r="BJ46" s="131"/>
      <c r="BK46" s="131"/>
      <c r="BL46" s="286"/>
      <c r="BM46" s="286" t="s">
        <v>488</v>
      </c>
      <c r="BN46" s="316">
        <v>0</v>
      </c>
      <c r="BO46" s="316">
        <f>MCC_M_RUVY_matrices_mat_level!BM111*MCC_h_RUVY_matrices_mat_level!BM111 / MCC_MW_RUVY_matrices_mat_level!BO46</f>
        <v>-12527.870530226932</v>
      </c>
      <c r="BP46" s="289">
        <f t="shared" si="1"/>
        <v>-12527.870530226932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5">
        <f t="shared" si="0"/>
        <v>0</v>
      </c>
      <c r="BJ47" s="131"/>
      <c r="BK47" s="131"/>
      <c r="BL47" s="199"/>
      <c r="BM47" s="286" t="s">
        <v>490</v>
      </c>
      <c r="BN47" s="316">
        <v>0</v>
      </c>
      <c r="BO47" s="316">
        <f>MCC_M_RUVY_matrices_mat_level!BM112*MCC_h_RUVY_matrices_mat_level!BM112 / MCC_MW_RUVY_matrices_mat_level!BO47</f>
        <v>-3678478.5848042481</v>
      </c>
      <c r="BP47" s="289">
        <f t="shared" si="1"/>
        <v>-3678478.5848042481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f>MCC_M_RUVY_matrices_mat_level!BD113*MCC_h_RUVY_matrices_mat_level!BD113 /MCC_MW_RUVY_matrices_mat_level!BF48</f>
        <v>-13104.628581498642</v>
      </c>
      <c r="BG48" s="313">
        <v>0</v>
      </c>
      <c r="BH48" s="313">
        <v>0</v>
      </c>
      <c r="BI48" s="315">
        <f t="shared" si="0"/>
        <v>-13104.628581498642</v>
      </c>
      <c r="BJ48" s="131"/>
      <c r="BK48" s="131"/>
      <c r="BL48" s="199"/>
      <c r="BM48" s="286" t="s">
        <v>582</v>
      </c>
      <c r="BN48" s="316">
        <v>0</v>
      </c>
      <c r="BO48" s="316">
        <v>0</v>
      </c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f>MCC_M_RUVY_matrices_mat_level!BF114*MCC_h_RUVY_matrices_mat_level!BF114 /MCC_MW_RUVY_matrices_mat_level!BH49</f>
        <v>-9173.2400070490494</v>
      </c>
      <c r="BI49" s="315">
        <f t="shared" si="0"/>
        <v>-9173.2400070490494</v>
      </c>
      <c r="BJ49" s="131"/>
      <c r="BK49" s="131"/>
      <c r="BL49" s="199"/>
      <c r="BM49" s="286" t="s">
        <v>584</v>
      </c>
      <c r="BN49" s="316">
        <f>MCC_M_RUVY_matrices_mat_level!BL114*MCC_h_RUVY_matrices_mat_level!BL114 / MCC_MW_RUVY_matrices_mat_level!BN49</f>
        <v>-3931.3885744495929</v>
      </c>
      <c r="BO49" s="316">
        <v>0</v>
      </c>
      <c r="BP49" s="289">
        <f t="shared" si="1"/>
        <v>-3931.3885744495929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0</v>
      </c>
      <c r="BH50" s="313">
        <f>MCC_M_RUVY_matrices_mat_level!BF115*MCC_h_RUVY_matrices_mat_level!BF115 /MCC_MW_RUVY_matrices_mat_level!BH50</f>
        <v>23907.404496491064</v>
      </c>
      <c r="BI50" s="315">
        <f t="shared" si="0"/>
        <v>23907.404496491064</v>
      </c>
      <c r="BJ50" s="131"/>
      <c r="BK50" s="131"/>
      <c r="BL50" s="199"/>
      <c r="BM50" s="286" t="s">
        <v>512</v>
      </c>
      <c r="BN50" s="316">
        <v>0</v>
      </c>
      <c r="BO50" s="316">
        <v>0</v>
      </c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0</v>
      </c>
      <c r="BG51" s="313">
        <v>0</v>
      </c>
      <c r="BH51" s="313">
        <v>0</v>
      </c>
      <c r="BI51" s="315">
        <f t="shared" si="0"/>
        <v>0</v>
      </c>
      <c r="BJ51" s="131"/>
      <c r="BK51" s="131"/>
      <c r="BL51" s="199"/>
      <c r="BM51" s="286" t="s">
        <v>513</v>
      </c>
      <c r="BN51" s="316">
        <f>MCC_M_RUVY_matrices_mat_level!BL116*MCC_h_RUVY_matrices_mat_level!BL116 / MCC_MW_RUVY_matrices_mat_level!BN51</f>
        <v>0</v>
      </c>
      <c r="BO51" s="316">
        <v>0</v>
      </c>
      <c r="BP51" s="289">
        <f t="shared" si="1"/>
        <v>0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5">
        <f t="shared" si="0"/>
        <v>0</v>
      </c>
      <c r="BJ52" s="131"/>
      <c r="BK52" s="131"/>
      <c r="BL52" s="131"/>
      <c r="BM52" s="325" t="s">
        <v>514</v>
      </c>
      <c r="BN52" s="316">
        <v>0</v>
      </c>
      <c r="BO52" s="316">
        <f>MCC_M_RUVY_matrices_mat_level!BM117*MCC_h_RUVY_matrices_mat_level!BM117 / MCC_MW_RUVY_matrices_mat_level!BO52</f>
        <v>-2788514.0257371739</v>
      </c>
      <c r="BP52" s="289">
        <f t="shared" si="1"/>
        <v>-2788514.0257371739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5">
        <f t="shared" si="0"/>
        <v>0</v>
      </c>
      <c r="BJ53" s="131"/>
      <c r="BK53" s="131"/>
      <c r="BL53" s="131"/>
      <c r="BM53" s="325" t="s">
        <v>524</v>
      </c>
      <c r="BN53" s="316">
        <v>0</v>
      </c>
      <c r="BO53" s="316">
        <f>MCC_M_RUVY_matrices_mat_level!BM118*MCC_h_RUVY_matrices_mat_level!BM118 / MCC_MW_RUVY_matrices_mat_level!BO53</f>
        <v>-177387.6603372262</v>
      </c>
      <c r="BP53" s="289">
        <f t="shared" si="1"/>
        <v>-177387.6603372262</v>
      </c>
    </row>
    <row r="54" spans="5:68" x14ac:dyDescent="0.2">
      <c r="E54" s="131"/>
      <c r="F54" s="453"/>
      <c r="G54" s="453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54" t="s">
        <v>395</v>
      </c>
      <c r="AU54" s="455"/>
      <c r="AV54" s="455"/>
      <c r="AW54" s="455"/>
      <c r="AX54" s="455"/>
      <c r="AY54" s="455"/>
      <c r="AZ54" s="455"/>
      <c r="BA54" s="455"/>
      <c r="BB54" s="455"/>
      <c r="BC54" s="455"/>
      <c r="BD54" s="455"/>
      <c r="BE54" s="455"/>
      <c r="BF54" s="455"/>
      <c r="BG54" s="455"/>
      <c r="BH54" s="455"/>
      <c r="BI54" s="329" t="s">
        <v>436</v>
      </c>
      <c r="BJ54" s="131"/>
      <c r="BK54" s="131"/>
      <c r="BL54" s="131"/>
      <c r="BM54" s="322"/>
      <c r="BN54" s="452" t="s">
        <v>397</v>
      </c>
      <c r="BO54" s="452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-1689824.7786463453</v>
      </c>
      <c r="AU55" s="330">
        <f t="shared" ref="AU55:BH55" si="2">SUM(AU18:AU53)</f>
        <v>-1359217.3367370586</v>
      </c>
      <c r="AV55" s="330">
        <f t="shared" si="2"/>
        <v>9148397.3079415839</v>
      </c>
      <c r="AW55" s="330">
        <f t="shared" si="2"/>
        <v>-1777985.4355511186</v>
      </c>
      <c r="AX55" s="330">
        <f t="shared" si="2"/>
        <v>-1359457.7959575919</v>
      </c>
      <c r="AY55" s="330">
        <f t="shared" si="2"/>
        <v>-112.78165025676648</v>
      </c>
      <c r="AZ55" s="330">
        <f t="shared" si="2"/>
        <v>-1777985.4355511186</v>
      </c>
      <c r="BA55" s="330">
        <f t="shared" si="2"/>
        <v>-1359457.7959575919</v>
      </c>
      <c r="BB55" s="330">
        <f t="shared" si="2"/>
        <v>-112.78165025676648</v>
      </c>
      <c r="BC55" s="330">
        <f t="shared" si="2"/>
        <v>-1534440.1295455615</v>
      </c>
      <c r="BD55" s="330">
        <f t="shared" si="2"/>
        <v>-949319.20713093248</v>
      </c>
      <c r="BE55" s="330">
        <f t="shared" si="2"/>
        <v>-13740.19434752778</v>
      </c>
      <c r="BF55" s="330">
        <f t="shared" si="2"/>
        <v>-13104.628581498642</v>
      </c>
      <c r="BG55" s="330">
        <f t="shared" si="2"/>
        <v>1060783.6165065998</v>
      </c>
      <c r="BH55" s="330">
        <f t="shared" si="2"/>
        <v>-50.81788353988668</v>
      </c>
      <c r="BJ55" s="131"/>
      <c r="BK55" s="131"/>
      <c r="BL55" s="131"/>
      <c r="BM55" s="131"/>
      <c r="BN55" s="322"/>
      <c r="BO55" s="131"/>
    </row>
    <row r="56" spans="5:68" x14ac:dyDescent="0.2">
      <c r="AQ56" s="131"/>
      <c r="AR56" s="131"/>
      <c r="AS56" s="131"/>
      <c r="AT56" s="450" t="s">
        <v>435</v>
      </c>
      <c r="AU56" s="450"/>
      <c r="AV56" s="450"/>
      <c r="AW56" s="450"/>
      <c r="AX56" s="450"/>
      <c r="AY56" s="450"/>
      <c r="AZ56" s="450"/>
      <c r="BA56" s="450"/>
      <c r="BB56" s="450"/>
      <c r="BC56" s="450"/>
      <c r="BD56" s="450"/>
      <c r="BE56" s="450"/>
      <c r="BF56" s="450"/>
      <c r="BG56" s="450"/>
      <c r="BH56" s="450"/>
      <c r="BJ56" s="131"/>
      <c r="BK56" s="131"/>
      <c r="BL56" s="131"/>
      <c r="BM56" s="131"/>
      <c r="BN56" s="322"/>
      <c r="BO56" s="131"/>
    </row>
    <row r="57" spans="5:68" ht="236" x14ac:dyDescent="0.2">
      <c r="E57" s="279"/>
      <c r="F57" s="200" t="s">
        <v>400</v>
      </c>
      <c r="G57" s="200" t="s">
        <v>402</v>
      </c>
      <c r="H57" s="200" t="s">
        <v>403</v>
      </c>
      <c r="I57" s="200" t="s">
        <v>422</v>
      </c>
      <c r="J57" s="200" t="s">
        <v>444</v>
      </c>
      <c r="K57" s="200" t="s">
        <v>533</v>
      </c>
      <c r="L57" s="200" t="s">
        <v>534</v>
      </c>
      <c r="M57" s="200" t="s">
        <v>478</v>
      </c>
      <c r="N57" s="200" t="s">
        <v>526</v>
      </c>
      <c r="O57" s="331" t="s">
        <v>509</v>
      </c>
      <c r="P57" s="332" t="s">
        <v>476</v>
      </c>
      <c r="Q57" s="331" t="s">
        <v>479</v>
      </c>
      <c r="R57" s="332" t="s">
        <v>504</v>
      </c>
      <c r="S57" s="202" t="s">
        <v>497</v>
      </c>
      <c r="T57" s="332" t="s">
        <v>483</v>
      </c>
      <c r="U57" s="331" t="s">
        <v>508</v>
      </c>
      <c r="V57" s="331" t="s">
        <v>503</v>
      </c>
      <c r="W57" s="331" t="s">
        <v>500</v>
      </c>
      <c r="X57" s="331" t="s">
        <v>506</v>
      </c>
      <c r="Y57" s="202" t="s">
        <v>505</v>
      </c>
      <c r="Z57" s="202" t="s">
        <v>491</v>
      </c>
      <c r="AA57" s="202" t="s">
        <v>523</v>
      </c>
      <c r="AB57" s="202" t="s">
        <v>492</v>
      </c>
      <c r="AC57" s="202" t="s">
        <v>494</v>
      </c>
      <c r="AD57" s="202" t="s">
        <v>493</v>
      </c>
      <c r="AE57" s="202" t="s">
        <v>551</v>
      </c>
      <c r="AF57" s="220" t="s">
        <v>489</v>
      </c>
      <c r="AG57" s="220" t="s">
        <v>619</v>
      </c>
      <c r="AH57" s="202" t="s">
        <v>488</v>
      </c>
      <c r="AI57" s="332" t="s">
        <v>490</v>
      </c>
      <c r="AJ57" s="202" t="s">
        <v>582</v>
      </c>
      <c r="AK57" s="202" t="s">
        <v>584</v>
      </c>
      <c r="AL57" s="202" t="s">
        <v>512</v>
      </c>
      <c r="AM57" s="202" t="s">
        <v>513</v>
      </c>
      <c r="AN57" s="202" t="s">
        <v>514</v>
      </c>
      <c r="AO57" s="202" t="s">
        <v>524</v>
      </c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392</v>
      </c>
      <c r="F58" s="219">
        <v>0</v>
      </c>
      <c r="G58" s="219">
        <v>0</v>
      </c>
      <c r="H58" s="219">
        <v>0</v>
      </c>
      <c r="I58" s="219">
        <v>0</v>
      </c>
      <c r="J58" s="219">
        <v>0</v>
      </c>
      <c r="K58" s="219">
        <v>0</v>
      </c>
      <c r="L58" s="219">
        <v>0</v>
      </c>
      <c r="M58" s="219">
        <v>0</v>
      </c>
      <c r="N58" s="219">
        <v>0</v>
      </c>
      <c r="O58" s="219">
        <f>MCC_M_RUVY_matrices_mat_level!L124*MCC_h_RUVY_matrices_mat_level!L123 /MCC_MW_RUVY_matrices_mat_level!O57</f>
        <v>-1777985.4355511186</v>
      </c>
      <c r="P58" s="219">
        <f>MCC_M_RUVY_matrices_mat_level!M124*MCC_h_RUVY_matrices_mat_level!M123 /MCC_MW_RUVY_matrices_mat_level!P57</f>
        <v>-35429.897676176748</v>
      </c>
      <c r="Q58" s="219">
        <v>0</v>
      </c>
      <c r="R58" s="219">
        <v>0</v>
      </c>
      <c r="S58" s="219">
        <v>0</v>
      </c>
      <c r="T58" s="219">
        <v>0</v>
      </c>
      <c r="U58" s="219">
        <v>0</v>
      </c>
      <c r="V58" s="219">
        <v>0</v>
      </c>
      <c r="W58" s="219">
        <v>0</v>
      </c>
      <c r="X58" s="219">
        <v>0</v>
      </c>
      <c r="Y58" s="219">
        <v>0</v>
      </c>
      <c r="Z58" s="219">
        <v>0</v>
      </c>
      <c r="AA58" s="219">
        <v>0</v>
      </c>
      <c r="AB58" s="219">
        <v>0</v>
      </c>
      <c r="AC58" s="219">
        <v>0</v>
      </c>
      <c r="AD58" s="219">
        <v>0</v>
      </c>
      <c r="AE58" s="219">
        <v>0</v>
      </c>
      <c r="AF58" s="219">
        <v>0</v>
      </c>
      <c r="AG58" s="219">
        <v>0</v>
      </c>
      <c r="AH58" s="219">
        <v>0</v>
      </c>
      <c r="AI58" s="219">
        <v>0</v>
      </c>
      <c r="AJ58" s="219">
        <v>0</v>
      </c>
      <c r="AK58" s="219">
        <v>0</v>
      </c>
      <c r="AL58" s="219">
        <v>0</v>
      </c>
      <c r="AM58" s="219">
        <v>0</v>
      </c>
      <c r="AN58" s="219">
        <v>0</v>
      </c>
      <c r="AO58" s="219">
        <v>0</v>
      </c>
      <c r="AP58" s="287">
        <f>SUM(F58:AO58)</f>
        <v>-1813415.3332272954</v>
      </c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</row>
    <row r="59" spans="5:68" x14ac:dyDescent="0.2">
      <c r="E59" s="286" t="s">
        <v>393</v>
      </c>
      <c r="F59" s="219">
        <v>0</v>
      </c>
      <c r="G59" s="219">
        <v>0</v>
      </c>
      <c r="H59" s="219">
        <v>0</v>
      </c>
      <c r="I59" s="219">
        <v>0</v>
      </c>
      <c r="J59" s="219">
        <v>0</v>
      </c>
      <c r="K59" s="219">
        <v>0</v>
      </c>
      <c r="L59" s="219">
        <v>0</v>
      </c>
      <c r="M59" s="219">
        <v>0</v>
      </c>
      <c r="N59" s="219">
        <v>0</v>
      </c>
      <c r="O59" s="219">
        <v>0</v>
      </c>
      <c r="P59" s="219">
        <v>0</v>
      </c>
      <c r="Q59" s="219">
        <f>MCC_M_RUVY_matrices_mat_level!N125*MCC_h_RUVY_matrices_mat_level!N124 /MCC_MW_RUVY_matrices_mat_level!Q58</f>
        <v>-1359457.7959575919</v>
      </c>
      <c r="R59" s="219">
        <f>MCC_M_RUVY_matrices_mat_level!O125*MCC_h_RUVY_matrices_mat_level!O124 /MCC_MW_RUVY_matrices_mat_level!R58</f>
        <v>-106.02767886152715</v>
      </c>
      <c r="S59" s="219">
        <v>0</v>
      </c>
      <c r="T59" s="219">
        <v>0</v>
      </c>
      <c r="U59" s="219">
        <v>0</v>
      </c>
      <c r="V59" s="219">
        <v>0</v>
      </c>
      <c r="W59" s="219">
        <v>0</v>
      </c>
      <c r="X59" s="219">
        <v>0</v>
      </c>
      <c r="Y59" s="219">
        <v>0</v>
      </c>
      <c r="Z59" s="219">
        <v>0</v>
      </c>
      <c r="AA59" s="219">
        <v>0</v>
      </c>
      <c r="AB59" s="219">
        <v>0</v>
      </c>
      <c r="AC59" s="219">
        <v>0</v>
      </c>
      <c r="AD59" s="219">
        <v>0</v>
      </c>
      <c r="AE59" s="219">
        <v>0</v>
      </c>
      <c r="AF59" s="219">
        <v>0</v>
      </c>
      <c r="AG59" s="219">
        <v>0</v>
      </c>
      <c r="AH59" s="219">
        <v>0</v>
      </c>
      <c r="AI59" s="219">
        <v>0</v>
      </c>
      <c r="AJ59" s="219">
        <v>0</v>
      </c>
      <c r="AK59" s="219">
        <v>0</v>
      </c>
      <c r="AL59" s="219">
        <v>0</v>
      </c>
      <c r="AM59" s="219">
        <v>0</v>
      </c>
      <c r="AN59" s="219">
        <v>0</v>
      </c>
      <c r="AO59" s="219">
        <v>0</v>
      </c>
      <c r="AP59" s="287">
        <f t="shared" ref="AP59:AP72" si="3">SUM(F59:AO59)</f>
        <v>-1359563.8236364534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394</v>
      </c>
      <c r="F60" s="219">
        <v>0</v>
      </c>
      <c r="G60" s="219">
        <v>0</v>
      </c>
      <c r="H60" s="219">
        <v>0</v>
      </c>
      <c r="I60" s="219">
        <v>0</v>
      </c>
      <c r="J60" s="219">
        <v>0</v>
      </c>
      <c r="K60" s="219">
        <v>0</v>
      </c>
      <c r="L60" s="219">
        <v>0</v>
      </c>
      <c r="M60" s="219">
        <v>0</v>
      </c>
      <c r="N60" s="219">
        <v>0</v>
      </c>
      <c r="O60" s="219">
        <v>0</v>
      </c>
      <c r="P60" s="219">
        <v>0</v>
      </c>
      <c r="Q60" s="219">
        <v>0</v>
      </c>
      <c r="R60" s="219">
        <v>0</v>
      </c>
      <c r="S60" s="219">
        <f>MCC_M_RUVY_matrices_mat_level!P126*MCC_h_RUVY_matrices_mat_level!P125 /MCC_MW_RUVY_matrices_mat_level!S59</f>
        <v>-112.78165025676648</v>
      </c>
      <c r="T60" s="219">
        <f>MCC_M_RUVY_matrices_mat_level!Q126*MCC_h_RUVY_matrices_mat_level!Q125 /MCC_MW_RUVY_matrices_mat_level!T59</f>
        <v>-8771.8572366008211</v>
      </c>
      <c r="U60" s="219">
        <v>0</v>
      </c>
      <c r="V60" s="219">
        <v>0</v>
      </c>
      <c r="W60" s="219">
        <v>0</v>
      </c>
      <c r="X60" s="219">
        <v>0</v>
      </c>
      <c r="Y60" s="219">
        <v>0</v>
      </c>
      <c r="Z60" s="219">
        <v>0</v>
      </c>
      <c r="AA60" s="219">
        <v>0</v>
      </c>
      <c r="AB60" s="219">
        <v>0</v>
      </c>
      <c r="AC60" s="219">
        <v>0</v>
      </c>
      <c r="AD60" s="219">
        <v>0</v>
      </c>
      <c r="AE60" s="219">
        <v>0</v>
      </c>
      <c r="AF60" s="219">
        <v>0</v>
      </c>
      <c r="AG60" s="219">
        <v>0</v>
      </c>
      <c r="AH60" s="219">
        <v>0</v>
      </c>
      <c r="AI60" s="219">
        <v>0</v>
      </c>
      <c r="AJ60" s="219">
        <v>0</v>
      </c>
      <c r="AK60" s="219">
        <v>0</v>
      </c>
      <c r="AL60" s="219">
        <v>0</v>
      </c>
      <c r="AM60" s="219">
        <v>0</v>
      </c>
      <c r="AN60" s="219">
        <v>0</v>
      </c>
      <c r="AO60" s="219">
        <v>0</v>
      </c>
      <c r="AP60" s="287">
        <f t="shared" si="3"/>
        <v>-8884.6388868575868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522</v>
      </c>
      <c r="F61" s="219">
        <v>0</v>
      </c>
      <c r="G61" s="219">
        <v>0</v>
      </c>
      <c r="H61" s="219">
        <v>0</v>
      </c>
      <c r="I61" s="219">
        <v>0</v>
      </c>
      <c r="J61" s="219">
        <v>0</v>
      </c>
      <c r="K61" s="219">
        <v>0</v>
      </c>
      <c r="L61" s="219">
        <v>0</v>
      </c>
      <c r="M61" s="219">
        <v>0</v>
      </c>
      <c r="N61" s="219">
        <v>0</v>
      </c>
      <c r="O61" s="219">
        <v>0</v>
      </c>
      <c r="P61" s="219">
        <v>0</v>
      </c>
      <c r="Q61" s="219">
        <v>0</v>
      </c>
      <c r="R61" s="219">
        <v>0</v>
      </c>
      <c r="S61" s="219">
        <v>0</v>
      </c>
      <c r="T61" s="219">
        <v>0</v>
      </c>
      <c r="U61" s="219">
        <f>MCC_M_RUVY_matrices_mat_level!R127*MCC_h_RUVY_matrices_mat_level!R126 /MCC_MW_RUVY_matrices_mat_level!U60</f>
        <v>-1777985.4355511186</v>
      </c>
      <c r="V61" s="219">
        <v>0</v>
      </c>
      <c r="W61" s="219">
        <v>0</v>
      </c>
      <c r="X61" s="219">
        <v>0</v>
      </c>
      <c r="Y61" s="219">
        <v>0</v>
      </c>
      <c r="Z61" s="219">
        <v>0</v>
      </c>
      <c r="AA61" s="219">
        <v>0</v>
      </c>
      <c r="AB61" s="219">
        <v>0</v>
      </c>
      <c r="AC61" s="219">
        <v>0</v>
      </c>
      <c r="AD61" s="219">
        <v>0</v>
      </c>
      <c r="AE61" s="219">
        <v>0</v>
      </c>
      <c r="AF61" s="219">
        <v>0</v>
      </c>
      <c r="AG61" s="219">
        <v>0</v>
      </c>
      <c r="AH61" s="219">
        <v>0</v>
      </c>
      <c r="AI61" s="219">
        <v>0</v>
      </c>
      <c r="AJ61" s="219">
        <v>0</v>
      </c>
      <c r="AK61" s="219">
        <v>0</v>
      </c>
      <c r="AL61" s="219">
        <v>0</v>
      </c>
      <c r="AM61" s="219">
        <v>0</v>
      </c>
      <c r="AN61" s="219">
        <v>0</v>
      </c>
      <c r="AO61" s="219">
        <v>0</v>
      </c>
      <c r="AP61" s="287">
        <f t="shared" si="3"/>
        <v>-1777985.4355511186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502</v>
      </c>
      <c r="F62" s="219">
        <v>0</v>
      </c>
      <c r="G62" s="219">
        <v>0</v>
      </c>
      <c r="H62" s="219">
        <v>0</v>
      </c>
      <c r="I62" s="219">
        <v>0</v>
      </c>
      <c r="J62" s="219">
        <v>0</v>
      </c>
      <c r="K62" s="219">
        <v>0</v>
      </c>
      <c r="L62" s="219">
        <v>0</v>
      </c>
      <c r="M62" s="219">
        <v>0</v>
      </c>
      <c r="N62" s="219">
        <v>0</v>
      </c>
      <c r="O62" s="219">
        <v>0</v>
      </c>
      <c r="P62" s="219">
        <v>0</v>
      </c>
      <c r="Q62" s="219">
        <v>0</v>
      </c>
      <c r="R62" s="219">
        <v>0</v>
      </c>
      <c r="S62" s="219">
        <v>0</v>
      </c>
      <c r="T62" s="219">
        <v>0</v>
      </c>
      <c r="U62" s="219">
        <v>0</v>
      </c>
      <c r="V62" s="219">
        <f>MCC_M_RUVY_matrices_mat_level!S128*MCC_h_RUVY_matrices_mat_level!S127 /MCC_MW_RUVY_matrices_mat_level!V61</f>
        <v>-1359457.7959575919</v>
      </c>
      <c r="W62" s="219">
        <v>0</v>
      </c>
      <c r="X62" s="219">
        <v>0</v>
      </c>
      <c r="Y62" s="219">
        <v>0</v>
      </c>
      <c r="Z62" s="219">
        <v>0</v>
      </c>
      <c r="AA62" s="219">
        <v>0</v>
      </c>
      <c r="AB62" s="219">
        <v>0</v>
      </c>
      <c r="AC62" s="219">
        <v>0</v>
      </c>
      <c r="AD62" s="219">
        <v>0</v>
      </c>
      <c r="AE62" s="219">
        <v>0</v>
      </c>
      <c r="AF62" s="219">
        <v>0</v>
      </c>
      <c r="AG62" s="219">
        <v>0</v>
      </c>
      <c r="AH62" s="219">
        <v>0</v>
      </c>
      <c r="AI62" s="219">
        <v>0</v>
      </c>
      <c r="AJ62" s="219">
        <v>0</v>
      </c>
      <c r="AK62" s="219">
        <v>0</v>
      </c>
      <c r="AL62" s="219">
        <v>0</v>
      </c>
      <c r="AM62" s="219">
        <v>0</v>
      </c>
      <c r="AN62" s="219">
        <v>0</v>
      </c>
      <c r="AO62" s="219">
        <v>0</v>
      </c>
      <c r="AP62" s="287">
        <f t="shared" si="3"/>
        <v>-1359457.7959575919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501</v>
      </c>
      <c r="F63" s="219">
        <v>0</v>
      </c>
      <c r="G63" s="219">
        <v>0</v>
      </c>
      <c r="H63" s="219">
        <v>0</v>
      </c>
      <c r="I63" s="219">
        <v>0</v>
      </c>
      <c r="J63" s="219">
        <v>0</v>
      </c>
      <c r="K63" s="219">
        <v>0</v>
      </c>
      <c r="L63" s="219">
        <v>0</v>
      </c>
      <c r="M63" s="219">
        <v>0</v>
      </c>
      <c r="N63" s="219">
        <v>0</v>
      </c>
      <c r="O63" s="219">
        <v>0</v>
      </c>
      <c r="P63" s="219">
        <v>0</v>
      </c>
      <c r="Q63" s="219">
        <v>0</v>
      </c>
      <c r="R63" s="219">
        <v>0</v>
      </c>
      <c r="S63" s="219">
        <v>0</v>
      </c>
      <c r="T63" s="219">
        <v>0</v>
      </c>
      <c r="U63" s="219">
        <v>0</v>
      </c>
      <c r="V63" s="219">
        <v>0</v>
      </c>
      <c r="W63" s="219">
        <f>MCC_M_RUVY_matrices_mat_level!T129*MCC_h_RUVY_matrices_mat_level!T128 /MCC_MW_RUVY_matrices_mat_level!W62</f>
        <v>-112.78165025676648</v>
      </c>
      <c r="X63" s="219">
        <v>0</v>
      </c>
      <c r="Y63" s="219">
        <v>0</v>
      </c>
      <c r="Z63" s="219">
        <v>0</v>
      </c>
      <c r="AA63" s="219">
        <v>0</v>
      </c>
      <c r="AB63" s="219">
        <v>0</v>
      </c>
      <c r="AC63" s="219">
        <v>0</v>
      </c>
      <c r="AD63" s="219">
        <v>0</v>
      </c>
      <c r="AE63" s="219">
        <v>0</v>
      </c>
      <c r="AF63" s="219">
        <v>0</v>
      </c>
      <c r="AG63" s="219">
        <v>0</v>
      </c>
      <c r="AH63" s="219">
        <v>0</v>
      </c>
      <c r="AI63" s="219">
        <v>0</v>
      </c>
      <c r="AJ63" s="219">
        <v>0</v>
      </c>
      <c r="AK63" s="219">
        <v>0</v>
      </c>
      <c r="AL63" s="219">
        <v>0</v>
      </c>
      <c r="AM63" s="219">
        <v>0</v>
      </c>
      <c r="AN63" s="219">
        <v>0</v>
      </c>
      <c r="AO63" s="219">
        <v>0</v>
      </c>
      <c r="AP63" s="287">
        <f t="shared" si="3"/>
        <v>-112.78165025676648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418</v>
      </c>
      <c r="F64" s="219">
        <v>0</v>
      </c>
      <c r="G64" s="219">
        <v>0</v>
      </c>
      <c r="H64" s="219">
        <v>0</v>
      </c>
      <c r="I64" s="219">
        <v>0</v>
      </c>
      <c r="J64" s="219">
        <v>0</v>
      </c>
      <c r="K64" s="219">
        <v>0</v>
      </c>
      <c r="L64" s="219">
        <v>0</v>
      </c>
      <c r="M64" s="219">
        <v>0</v>
      </c>
      <c r="N64" s="219">
        <v>0</v>
      </c>
      <c r="O64" s="219">
        <v>0</v>
      </c>
      <c r="P64" s="219">
        <v>0</v>
      </c>
      <c r="Q64" s="219">
        <v>0</v>
      </c>
      <c r="R64" s="219">
        <v>0</v>
      </c>
      <c r="S64" s="219">
        <v>0</v>
      </c>
      <c r="T64" s="219">
        <v>0</v>
      </c>
      <c r="U64" s="219">
        <v>0</v>
      </c>
      <c r="V64" s="219">
        <v>0</v>
      </c>
      <c r="W64" s="219">
        <v>0</v>
      </c>
      <c r="X64" s="219">
        <f>MCC_M_RUVY_matrices_mat_level!U130*MCC_h_RUVY_matrices_mat_level!U129 /MCC_MW_RUVY_matrices_mat_level!X63</f>
        <v>-3797055.1820632704</v>
      </c>
      <c r="Y64" s="219">
        <f>MCC_M_RUVY_matrices_mat_level!V130*MCC_h_RUVY_matrices_mat_level!V129 /MCC_MW_RUVY_matrices_mat_level!Y63</f>
        <v>-66021.418271669754</v>
      </c>
      <c r="Z64" s="219">
        <v>0</v>
      </c>
      <c r="AA64" s="219">
        <v>0</v>
      </c>
      <c r="AB64" s="219">
        <v>0</v>
      </c>
      <c r="AC64" s="219">
        <v>0</v>
      </c>
      <c r="AD64" s="219">
        <v>0</v>
      </c>
      <c r="AE64" s="219">
        <v>0</v>
      </c>
      <c r="AF64" s="219">
        <v>0</v>
      </c>
      <c r="AG64" s="219">
        <v>0</v>
      </c>
      <c r="AH64" s="219">
        <v>0</v>
      </c>
      <c r="AI64" s="219">
        <v>0</v>
      </c>
      <c r="AJ64" s="219">
        <v>0</v>
      </c>
      <c r="AK64" s="219">
        <v>0</v>
      </c>
      <c r="AL64" s="219">
        <v>0</v>
      </c>
      <c r="AM64" s="219">
        <v>0</v>
      </c>
      <c r="AN64" s="219">
        <v>0</v>
      </c>
      <c r="AO64" s="219">
        <v>0</v>
      </c>
      <c r="AP64" s="287">
        <f t="shared" si="3"/>
        <v>-3863076.60033494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415</v>
      </c>
      <c r="F65" s="219">
        <v>0</v>
      </c>
      <c r="G65" s="219">
        <v>0</v>
      </c>
      <c r="H65" s="219">
        <v>0</v>
      </c>
      <c r="I65" s="219">
        <v>0</v>
      </c>
      <c r="J65" s="219">
        <v>0</v>
      </c>
      <c r="K65" s="219">
        <v>0</v>
      </c>
      <c r="L65" s="219">
        <v>0</v>
      </c>
      <c r="M65" s="219">
        <v>0</v>
      </c>
      <c r="N65" s="219">
        <v>0</v>
      </c>
      <c r="O65" s="219">
        <v>0</v>
      </c>
      <c r="P65" s="219">
        <v>0</v>
      </c>
      <c r="Q65" s="219">
        <v>0</v>
      </c>
      <c r="R65" s="219">
        <v>0</v>
      </c>
      <c r="S65" s="219">
        <v>0</v>
      </c>
      <c r="T65" s="219">
        <v>0</v>
      </c>
      <c r="U65" s="219">
        <v>0</v>
      </c>
      <c r="V65" s="219">
        <v>0</v>
      </c>
      <c r="W65" s="219">
        <v>0</v>
      </c>
      <c r="X65" s="219">
        <v>0</v>
      </c>
      <c r="Y65" s="219">
        <v>0</v>
      </c>
      <c r="Z65" s="219">
        <f>MCC_M_RUVY_matrices_mat_level!W131*MCC_h_RUVY_matrices_mat_level!W130 /MCC_MW_RUVY_matrices_mat_level!Z64</f>
        <v>-1359457.7959575919</v>
      </c>
      <c r="AA65" s="219">
        <v>0</v>
      </c>
      <c r="AB65" s="219">
        <v>0</v>
      </c>
      <c r="AC65" s="219">
        <v>0</v>
      </c>
      <c r="AD65" s="219">
        <v>0</v>
      </c>
      <c r="AE65" s="219">
        <v>0</v>
      </c>
      <c r="AF65" s="219">
        <v>0</v>
      </c>
      <c r="AG65" s="219">
        <v>0</v>
      </c>
      <c r="AH65" s="219">
        <v>0</v>
      </c>
      <c r="AI65" s="219">
        <v>0</v>
      </c>
      <c r="AJ65" s="219">
        <v>0</v>
      </c>
      <c r="AK65" s="219">
        <v>0</v>
      </c>
      <c r="AL65" s="219">
        <v>0</v>
      </c>
      <c r="AM65" s="219">
        <v>0</v>
      </c>
      <c r="AN65" s="219">
        <v>0</v>
      </c>
      <c r="AO65" s="219">
        <v>0</v>
      </c>
      <c r="AP65" s="287">
        <f t="shared" si="3"/>
        <v>-1359457.7959575919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429</v>
      </c>
      <c r="F66" s="219">
        <v>0</v>
      </c>
      <c r="G66" s="219">
        <v>0</v>
      </c>
      <c r="H66" s="219">
        <v>0</v>
      </c>
      <c r="I66" s="219">
        <v>0</v>
      </c>
      <c r="J66" s="219">
        <v>0</v>
      </c>
      <c r="K66" s="219">
        <v>0</v>
      </c>
      <c r="L66" s="219">
        <v>0</v>
      </c>
      <c r="M66" s="219">
        <v>0</v>
      </c>
      <c r="N66" s="219">
        <v>0</v>
      </c>
      <c r="O66" s="219">
        <v>0</v>
      </c>
      <c r="P66" s="219">
        <v>0</v>
      </c>
      <c r="Q66" s="219">
        <v>0</v>
      </c>
      <c r="R66" s="219">
        <v>0</v>
      </c>
      <c r="S66" s="219">
        <v>0</v>
      </c>
      <c r="T66" s="219">
        <v>0</v>
      </c>
      <c r="U66" s="219">
        <v>0</v>
      </c>
      <c r="V66" s="219">
        <v>0</v>
      </c>
      <c r="W66" s="219">
        <v>0</v>
      </c>
      <c r="X66" s="219">
        <v>0</v>
      </c>
      <c r="Y66" s="219">
        <v>0</v>
      </c>
      <c r="Z66" s="219">
        <v>0</v>
      </c>
      <c r="AA66" s="219">
        <f>MCC_M_RUVY_matrices_mat_level!X132*MCC_h_RUVY_matrices_mat_level!X131 /MCC_MW_RUVY_matrices_mat_level!AA65</f>
        <v>-112.78165025676648</v>
      </c>
      <c r="AB66" s="219">
        <v>0</v>
      </c>
      <c r="AC66" s="219">
        <v>0</v>
      </c>
      <c r="AD66" s="219">
        <v>0</v>
      </c>
      <c r="AE66" s="219">
        <v>0</v>
      </c>
      <c r="AF66" s="219">
        <v>0</v>
      </c>
      <c r="AG66" s="219">
        <v>0</v>
      </c>
      <c r="AH66" s="219">
        <v>0</v>
      </c>
      <c r="AI66" s="219">
        <v>0</v>
      </c>
      <c r="AJ66" s="219">
        <v>0</v>
      </c>
      <c r="AK66" s="219">
        <v>0</v>
      </c>
      <c r="AL66" s="219">
        <v>0</v>
      </c>
      <c r="AM66" s="219">
        <v>0</v>
      </c>
      <c r="AN66" s="219">
        <v>0</v>
      </c>
      <c r="AO66" s="219">
        <v>0</v>
      </c>
      <c r="AP66" s="287">
        <f t="shared" si="3"/>
        <v>-112.78165025676648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416</v>
      </c>
      <c r="F67" s="219">
        <v>0</v>
      </c>
      <c r="G67" s="219">
        <v>0</v>
      </c>
      <c r="H67" s="219">
        <v>0</v>
      </c>
      <c r="I67" s="219">
        <v>0</v>
      </c>
      <c r="J67" s="219">
        <v>0</v>
      </c>
      <c r="K67" s="219">
        <v>0</v>
      </c>
      <c r="L67" s="219">
        <v>0</v>
      </c>
      <c r="M67" s="219">
        <v>0</v>
      </c>
      <c r="N67" s="219">
        <v>0</v>
      </c>
      <c r="O67" s="219">
        <v>0</v>
      </c>
      <c r="P67" s="219">
        <v>0</v>
      </c>
      <c r="Q67" s="219">
        <v>0</v>
      </c>
      <c r="R67" s="219">
        <v>0</v>
      </c>
      <c r="S67" s="219">
        <v>0</v>
      </c>
      <c r="T67" s="219">
        <v>0</v>
      </c>
      <c r="U67" s="219">
        <v>0</v>
      </c>
      <c r="V67" s="219">
        <v>0</v>
      </c>
      <c r="W67" s="219">
        <v>0</v>
      </c>
      <c r="X67" s="219">
        <v>0</v>
      </c>
      <c r="Y67" s="219">
        <v>0</v>
      </c>
      <c r="Z67" s="219">
        <v>0</v>
      </c>
      <c r="AA67" s="219">
        <v>0</v>
      </c>
      <c r="AB67" s="219">
        <f>MCC_M_RUVY_matrices_mat_level!Y133*MCC_h_RUVY_matrices_mat_level!Y132 /MCC_MW_RUVY_matrices_mat_level!AB66</f>
        <v>-1256817.6045988721</v>
      </c>
      <c r="AC67" s="219">
        <f>MCC_M_RUVY_matrices_mat_level!Z133*MCC_h_RUVY_matrices_mat_level!Z132 /MCC_MW_RUVY_matrices_mat_level!AC66</f>
        <v>-74404.460335125405</v>
      </c>
      <c r="AD67" s="219">
        <f>MCC_M_RUVY_matrices_mat_level!AA133*MCC_h_RUVY_matrices_mat_level!AA132 /MCC_MW_RUVY_matrices_mat_level!AD66</f>
        <v>-1082643.9792420177</v>
      </c>
      <c r="AE67" s="219">
        <v>0</v>
      </c>
      <c r="AF67" s="219">
        <v>0</v>
      </c>
      <c r="AG67" s="219">
        <v>0</v>
      </c>
      <c r="AH67" s="219">
        <v>0</v>
      </c>
      <c r="AI67" s="219">
        <v>0</v>
      </c>
      <c r="AJ67" s="219">
        <v>0</v>
      </c>
      <c r="AK67" s="219">
        <v>0</v>
      </c>
      <c r="AL67" s="219">
        <v>0</v>
      </c>
      <c r="AM67" s="219">
        <v>0</v>
      </c>
      <c r="AN67" s="219">
        <v>0</v>
      </c>
      <c r="AO67" s="219">
        <v>0</v>
      </c>
      <c r="AP67" s="287">
        <f t="shared" si="3"/>
        <v>-2413866.0441760151</v>
      </c>
      <c r="AQ67" s="131"/>
      <c r="AR67" s="131"/>
      <c r="AS67" s="131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131"/>
      <c r="BI67" s="131"/>
      <c r="BJ67" s="131"/>
      <c r="BK67" s="131"/>
      <c r="BL67" s="131"/>
      <c r="BM67" s="322"/>
      <c r="BN67" s="322"/>
      <c r="BO67" s="131"/>
    </row>
    <row r="68" spans="5:67" x14ac:dyDescent="0.2">
      <c r="E68" s="286" t="s">
        <v>411</v>
      </c>
      <c r="F68" s="219">
        <v>0</v>
      </c>
      <c r="G68" s="219">
        <v>0</v>
      </c>
      <c r="H68" s="219">
        <v>0</v>
      </c>
      <c r="I68" s="219">
        <v>0</v>
      </c>
      <c r="J68" s="219">
        <v>0</v>
      </c>
      <c r="K68" s="219">
        <v>0</v>
      </c>
      <c r="L68" s="219">
        <v>0</v>
      </c>
      <c r="M68" s="219">
        <v>0</v>
      </c>
      <c r="N68" s="219">
        <v>0</v>
      </c>
      <c r="O68" s="219">
        <v>0</v>
      </c>
      <c r="P68" s="219">
        <v>0</v>
      </c>
      <c r="Q68" s="219">
        <v>0</v>
      </c>
      <c r="R68" s="219">
        <v>0</v>
      </c>
      <c r="S68" s="219">
        <v>0</v>
      </c>
      <c r="T68" s="219">
        <v>0</v>
      </c>
      <c r="U68" s="219">
        <v>0</v>
      </c>
      <c r="V68" s="219">
        <v>0</v>
      </c>
      <c r="W68" s="219">
        <v>0</v>
      </c>
      <c r="X68" s="219">
        <v>0</v>
      </c>
      <c r="Y68" s="219">
        <v>0</v>
      </c>
      <c r="Z68" s="219">
        <v>0</v>
      </c>
      <c r="AA68" s="219">
        <v>0</v>
      </c>
      <c r="AB68" s="219">
        <v>0</v>
      </c>
      <c r="AC68" s="219">
        <v>0</v>
      </c>
      <c r="AD68" s="219">
        <v>0</v>
      </c>
      <c r="AE68" s="219">
        <f>MCC_M_RUVY_matrices_mat_level!AB134*MCC_h_RUVY_matrices_mat_level!AB133 /MCC_MW_RUVY_matrices_mat_level!AE67</f>
        <v>6114656.4031687425</v>
      </c>
      <c r="AF68" s="219">
        <f>MCC_M_RUVY_matrices_mat_level!AC134*MCC_h_RUVY_matrices_mat_level!AC133 /MCC_MW_RUVY_matrices_mat_level!AF67</f>
        <v>-13740.19434752778</v>
      </c>
      <c r="AG68" s="219">
        <f>MCC_M_RUVY_matrices_mat_level!AD134*MCC_h_RUVY_matrices_mat_level!AD133 /MCC_MW_RUVY_matrices_mat_level!AG67</f>
        <v>-3677.1587424372706</v>
      </c>
      <c r="AH68" s="219">
        <f>MCC_M_RUVY_matrices_mat_level!AE134*MCC_h_RUVY_matrices_mat_level!AE133 /MCC_MW_RUVY_matrices_mat_level!AH67</f>
        <v>-12527.870530226932</v>
      </c>
      <c r="AI68" s="219">
        <f>MCC_M_RUVY_matrices_mat_level!AF134*MCC_h_RUVY_matrices_mat_level!AF133 /MCC_MW_RUVY_matrices_mat_level!AI67</f>
        <v>-3678478.5848042481</v>
      </c>
      <c r="AJ68" s="219">
        <v>0</v>
      </c>
      <c r="AK68" s="219">
        <v>0</v>
      </c>
      <c r="AL68" s="219">
        <v>0</v>
      </c>
      <c r="AM68" s="219">
        <v>0</v>
      </c>
      <c r="AN68" s="219">
        <v>0</v>
      </c>
      <c r="AO68" s="219">
        <v>0</v>
      </c>
      <c r="AP68" s="287">
        <f t="shared" si="3"/>
        <v>2406232.5947443023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581</v>
      </c>
      <c r="F69" s="219">
        <v>0</v>
      </c>
      <c r="G69" s="219">
        <v>0</v>
      </c>
      <c r="H69" s="219">
        <v>0</v>
      </c>
      <c r="I69" s="219">
        <v>0</v>
      </c>
      <c r="J69" s="219">
        <v>0</v>
      </c>
      <c r="K69" s="219">
        <v>0</v>
      </c>
      <c r="L69" s="219">
        <v>0</v>
      </c>
      <c r="M69" s="219">
        <v>0</v>
      </c>
      <c r="N69" s="219">
        <v>0</v>
      </c>
      <c r="O69" s="219">
        <v>0</v>
      </c>
      <c r="P69" s="219">
        <v>0</v>
      </c>
      <c r="Q69" s="219">
        <v>0</v>
      </c>
      <c r="R69" s="219">
        <v>0</v>
      </c>
      <c r="S69" s="219">
        <v>0</v>
      </c>
      <c r="T69" s="219">
        <v>0</v>
      </c>
      <c r="U69" s="219">
        <v>0</v>
      </c>
      <c r="V69" s="219">
        <v>0</v>
      </c>
      <c r="W69" s="219">
        <v>0</v>
      </c>
      <c r="X69" s="219">
        <v>0</v>
      </c>
      <c r="Y69" s="219">
        <v>0</v>
      </c>
      <c r="Z69" s="219">
        <v>0</v>
      </c>
      <c r="AA69" s="219">
        <v>0</v>
      </c>
      <c r="AB69" s="219">
        <v>0</v>
      </c>
      <c r="AC69" s="219">
        <v>0</v>
      </c>
      <c r="AD69" s="219">
        <v>0</v>
      </c>
      <c r="AE69" s="219">
        <v>0</v>
      </c>
      <c r="AF69" s="219">
        <v>0</v>
      </c>
      <c r="AG69" s="219">
        <v>0</v>
      </c>
      <c r="AH69" s="219">
        <v>0</v>
      </c>
      <c r="AI69" s="219">
        <v>0</v>
      </c>
      <c r="AJ69" s="219">
        <f>MCC_M_RUVY_matrices_mat_level!AG135*MCC_h_RUVY_matrices_mat_level!AG134 /MCC_MW_RUVY_matrices_mat_level!AJ68</f>
        <v>-13104.628581498642</v>
      </c>
      <c r="AK69" s="219">
        <v>0</v>
      </c>
      <c r="AL69" s="219">
        <v>0</v>
      </c>
      <c r="AM69" s="219">
        <v>0</v>
      </c>
      <c r="AN69" s="219">
        <v>0</v>
      </c>
      <c r="AO69" s="219">
        <v>0</v>
      </c>
      <c r="AP69" s="287">
        <f t="shared" si="3"/>
        <v>-13104.628581498642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583</v>
      </c>
      <c r="F70" s="219">
        <v>0</v>
      </c>
      <c r="G70" s="219">
        <v>0</v>
      </c>
      <c r="H70" s="219">
        <v>0</v>
      </c>
      <c r="I70" s="219">
        <v>0</v>
      </c>
      <c r="J70" s="219">
        <v>0</v>
      </c>
      <c r="K70" s="219">
        <v>0</v>
      </c>
      <c r="L70" s="219">
        <v>0</v>
      </c>
      <c r="M70" s="219">
        <v>0</v>
      </c>
      <c r="N70" s="219">
        <v>0</v>
      </c>
      <c r="O70" s="219">
        <v>0</v>
      </c>
      <c r="P70" s="219">
        <v>0</v>
      </c>
      <c r="Q70" s="219">
        <v>0</v>
      </c>
      <c r="R70" s="219">
        <v>0</v>
      </c>
      <c r="S70" s="219">
        <v>0</v>
      </c>
      <c r="T70" s="219">
        <v>0</v>
      </c>
      <c r="U70" s="219">
        <v>0</v>
      </c>
      <c r="V70" s="219">
        <v>0</v>
      </c>
      <c r="W70" s="219">
        <v>0</v>
      </c>
      <c r="X70" s="219">
        <v>0</v>
      </c>
      <c r="Y70" s="219">
        <v>0</v>
      </c>
      <c r="Z70" s="219">
        <v>0</v>
      </c>
      <c r="AA70" s="219">
        <v>0</v>
      </c>
      <c r="AB70" s="219">
        <v>0</v>
      </c>
      <c r="AC70" s="219">
        <v>0</v>
      </c>
      <c r="AD70" s="219">
        <v>0</v>
      </c>
      <c r="AE70" s="219">
        <v>0</v>
      </c>
      <c r="AF70" s="219">
        <v>0</v>
      </c>
      <c r="AG70" s="219">
        <v>0</v>
      </c>
      <c r="AH70" s="219">
        <v>0</v>
      </c>
      <c r="AI70" s="219">
        <v>0</v>
      </c>
      <c r="AJ70" s="219">
        <v>0</v>
      </c>
      <c r="AK70" s="219">
        <f>MCC_M_RUVY_matrices_mat_level!AH136*MCC_h_RUVY_matrices_mat_level!AH135 /MCC_MW_RUVY_matrices_mat_level!AK69</f>
        <v>-13104.628581498642</v>
      </c>
      <c r="AL70" s="219">
        <v>0</v>
      </c>
      <c r="AM70" s="219">
        <v>0</v>
      </c>
      <c r="AN70" s="219">
        <v>0</v>
      </c>
      <c r="AO70" s="219">
        <v>0</v>
      </c>
      <c r="AP70" s="287">
        <f t="shared" si="3"/>
        <v>-13104.628581498642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80</v>
      </c>
      <c r="F71" s="219">
        <v>0</v>
      </c>
      <c r="G71" s="219">
        <v>0</v>
      </c>
      <c r="H71" s="219">
        <v>0</v>
      </c>
      <c r="I71" s="219">
        <v>0</v>
      </c>
      <c r="J71" s="219">
        <v>0</v>
      </c>
      <c r="K71" s="219">
        <v>0</v>
      </c>
      <c r="L71" s="219">
        <v>0</v>
      </c>
      <c r="M71" s="219">
        <v>0</v>
      </c>
      <c r="N71" s="219">
        <v>0</v>
      </c>
      <c r="O71" s="219">
        <v>0</v>
      </c>
      <c r="P71" s="219">
        <v>0</v>
      </c>
      <c r="Q71" s="219">
        <v>0</v>
      </c>
      <c r="R71" s="219">
        <v>0</v>
      </c>
      <c r="S71" s="219">
        <v>0</v>
      </c>
      <c r="T71" s="219">
        <v>0</v>
      </c>
      <c r="U71" s="219">
        <v>0</v>
      </c>
      <c r="V71" s="219">
        <v>0</v>
      </c>
      <c r="W71" s="219">
        <v>0</v>
      </c>
      <c r="X71" s="219">
        <v>0</v>
      </c>
      <c r="Y71" s="219">
        <v>0</v>
      </c>
      <c r="Z71" s="219">
        <v>0</v>
      </c>
      <c r="AA71" s="219">
        <v>0</v>
      </c>
      <c r="AB71" s="219">
        <v>0</v>
      </c>
      <c r="AC71" s="219">
        <v>0</v>
      </c>
      <c r="AD71" s="219">
        <v>0</v>
      </c>
      <c r="AE71" s="219">
        <v>0</v>
      </c>
      <c r="AF71" s="219">
        <v>0</v>
      </c>
      <c r="AG71" s="219">
        <v>0</v>
      </c>
      <c r="AH71" s="219">
        <v>0</v>
      </c>
      <c r="AI71" s="219">
        <v>0</v>
      </c>
      <c r="AJ71" s="219">
        <v>0</v>
      </c>
      <c r="AK71" s="219">
        <v>0</v>
      </c>
      <c r="AL71" s="219">
        <f>MCC_M_RUVY_matrices_mat_level!AI137*MCC_h_RUVY_matrices_mat_level!AI136 /MCC_MW_RUVY_matrices_mat_level!AL70</f>
        <v>23907.404496491064</v>
      </c>
      <c r="AM71" s="219">
        <v>0</v>
      </c>
      <c r="AN71" s="219">
        <v>0</v>
      </c>
      <c r="AO71" s="219">
        <v>0</v>
      </c>
      <c r="AP71" s="287">
        <f t="shared" si="3"/>
        <v>23907.404496491064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 t="s">
        <v>404</v>
      </c>
      <c r="F72" s="219">
        <v>0</v>
      </c>
      <c r="G72" s="219">
        <v>0</v>
      </c>
      <c r="H72" s="219">
        <v>0</v>
      </c>
      <c r="I72" s="219">
        <v>0</v>
      </c>
      <c r="J72" s="219">
        <v>0</v>
      </c>
      <c r="K72" s="219">
        <v>0</v>
      </c>
      <c r="L72" s="219">
        <v>0</v>
      </c>
      <c r="M72" s="219">
        <v>0</v>
      </c>
      <c r="N72" s="219">
        <v>0</v>
      </c>
      <c r="O72" s="219">
        <v>0</v>
      </c>
      <c r="P72" s="219">
        <v>0</v>
      </c>
      <c r="Q72" s="219">
        <v>0</v>
      </c>
      <c r="R72" s="219">
        <v>0</v>
      </c>
      <c r="S72" s="219">
        <v>0</v>
      </c>
      <c r="T72" s="219">
        <v>0</v>
      </c>
      <c r="U72" s="219">
        <v>0</v>
      </c>
      <c r="V72" s="219">
        <v>0</v>
      </c>
      <c r="W72" s="219">
        <v>0</v>
      </c>
      <c r="X72" s="219">
        <v>0</v>
      </c>
      <c r="Y72" s="219">
        <v>0</v>
      </c>
      <c r="Z72" s="219">
        <v>0</v>
      </c>
      <c r="AA72" s="219">
        <v>0</v>
      </c>
      <c r="AB72" s="219">
        <v>0</v>
      </c>
      <c r="AC72" s="219">
        <v>0</v>
      </c>
      <c r="AD72" s="219">
        <v>0</v>
      </c>
      <c r="AE72" s="219">
        <v>0</v>
      </c>
      <c r="AF72" s="219">
        <v>0</v>
      </c>
      <c r="AG72" s="219">
        <v>0</v>
      </c>
      <c r="AH72" s="219">
        <v>0</v>
      </c>
      <c r="AI72" s="219">
        <v>0</v>
      </c>
      <c r="AJ72" s="219">
        <v>0</v>
      </c>
      <c r="AK72" s="219">
        <v>0</v>
      </c>
      <c r="AL72" s="219">
        <v>0</v>
      </c>
      <c r="AM72" s="219">
        <f>MCC_M_RUVY_matrices_mat_level!AJ138*MCC_h_RUVY_matrices_mat_level!AJ137 /MCC_MW_RUVY_matrices_mat_level!AM71</f>
        <v>0</v>
      </c>
      <c r="AN72" s="219">
        <f>MCC_M_RUVY_matrices_mat_level!AK138*MCC_h_RUVY_matrices_mat_level!AK137 /MCC_MW_RUVY_matrices_mat_level!AN71</f>
        <v>-2788514.0257371739</v>
      </c>
      <c r="AO72" s="219">
        <f>MCC_M_RUVY_matrices_mat_level!AL138*MCC_h_RUVY_matrices_mat_level!AL137 /MCC_MW_RUVY_matrices_mat_level!AO71</f>
        <v>-177387.6603372262</v>
      </c>
      <c r="AP72" s="287">
        <f t="shared" si="3"/>
        <v>-2965901.6860743999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452" t="s">
        <v>396</v>
      </c>
      <c r="G73" s="452"/>
      <c r="H73" s="452"/>
      <c r="I73" s="452"/>
      <c r="J73" s="452"/>
      <c r="K73" s="452"/>
      <c r="L73" s="452"/>
      <c r="M73" s="452"/>
      <c r="N73" s="452"/>
      <c r="O73" s="452"/>
      <c r="P73" s="452"/>
      <c r="Q73" s="452"/>
      <c r="R73" s="452"/>
      <c r="S73" s="452"/>
      <c r="T73" s="452"/>
      <c r="U73" s="452"/>
      <c r="V73" s="452"/>
      <c r="W73" s="452"/>
      <c r="X73" s="452"/>
      <c r="Y73" s="452"/>
      <c r="Z73" s="452"/>
      <c r="AA73" s="452"/>
      <c r="AB73" s="452"/>
      <c r="AC73" s="452"/>
      <c r="AD73" s="452"/>
      <c r="AE73" s="452"/>
      <c r="AF73" s="452"/>
      <c r="AG73" s="452"/>
      <c r="AH73" s="452"/>
      <c r="AI73" s="452"/>
      <c r="AJ73" s="452"/>
      <c r="AK73" s="452"/>
      <c r="AL73" s="452"/>
      <c r="AM73" s="452"/>
      <c r="AN73" s="452"/>
      <c r="AO73" s="452"/>
      <c r="AP73" s="322" t="s">
        <v>432</v>
      </c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287">
        <f>SUM(F58:F72)</f>
        <v>0</v>
      </c>
      <c r="G74" s="287">
        <f t="shared" ref="G74:AO74" si="4">SUM(G58:G72)</f>
        <v>0</v>
      </c>
      <c r="H74" s="287">
        <f t="shared" si="4"/>
        <v>0</v>
      </c>
      <c r="I74" s="287">
        <f t="shared" si="4"/>
        <v>0</v>
      </c>
      <c r="J74" s="287">
        <f t="shared" si="4"/>
        <v>0</v>
      </c>
      <c r="K74" s="287">
        <f t="shared" si="4"/>
        <v>0</v>
      </c>
      <c r="L74" s="287">
        <f t="shared" si="4"/>
        <v>0</v>
      </c>
      <c r="M74" s="287">
        <f t="shared" si="4"/>
        <v>0</v>
      </c>
      <c r="N74" s="287">
        <f t="shared" si="4"/>
        <v>0</v>
      </c>
      <c r="O74" s="287">
        <f t="shared" si="4"/>
        <v>-1777985.4355511186</v>
      </c>
      <c r="P74" s="287">
        <f t="shared" si="4"/>
        <v>-35429.897676176748</v>
      </c>
      <c r="Q74" s="287">
        <f t="shared" si="4"/>
        <v>-1359457.7959575919</v>
      </c>
      <c r="R74" s="287">
        <f t="shared" si="4"/>
        <v>-106.02767886152715</v>
      </c>
      <c r="S74" s="287">
        <f t="shared" si="4"/>
        <v>-112.78165025676648</v>
      </c>
      <c r="T74" s="287">
        <f t="shared" si="4"/>
        <v>-8771.8572366008211</v>
      </c>
      <c r="U74" s="287">
        <f t="shared" si="4"/>
        <v>-1777985.4355511186</v>
      </c>
      <c r="V74" s="287">
        <f t="shared" si="4"/>
        <v>-1359457.7959575919</v>
      </c>
      <c r="W74" s="287">
        <f t="shared" si="4"/>
        <v>-112.78165025676648</v>
      </c>
      <c r="X74" s="287">
        <f t="shared" si="4"/>
        <v>-3797055.1820632704</v>
      </c>
      <c r="Y74" s="287">
        <f t="shared" si="4"/>
        <v>-66021.418271669754</v>
      </c>
      <c r="Z74" s="287">
        <f t="shared" si="4"/>
        <v>-1359457.7959575919</v>
      </c>
      <c r="AA74" s="287">
        <f t="shared" si="4"/>
        <v>-112.78165025676648</v>
      </c>
      <c r="AB74" s="287">
        <f t="shared" si="4"/>
        <v>-1256817.6045988721</v>
      </c>
      <c r="AC74" s="287">
        <f t="shared" si="4"/>
        <v>-74404.460335125405</v>
      </c>
      <c r="AD74" s="287">
        <f t="shared" si="4"/>
        <v>-1082643.9792420177</v>
      </c>
      <c r="AE74" s="287">
        <f t="shared" si="4"/>
        <v>6114656.4031687425</v>
      </c>
      <c r="AF74" s="287">
        <f t="shared" si="4"/>
        <v>-13740.19434752778</v>
      </c>
      <c r="AG74" s="287">
        <f t="shared" si="4"/>
        <v>-3677.1587424372706</v>
      </c>
      <c r="AH74" s="287">
        <f t="shared" si="4"/>
        <v>-12527.870530226932</v>
      </c>
      <c r="AI74" s="287">
        <f t="shared" si="4"/>
        <v>-3678478.5848042481</v>
      </c>
      <c r="AJ74" s="287">
        <f t="shared" si="4"/>
        <v>-13104.628581498642</v>
      </c>
      <c r="AK74" s="287">
        <f t="shared" si="4"/>
        <v>-13104.628581498642</v>
      </c>
      <c r="AL74" s="287">
        <f t="shared" si="4"/>
        <v>23907.404496491064</v>
      </c>
      <c r="AM74" s="287">
        <f t="shared" si="4"/>
        <v>0</v>
      </c>
      <c r="AN74" s="287">
        <f t="shared" si="4"/>
        <v>-2788514.0257371739</v>
      </c>
      <c r="AO74" s="287">
        <f t="shared" si="4"/>
        <v>-177387.6603372262</v>
      </c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452" t="s">
        <v>433</v>
      </c>
      <c r="G75" s="452"/>
      <c r="H75" s="452"/>
      <c r="I75" s="452"/>
      <c r="J75" s="452"/>
      <c r="K75" s="452"/>
      <c r="L75" s="452"/>
      <c r="M75" s="452"/>
      <c r="N75" s="452"/>
      <c r="O75" s="452"/>
      <c r="P75" s="452"/>
      <c r="Q75" s="452"/>
      <c r="R75" s="452"/>
      <c r="S75" s="452"/>
      <c r="T75" s="452"/>
      <c r="U75" s="452"/>
      <c r="V75" s="452"/>
      <c r="W75" s="452"/>
      <c r="X75" s="452"/>
      <c r="Y75" s="452"/>
      <c r="Z75" s="452"/>
      <c r="AA75" s="452"/>
      <c r="AB75" s="452"/>
      <c r="AC75" s="452"/>
      <c r="AD75" s="452"/>
      <c r="AE75" s="452"/>
      <c r="AF75" s="452"/>
      <c r="AG75" s="452"/>
      <c r="AH75" s="452"/>
      <c r="AI75" s="452"/>
      <c r="AJ75" s="452"/>
      <c r="AK75" s="452"/>
      <c r="AL75" s="452"/>
      <c r="AM75" s="452"/>
      <c r="AN75" s="452"/>
      <c r="AO75" s="452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x14ac:dyDescent="0.2">
      <c r="E83" s="286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ht="236" x14ac:dyDescent="0.2">
      <c r="E84" s="286"/>
      <c r="F84" s="332" t="s">
        <v>400</v>
      </c>
      <c r="G84" s="332" t="s">
        <v>402</v>
      </c>
      <c r="H84" s="332" t="s">
        <v>403</v>
      </c>
      <c r="I84" s="332" t="s">
        <v>422</v>
      </c>
      <c r="J84" s="332" t="s">
        <v>444</v>
      </c>
      <c r="K84" s="332" t="s">
        <v>533</v>
      </c>
      <c r="L84" s="332" t="s">
        <v>534</v>
      </c>
      <c r="M84" s="332" t="s">
        <v>478</v>
      </c>
      <c r="N84" s="332" t="s">
        <v>526</v>
      </c>
      <c r="O84" s="331" t="s">
        <v>509</v>
      </c>
      <c r="P84" s="332" t="s">
        <v>476</v>
      </c>
      <c r="Q84" s="331" t="s">
        <v>479</v>
      </c>
      <c r="R84" s="332" t="s">
        <v>504</v>
      </c>
      <c r="S84" s="202" t="s">
        <v>497</v>
      </c>
      <c r="T84" s="332" t="s">
        <v>483</v>
      </c>
      <c r="U84" s="331" t="s">
        <v>508</v>
      </c>
      <c r="V84" s="331" t="s">
        <v>503</v>
      </c>
      <c r="W84" s="331" t="s">
        <v>500</v>
      </c>
      <c r="X84" s="331" t="s">
        <v>506</v>
      </c>
      <c r="Y84" s="202" t="s">
        <v>505</v>
      </c>
      <c r="Z84" s="202" t="s">
        <v>491</v>
      </c>
      <c r="AA84" s="202" t="s">
        <v>523</v>
      </c>
      <c r="AB84" s="202" t="s">
        <v>492</v>
      </c>
      <c r="AC84" s="202" t="s">
        <v>494</v>
      </c>
      <c r="AD84" s="202" t="s">
        <v>493</v>
      </c>
      <c r="AE84" s="202" t="s">
        <v>551</v>
      </c>
      <c r="AF84" s="220" t="s">
        <v>489</v>
      </c>
      <c r="AG84" s="220" t="s">
        <v>619</v>
      </c>
      <c r="AH84" s="202" t="s">
        <v>488</v>
      </c>
      <c r="AI84" s="332" t="s">
        <v>490</v>
      </c>
      <c r="AJ84" s="202" t="s">
        <v>582</v>
      </c>
      <c r="AK84" s="202" t="s">
        <v>584</v>
      </c>
      <c r="AL84" s="202" t="s">
        <v>512</v>
      </c>
      <c r="AM84" s="202" t="s">
        <v>513</v>
      </c>
      <c r="AN84" s="202" t="s">
        <v>514</v>
      </c>
      <c r="AO84" s="202" t="s">
        <v>524</v>
      </c>
      <c r="AP84" s="202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x14ac:dyDescent="0.2">
      <c r="E85" s="286" t="s">
        <v>399</v>
      </c>
      <c r="F85" s="334">
        <f>MCC_M_RUVY_matrices_mat_level!C153*MCC_h_RUVY_matrices_mat_level!C152 / MCC_MW_RUVY_matrices_mat_level!F84</f>
        <v>-1777985.4355511186</v>
      </c>
      <c r="G85" s="334">
        <v>0</v>
      </c>
      <c r="H85" s="334">
        <v>0</v>
      </c>
      <c r="I85" s="334">
        <v>0</v>
      </c>
      <c r="J85" s="334">
        <v>0</v>
      </c>
      <c r="K85" s="334">
        <v>0</v>
      </c>
      <c r="L85" s="334">
        <v>0</v>
      </c>
      <c r="M85" s="334">
        <v>0</v>
      </c>
      <c r="N85" s="334">
        <v>0</v>
      </c>
      <c r="O85" s="334">
        <v>0</v>
      </c>
      <c r="P85" s="334">
        <v>0</v>
      </c>
      <c r="Q85" s="334">
        <v>0</v>
      </c>
      <c r="R85" s="334">
        <v>0</v>
      </c>
      <c r="S85" s="334">
        <v>0</v>
      </c>
      <c r="T85" s="334">
        <v>0</v>
      </c>
      <c r="U85" s="334">
        <v>0</v>
      </c>
      <c r="V85" s="334">
        <v>0</v>
      </c>
      <c r="W85" s="334">
        <v>0</v>
      </c>
      <c r="X85" s="334">
        <v>0</v>
      </c>
      <c r="Y85" s="334">
        <v>0</v>
      </c>
      <c r="Z85" s="334">
        <v>0</v>
      </c>
      <c r="AA85" s="334">
        <v>0</v>
      </c>
      <c r="AB85" s="334">
        <v>0</v>
      </c>
      <c r="AC85" s="334">
        <v>0</v>
      </c>
      <c r="AD85" s="334">
        <v>0</v>
      </c>
      <c r="AE85" s="334">
        <v>0</v>
      </c>
      <c r="AF85" s="334">
        <v>0</v>
      </c>
      <c r="AG85" s="334">
        <v>0</v>
      </c>
      <c r="AH85" s="334">
        <v>0</v>
      </c>
      <c r="AI85" s="334">
        <v>0</v>
      </c>
      <c r="AJ85" s="334">
        <v>0</v>
      </c>
      <c r="AK85" s="334">
        <v>0</v>
      </c>
      <c r="AL85" s="334">
        <v>0</v>
      </c>
      <c r="AM85" s="334">
        <v>0</v>
      </c>
      <c r="AN85" s="334">
        <v>0</v>
      </c>
      <c r="AO85" s="334">
        <v>0</v>
      </c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ht="16" x14ac:dyDescent="0.2">
      <c r="E86" s="318" t="s">
        <v>480</v>
      </c>
      <c r="F86" s="334">
        <v>0</v>
      </c>
      <c r="G86" s="334">
        <f>MCC_M_RUVY_matrices_mat_level!D154*MCC_h_RUVY_matrices_mat_level!D153 / MCC_MW_RUVY_matrices_mat_level!G85</f>
        <v>-1359457.7959575919</v>
      </c>
      <c r="H86" s="334">
        <v>0</v>
      </c>
      <c r="I86" s="334">
        <v>0</v>
      </c>
      <c r="J86" s="334">
        <v>0</v>
      </c>
      <c r="K86" s="334">
        <v>0</v>
      </c>
      <c r="L86" s="334">
        <v>0</v>
      </c>
      <c r="M86" s="334">
        <v>0</v>
      </c>
      <c r="N86" s="334">
        <v>0</v>
      </c>
      <c r="O86" s="334">
        <v>0</v>
      </c>
      <c r="P86" s="334">
        <v>0</v>
      </c>
      <c r="Q86" s="334">
        <v>0</v>
      </c>
      <c r="R86" s="334">
        <v>0</v>
      </c>
      <c r="S86" s="334">
        <v>0</v>
      </c>
      <c r="T86" s="334">
        <v>0</v>
      </c>
      <c r="U86" s="334">
        <v>0</v>
      </c>
      <c r="V86" s="334">
        <v>0</v>
      </c>
      <c r="W86" s="334">
        <v>0</v>
      </c>
      <c r="X86" s="334">
        <v>0</v>
      </c>
      <c r="Y86" s="334">
        <v>0</v>
      </c>
      <c r="Z86" s="334">
        <v>0</v>
      </c>
      <c r="AA86" s="334">
        <v>0</v>
      </c>
      <c r="AB86" s="334">
        <v>0</v>
      </c>
      <c r="AC86" s="334">
        <v>0</v>
      </c>
      <c r="AD86" s="334">
        <v>0</v>
      </c>
      <c r="AE86" s="334">
        <v>0</v>
      </c>
      <c r="AF86" s="334">
        <v>0</v>
      </c>
      <c r="AG86" s="334">
        <v>0</v>
      </c>
      <c r="AH86" s="334">
        <v>0</v>
      </c>
      <c r="AI86" s="334">
        <v>0</v>
      </c>
      <c r="AJ86" s="334">
        <v>0</v>
      </c>
      <c r="AK86" s="334">
        <v>0</v>
      </c>
      <c r="AL86" s="334">
        <v>0</v>
      </c>
      <c r="AM86" s="334">
        <v>0</v>
      </c>
      <c r="AN86" s="334">
        <v>0</v>
      </c>
      <c r="AO86" s="334">
        <v>0</v>
      </c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199" t="s">
        <v>423</v>
      </c>
      <c r="F87" s="334">
        <v>0</v>
      </c>
      <c r="G87" s="334">
        <v>0</v>
      </c>
      <c r="H87" s="334">
        <f>MCC_M_RUVY_matrices_mat_level!E155*MCC_h_RUVY_matrices_mat_level!E154 / MCC_MW_RUVY_matrices_mat_level!H86</f>
        <v>9126570.1860198174</v>
      </c>
      <c r="I87" s="334">
        <v>0</v>
      </c>
      <c r="J87" s="334">
        <v>0</v>
      </c>
      <c r="K87" s="334">
        <v>0</v>
      </c>
      <c r="L87" s="334">
        <v>0</v>
      </c>
      <c r="M87" s="334">
        <v>0</v>
      </c>
      <c r="N87" s="334">
        <v>0</v>
      </c>
      <c r="O87" s="334">
        <v>0</v>
      </c>
      <c r="P87" s="334">
        <v>0</v>
      </c>
      <c r="Q87" s="334">
        <v>0</v>
      </c>
      <c r="R87" s="334">
        <v>0</v>
      </c>
      <c r="S87" s="334">
        <v>0</v>
      </c>
      <c r="T87" s="334">
        <v>0</v>
      </c>
      <c r="U87" s="334">
        <v>0</v>
      </c>
      <c r="V87" s="334">
        <v>0</v>
      </c>
      <c r="W87" s="334">
        <v>0</v>
      </c>
      <c r="X87" s="334">
        <v>0</v>
      </c>
      <c r="Y87" s="334">
        <v>0</v>
      </c>
      <c r="Z87" s="334">
        <v>0</v>
      </c>
      <c r="AA87" s="334">
        <v>0</v>
      </c>
      <c r="AB87" s="334">
        <v>0</v>
      </c>
      <c r="AC87" s="334">
        <v>0</v>
      </c>
      <c r="AD87" s="334">
        <v>0</v>
      </c>
      <c r="AE87" s="334">
        <v>0</v>
      </c>
      <c r="AF87" s="334">
        <v>0</v>
      </c>
      <c r="AG87" s="334">
        <v>0</v>
      </c>
      <c r="AH87" s="334">
        <v>0</v>
      </c>
      <c r="AI87" s="334">
        <v>0</v>
      </c>
      <c r="AJ87" s="334">
        <v>0</v>
      </c>
      <c r="AK87" s="334">
        <v>0</v>
      </c>
      <c r="AL87" s="334">
        <v>0</v>
      </c>
      <c r="AM87" s="334">
        <v>0</v>
      </c>
      <c r="AN87" s="334">
        <v>0</v>
      </c>
      <c r="AO87" s="334">
        <v>0</v>
      </c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x14ac:dyDescent="0.2">
      <c r="E88" s="286" t="s">
        <v>447</v>
      </c>
      <c r="F88" s="334">
        <v>0</v>
      </c>
      <c r="G88" s="334">
        <v>0</v>
      </c>
      <c r="H88" s="334">
        <v>0</v>
      </c>
      <c r="I88" s="334">
        <f>MCC_M_RUVY_matrices_mat_level!F156*MCC_h_RUVY_matrices_mat_level!F155 / MCC_MW_RUVY_matrices_mat_level!I87</f>
        <v>0</v>
      </c>
      <c r="J88" s="334">
        <v>0</v>
      </c>
      <c r="K88" s="334">
        <v>0</v>
      </c>
      <c r="L88" s="334">
        <v>0</v>
      </c>
      <c r="M88" s="334">
        <v>0</v>
      </c>
      <c r="N88" s="334">
        <v>0</v>
      </c>
      <c r="O88" s="334">
        <v>0</v>
      </c>
      <c r="P88" s="334">
        <v>0</v>
      </c>
      <c r="Q88" s="334">
        <v>0</v>
      </c>
      <c r="R88" s="334">
        <v>0</v>
      </c>
      <c r="S88" s="334">
        <v>0</v>
      </c>
      <c r="T88" s="334">
        <v>0</v>
      </c>
      <c r="U88" s="334">
        <v>0</v>
      </c>
      <c r="V88" s="334">
        <v>0</v>
      </c>
      <c r="W88" s="334">
        <v>0</v>
      </c>
      <c r="X88" s="334">
        <v>0</v>
      </c>
      <c r="Y88" s="334">
        <v>0</v>
      </c>
      <c r="Z88" s="334">
        <v>0</v>
      </c>
      <c r="AA88" s="334">
        <v>0</v>
      </c>
      <c r="AB88" s="334">
        <v>0</v>
      </c>
      <c r="AC88" s="334">
        <v>0</v>
      </c>
      <c r="AD88" s="334">
        <v>0</v>
      </c>
      <c r="AE88" s="334">
        <v>0</v>
      </c>
      <c r="AF88" s="334">
        <v>0</v>
      </c>
      <c r="AG88" s="334">
        <v>0</v>
      </c>
      <c r="AH88" s="334">
        <v>0</v>
      </c>
      <c r="AI88" s="334">
        <v>0</v>
      </c>
      <c r="AJ88" s="334">
        <v>0</v>
      </c>
      <c r="AK88" s="334">
        <v>0</v>
      </c>
      <c r="AL88" s="334">
        <v>0</v>
      </c>
      <c r="AM88" s="334">
        <v>0</v>
      </c>
      <c r="AN88" s="334">
        <v>0</v>
      </c>
      <c r="AO88" s="334">
        <v>0</v>
      </c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443</v>
      </c>
      <c r="F89" s="334">
        <v>0</v>
      </c>
      <c r="G89" s="334">
        <v>0</v>
      </c>
      <c r="H89" s="334">
        <v>0</v>
      </c>
      <c r="I89" s="334">
        <v>0</v>
      </c>
      <c r="J89" s="334">
        <f>MCC_M_RUVY_matrices_mat_level!G157*MCC_h_RUVY_matrices_mat_level!G156 / MCC_MW_RUVY_matrices_mat_level!J88</f>
        <v>-1333105.1092348634</v>
      </c>
      <c r="K89" s="334">
        <v>0</v>
      </c>
      <c r="L89" s="334">
        <v>0</v>
      </c>
      <c r="M89" s="334">
        <v>0</v>
      </c>
      <c r="N89" s="334">
        <v>0</v>
      </c>
      <c r="O89" s="334">
        <v>0</v>
      </c>
      <c r="P89" s="334">
        <v>0</v>
      </c>
      <c r="Q89" s="334">
        <v>0</v>
      </c>
      <c r="R89" s="334">
        <v>0</v>
      </c>
      <c r="S89" s="334">
        <v>0</v>
      </c>
      <c r="T89" s="334">
        <v>0</v>
      </c>
      <c r="U89" s="334">
        <v>0</v>
      </c>
      <c r="V89" s="334">
        <v>0</v>
      </c>
      <c r="W89" s="334">
        <v>0</v>
      </c>
      <c r="X89" s="334">
        <v>0</v>
      </c>
      <c r="Y89" s="334">
        <v>0</v>
      </c>
      <c r="Z89" s="334">
        <v>0</v>
      </c>
      <c r="AA89" s="334">
        <v>0</v>
      </c>
      <c r="AB89" s="334">
        <v>0</v>
      </c>
      <c r="AC89" s="334">
        <v>0</v>
      </c>
      <c r="AD89" s="334">
        <v>0</v>
      </c>
      <c r="AE89" s="334">
        <v>0</v>
      </c>
      <c r="AF89" s="334">
        <v>0</v>
      </c>
      <c r="AG89" s="334">
        <v>0</v>
      </c>
      <c r="AH89" s="334">
        <v>0</v>
      </c>
      <c r="AI89" s="334">
        <v>0</v>
      </c>
      <c r="AJ89" s="334">
        <v>0</v>
      </c>
      <c r="AK89" s="334">
        <v>0</v>
      </c>
      <c r="AL89" s="334">
        <v>0</v>
      </c>
      <c r="AM89" s="334">
        <v>0</v>
      </c>
      <c r="AN89" s="334">
        <v>0</v>
      </c>
      <c r="AO89" s="334">
        <v>0</v>
      </c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536</v>
      </c>
      <c r="F90" s="334">
        <v>0</v>
      </c>
      <c r="G90" s="334">
        <v>0</v>
      </c>
      <c r="H90" s="334">
        <v>0</v>
      </c>
      <c r="I90" s="334">
        <v>0</v>
      </c>
      <c r="J90" s="334">
        <v>0</v>
      </c>
      <c r="K90" s="334">
        <f>MCC_M_RUVY_matrices_mat_level!H158*MCC_h_RUVY_matrices_mat_level!H157 / MCC_MW_RUVY_matrices_mat_level!K89</f>
        <v>110229.37028964539</v>
      </c>
      <c r="L90" s="334">
        <v>0</v>
      </c>
      <c r="M90" s="334">
        <v>0</v>
      </c>
      <c r="N90" s="334">
        <v>0</v>
      </c>
      <c r="O90" s="334">
        <v>0</v>
      </c>
      <c r="P90" s="334">
        <v>0</v>
      </c>
      <c r="Q90" s="334">
        <v>0</v>
      </c>
      <c r="R90" s="334">
        <v>0</v>
      </c>
      <c r="S90" s="334">
        <v>0</v>
      </c>
      <c r="T90" s="334">
        <v>0</v>
      </c>
      <c r="U90" s="334">
        <v>0</v>
      </c>
      <c r="V90" s="334">
        <v>0</v>
      </c>
      <c r="W90" s="334">
        <v>0</v>
      </c>
      <c r="X90" s="334">
        <v>0</v>
      </c>
      <c r="Y90" s="334">
        <v>0</v>
      </c>
      <c r="Z90" s="334">
        <v>0</v>
      </c>
      <c r="AA90" s="334">
        <v>0</v>
      </c>
      <c r="AB90" s="334">
        <v>0</v>
      </c>
      <c r="AC90" s="334">
        <v>0</v>
      </c>
      <c r="AD90" s="334">
        <v>0</v>
      </c>
      <c r="AE90" s="334">
        <v>0</v>
      </c>
      <c r="AF90" s="334">
        <v>0</v>
      </c>
      <c r="AG90" s="334">
        <v>0</v>
      </c>
      <c r="AH90" s="334">
        <v>0</v>
      </c>
      <c r="AI90" s="334">
        <v>0</v>
      </c>
      <c r="AJ90" s="334">
        <v>0</v>
      </c>
      <c r="AK90" s="334">
        <v>0</v>
      </c>
      <c r="AL90" s="334">
        <v>0</v>
      </c>
      <c r="AM90" s="334">
        <v>0</v>
      </c>
      <c r="AN90" s="334">
        <v>0</v>
      </c>
      <c r="AO90" s="334">
        <v>0</v>
      </c>
      <c r="AP90" s="131"/>
      <c r="AQ90" s="131"/>
      <c r="AR90" s="131"/>
      <c r="AS90" s="131"/>
      <c r="AT90" s="220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535</v>
      </c>
      <c r="F91" s="334">
        <v>0</v>
      </c>
      <c r="G91" s="334">
        <v>0</v>
      </c>
      <c r="H91" s="334">
        <v>0</v>
      </c>
      <c r="I91" s="334">
        <v>0</v>
      </c>
      <c r="J91" s="334">
        <v>0</v>
      </c>
      <c r="K91" s="334">
        <v>0</v>
      </c>
      <c r="L91" s="334">
        <f>MCC_M_RUVY_matrices_mat_level!I159*MCC_h_RUVY_matrices_mat_level!I158 / MCC_MW_RUVY_matrices_mat_level!L90</f>
        <v>-1.1322425723331082</v>
      </c>
      <c r="M91" s="334">
        <v>0</v>
      </c>
      <c r="N91" s="334">
        <v>0</v>
      </c>
      <c r="O91" s="334">
        <v>0</v>
      </c>
      <c r="P91" s="334">
        <v>0</v>
      </c>
      <c r="Q91" s="334">
        <v>0</v>
      </c>
      <c r="R91" s="334">
        <v>0</v>
      </c>
      <c r="S91" s="334">
        <v>0</v>
      </c>
      <c r="T91" s="334">
        <v>0</v>
      </c>
      <c r="U91" s="334">
        <v>0</v>
      </c>
      <c r="V91" s="334">
        <v>0</v>
      </c>
      <c r="W91" s="334">
        <v>0</v>
      </c>
      <c r="X91" s="334">
        <v>0</v>
      </c>
      <c r="Y91" s="334">
        <v>0</v>
      </c>
      <c r="Z91" s="334">
        <v>0</v>
      </c>
      <c r="AA91" s="334">
        <v>0</v>
      </c>
      <c r="AB91" s="334">
        <v>0</v>
      </c>
      <c r="AC91" s="334">
        <v>0</v>
      </c>
      <c r="AD91" s="334">
        <v>0</v>
      </c>
      <c r="AE91" s="334">
        <v>0</v>
      </c>
      <c r="AF91" s="334">
        <v>0</v>
      </c>
      <c r="AG91" s="334">
        <v>0</v>
      </c>
      <c r="AH91" s="334">
        <v>0</v>
      </c>
      <c r="AI91" s="334">
        <v>0</v>
      </c>
      <c r="AJ91" s="334">
        <v>0</v>
      </c>
      <c r="AK91" s="334">
        <v>0</v>
      </c>
      <c r="AL91" s="334">
        <v>0</v>
      </c>
      <c r="AM91" s="334">
        <v>0</v>
      </c>
      <c r="AN91" s="334">
        <v>0</v>
      </c>
      <c r="AO91" s="334">
        <v>0</v>
      </c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477</v>
      </c>
      <c r="F92" s="334">
        <v>0</v>
      </c>
      <c r="G92" s="334">
        <v>0</v>
      </c>
      <c r="H92" s="334">
        <v>0</v>
      </c>
      <c r="I92" s="334">
        <v>0</v>
      </c>
      <c r="J92" s="334">
        <v>0</v>
      </c>
      <c r="K92" s="334">
        <v>0</v>
      </c>
      <c r="L92" s="334">
        <v>0</v>
      </c>
      <c r="M92" s="334">
        <f>MCC_M_RUVY_matrices_mat_level!J160*MCC_h_RUVY_matrices_mat_level!J159 / MCC_MW_RUVY_matrices_mat_level!M91</f>
        <v>194131.36779323625</v>
      </c>
      <c r="N92" s="334">
        <v>0</v>
      </c>
      <c r="O92" s="334">
        <v>0</v>
      </c>
      <c r="P92" s="334">
        <v>0</v>
      </c>
      <c r="Q92" s="334">
        <v>0</v>
      </c>
      <c r="R92" s="334">
        <v>0</v>
      </c>
      <c r="S92" s="334">
        <v>0</v>
      </c>
      <c r="T92" s="334">
        <v>0</v>
      </c>
      <c r="U92" s="334">
        <v>0</v>
      </c>
      <c r="V92" s="334">
        <v>0</v>
      </c>
      <c r="W92" s="334">
        <v>0</v>
      </c>
      <c r="X92" s="334">
        <v>0</v>
      </c>
      <c r="Y92" s="334">
        <v>0</v>
      </c>
      <c r="Z92" s="334">
        <v>0</v>
      </c>
      <c r="AA92" s="334">
        <v>0</v>
      </c>
      <c r="AB92" s="334">
        <v>0</v>
      </c>
      <c r="AC92" s="334">
        <v>0</v>
      </c>
      <c r="AD92" s="334">
        <v>0</v>
      </c>
      <c r="AE92" s="334">
        <v>0</v>
      </c>
      <c r="AF92" s="334">
        <v>0</v>
      </c>
      <c r="AG92" s="334">
        <v>0</v>
      </c>
      <c r="AH92" s="334">
        <v>0</v>
      </c>
      <c r="AI92" s="334">
        <v>0</v>
      </c>
      <c r="AJ92" s="334">
        <v>0</v>
      </c>
      <c r="AK92" s="334">
        <v>0</v>
      </c>
      <c r="AL92" s="334">
        <v>0</v>
      </c>
      <c r="AM92" s="334">
        <v>0</v>
      </c>
      <c r="AN92" s="334">
        <v>0</v>
      </c>
      <c r="AO92" s="334">
        <v>0</v>
      </c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286" t="s">
        <v>525</v>
      </c>
      <c r="F93" s="334">
        <v>0</v>
      </c>
      <c r="G93" s="334">
        <v>0</v>
      </c>
      <c r="H93" s="334">
        <v>0</v>
      </c>
      <c r="I93" s="334">
        <v>0</v>
      </c>
      <c r="J93" s="334">
        <v>0</v>
      </c>
      <c r="K93" s="334">
        <v>0</v>
      </c>
      <c r="L93" s="334">
        <v>0</v>
      </c>
      <c r="M93" s="334">
        <v>0</v>
      </c>
      <c r="N93" s="334">
        <v>0</v>
      </c>
      <c r="O93" s="334">
        <v>0</v>
      </c>
      <c r="P93" s="334">
        <v>0</v>
      </c>
      <c r="Q93" s="334">
        <v>0</v>
      </c>
      <c r="R93" s="334">
        <v>0</v>
      </c>
      <c r="S93" s="334">
        <v>0</v>
      </c>
      <c r="T93" s="334">
        <v>0</v>
      </c>
      <c r="U93" s="334">
        <v>0</v>
      </c>
      <c r="V93" s="334">
        <v>0</v>
      </c>
      <c r="W93" s="334">
        <v>0</v>
      </c>
      <c r="X93" s="334">
        <v>0</v>
      </c>
      <c r="Y93" s="334">
        <v>0</v>
      </c>
      <c r="Z93" s="334">
        <v>0</v>
      </c>
      <c r="AA93" s="334">
        <v>0</v>
      </c>
      <c r="AB93" s="334">
        <v>0</v>
      </c>
      <c r="AC93" s="334">
        <v>0</v>
      </c>
      <c r="AD93" s="334">
        <v>0</v>
      </c>
      <c r="AE93" s="334">
        <v>0</v>
      </c>
      <c r="AF93" s="334">
        <v>0</v>
      </c>
      <c r="AG93" s="334">
        <v>0</v>
      </c>
      <c r="AH93" s="334">
        <v>0</v>
      </c>
      <c r="AI93" s="334">
        <v>0</v>
      </c>
      <c r="AJ93" s="334">
        <v>0</v>
      </c>
      <c r="AK93" s="334">
        <v>0</v>
      </c>
      <c r="AL93" s="334">
        <v>0</v>
      </c>
      <c r="AM93" s="334">
        <v>0</v>
      </c>
      <c r="AN93" s="334">
        <v>0</v>
      </c>
      <c r="AO93" s="334">
        <v>0</v>
      </c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452" t="s">
        <v>56</v>
      </c>
      <c r="G94" s="452"/>
      <c r="H94" s="452"/>
      <c r="I94" s="452"/>
      <c r="J94" s="452"/>
      <c r="K94" s="452"/>
      <c r="L94" s="452"/>
      <c r="M94" s="452"/>
      <c r="N94" s="452"/>
      <c r="O94" s="452"/>
      <c r="P94" s="452"/>
      <c r="Q94" s="452"/>
      <c r="R94" s="452"/>
      <c r="S94" s="452"/>
      <c r="T94" s="452"/>
      <c r="U94" s="452"/>
      <c r="V94" s="452"/>
      <c r="W94" s="452"/>
      <c r="X94" s="452"/>
      <c r="Y94" s="452"/>
      <c r="Z94" s="452"/>
      <c r="AA94" s="452"/>
      <c r="AB94" s="452"/>
      <c r="AC94" s="452"/>
      <c r="AD94" s="452"/>
      <c r="AE94" s="452"/>
      <c r="AF94" s="452"/>
      <c r="AG94" s="452"/>
      <c r="AH94" s="452"/>
      <c r="AI94" s="452"/>
      <c r="AJ94" s="452"/>
      <c r="AK94" s="452"/>
      <c r="AL94" s="452"/>
      <c r="AM94" s="452"/>
      <c r="AN94" s="452"/>
      <c r="AO94" s="452"/>
      <c r="AP94" s="322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  <row r="95" spans="5:67" x14ac:dyDescent="0.2">
      <c r="E95" s="131"/>
      <c r="F95" s="287">
        <f>SUM(F85:F93)</f>
        <v>-1777985.4355511186</v>
      </c>
      <c r="G95" s="287">
        <f t="shared" ref="G95:N95" si="5">SUM(G85:G93)</f>
        <v>-1359457.7959575919</v>
      </c>
      <c r="H95" s="287">
        <f t="shared" si="5"/>
        <v>9126570.1860198174</v>
      </c>
      <c r="I95" s="287">
        <f t="shared" si="5"/>
        <v>0</v>
      </c>
      <c r="J95" s="287">
        <f t="shared" si="5"/>
        <v>-1333105.1092348634</v>
      </c>
      <c r="K95" s="287">
        <f t="shared" si="5"/>
        <v>110229.37028964539</v>
      </c>
      <c r="L95" s="287">
        <f t="shared" si="5"/>
        <v>-1.1322425723331082</v>
      </c>
      <c r="M95" s="287">
        <f t="shared" si="5"/>
        <v>194131.36779323625</v>
      </c>
      <c r="N95" s="287">
        <f t="shared" si="5"/>
        <v>0</v>
      </c>
      <c r="O95" s="287">
        <v>0</v>
      </c>
      <c r="P95" s="287">
        <v>0</v>
      </c>
      <c r="Q95" s="287">
        <v>0</v>
      </c>
      <c r="R95" s="287">
        <v>0</v>
      </c>
      <c r="S95" s="287">
        <v>0</v>
      </c>
      <c r="T95" s="287">
        <v>0</v>
      </c>
      <c r="U95" s="287">
        <v>0</v>
      </c>
      <c r="V95" s="287">
        <v>0</v>
      </c>
      <c r="W95" s="287">
        <v>0</v>
      </c>
      <c r="X95" s="287">
        <v>0</v>
      </c>
      <c r="Y95" s="287">
        <v>0</v>
      </c>
      <c r="Z95" s="287">
        <v>0</v>
      </c>
      <c r="AA95" s="287">
        <v>0</v>
      </c>
      <c r="AB95" s="287">
        <v>0</v>
      </c>
      <c r="AC95" s="287">
        <v>0</v>
      </c>
      <c r="AD95" s="287">
        <v>0</v>
      </c>
      <c r="AE95" s="287">
        <v>0</v>
      </c>
      <c r="AF95" s="287">
        <v>0</v>
      </c>
      <c r="AG95" s="287">
        <v>0</v>
      </c>
      <c r="AH95" s="287">
        <v>0</v>
      </c>
      <c r="AI95" s="287">
        <v>0</v>
      </c>
      <c r="AJ95" s="287">
        <v>0</v>
      </c>
      <c r="AK95" s="287">
        <v>0</v>
      </c>
      <c r="AL95" s="287">
        <v>0</v>
      </c>
      <c r="AM95" s="287">
        <v>0</v>
      </c>
      <c r="AN95" s="287">
        <v>0</v>
      </c>
      <c r="AO95" s="287">
        <v>0</v>
      </c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</row>
    <row r="99" spans="5:14" x14ac:dyDescent="0.2">
      <c r="E99" s="3"/>
      <c r="F99" s="450" t="s">
        <v>579</v>
      </c>
      <c r="G99" s="450"/>
      <c r="H99" s="450"/>
      <c r="I99" s="450"/>
      <c r="J99" s="450"/>
      <c r="K99" s="450"/>
      <c r="L99" s="450"/>
      <c r="M99" s="450"/>
      <c r="N99" s="450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97" t="s">
        <v>400</v>
      </c>
      <c r="F102" s="238" cm="1">
        <f t="array" ref="F102:F137">TRANSPOSE(F95:AO95)</f>
        <v>-1777985.4355511186</v>
      </c>
      <c r="G102" s="3"/>
      <c r="H102" s="238" cm="1">
        <f t="array" ref="H102:H137">TRANSPOSE(F74:AO74)</f>
        <v>0</v>
      </c>
      <c r="I102" s="3"/>
      <c r="J102" s="238">
        <f t="shared" ref="J102:J137" si="6">BI18</f>
        <v>-1777985.4355511186</v>
      </c>
      <c r="K102" s="3"/>
      <c r="L102" s="238" cm="1">
        <f t="array" ref="L102:L137">BP18:BP53</f>
        <v>0</v>
      </c>
      <c r="M102" s="3"/>
      <c r="N102" s="281">
        <f>F102+H102-J102-L102</f>
        <v>0</v>
      </c>
    </row>
    <row r="103" spans="5:14" x14ac:dyDescent="0.2">
      <c r="E103" s="197" t="s">
        <v>402</v>
      </c>
      <c r="F103" s="238">
        <v>-1359457.7959575919</v>
      </c>
      <c r="G103" s="3"/>
      <c r="H103" s="238">
        <v>0</v>
      </c>
      <c r="I103" s="3"/>
      <c r="J103" s="238">
        <f t="shared" si="6"/>
        <v>-1359457.7959575919</v>
      </c>
      <c r="K103" s="3"/>
      <c r="L103" s="238">
        <v>0</v>
      </c>
      <c r="M103" s="3"/>
      <c r="N103" s="281">
        <f t="shared" ref="N103:N137" si="7">F103+H103-J103-L103</f>
        <v>0</v>
      </c>
    </row>
    <row r="104" spans="5:14" x14ac:dyDescent="0.2">
      <c r="E104" s="197" t="s">
        <v>403</v>
      </c>
      <c r="F104" s="238">
        <v>9126570.1860198174</v>
      </c>
      <c r="G104" s="3"/>
      <c r="H104" s="238">
        <v>0</v>
      </c>
      <c r="I104" s="3"/>
      <c r="J104" s="238">
        <f t="shared" si="6"/>
        <v>9126570.1860198174</v>
      </c>
      <c r="K104" s="3"/>
      <c r="L104" s="238">
        <v>0</v>
      </c>
      <c r="M104" s="3"/>
      <c r="N104" s="281">
        <f t="shared" si="7"/>
        <v>0</v>
      </c>
    </row>
    <row r="105" spans="5:14" x14ac:dyDescent="0.2">
      <c r="E105" s="197" t="s">
        <v>422</v>
      </c>
      <c r="F105" s="238">
        <v>0</v>
      </c>
      <c r="G105" s="3"/>
      <c r="H105" s="238">
        <v>0</v>
      </c>
      <c r="I105" s="3"/>
      <c r="J105" s="238">
        <f t="shared" si="6"/>
        <v>0</v>
      </c>
      <c r="K105" s="3"/>
      <c r="L105" s="238">
        <v>0</v>
      </c>
      <c r="M105" s="3"/>
      <c r="N105" s="281">
        <f t="shared" si="7"/>
        <v>0</v>
      </c>
    </row>
    <row r="106" spans="5:14" x14ac:dyDescent="0.2">
      <c r="E106" s="197" t="s">
        <v>444</v>
      </c>
      <c r="F106" s="238">
        <v>-1333105.1092348634</v>
      </c>
      <c r="G106" s="3"/>
      <c r="H106" s="238">
        <v>0</v>
      </c>
      <c r="I106" s="3"/>
      <c r="J106" s="238">
        <f t="shared" si="6"/>
        <v>-1333105.1092348634</v>
      </c>
      <c r="K106" s="3"/>
      <c r="L106" s="238">
        <v>0</v>
      </c>
      <c r="M106" s="3"/>
      <c r="N106" s="281">
        <f t="shared" si="7"/>
        <v>0</v>
      </c>
    </row>
    <row r="107" spans="5:14" x14ac:dyDescent="0.2">
      <c r="E107" s="197" t="s">
        <v>474</v>
      </c>
      <c r="F107" s="238">
        <v>110229.37028964539</v>
      </c>
      <c r="G107" s="3"/>
      <c r="H107" s="238">
        <v>0</v>
      </c>
      <c r="I107" s="3"/>
      <c r="J107" s="238">
        <f t="shared" si="6"/>
        <v>110229.37028964538</v>
      </c>
      <c r="K107" s="3"/>
      <c r="L107" s="238">
        <v>0</v>
      </c>
      <c r="M107" s="3"/>
      <c r="N107" s="281">
        <f>ROUND(F107+H107-J107-L107, 10)</f>
        <v>0</v>
      </c>
    </row>
    <row r="108" spans="5:14" x14ac:dyDescent="0.2">
      <c r="E108" s="197" t="s">
        <v>475</v>
      </c>
      <c r="F108" s="238">
        <v>-1.1322425723331082</v>
      </c>
      <c r="G108" s="3"/>
      <c r="H108" s="238">
        <v>0</v>
      </c>
      <c r="I108" s="3"/>
      <c r="J108" s="238">
        <f t="shared" si="6"/>
        <v>-1.1322425723331082</v>
      </c>
      <c r="K108" s="3"/>
      <c r="L108" s="238">
        <v>0</v>
      </c>
      <c r="M108" s="3"/>
      <c r="N108" s="281">
        <f t="shared" si="7"/>
        <v>0</v>
      </c>
    </row>
    <row r="109" spans="5:14" x14ac:dyDescent="0.2">
      <c r="E109" s="197" t="s">
        <v>478</v>
      </c>
      <c r="F109" s="238">
        <v>194131.36779323625</v>
      </c>
      <c r="G109" s="3"/>
      <c r="H109" s="238">
        <v>0</v>
      </c>
      <c r="I109" s="3"/>
      <c r="J109" s="238">
        <f t="shared" si="6"/>
        <v>194131.36779323625</v>
      </c>
      <c r="K109" s="3"/>
      <c r="L109" s="238">
        <v>0</v>
      </c>
      <c r="M109" s="3"/>
      <c r="N109" s="281">
        <f t="shared" si="7"/>
        <v>0</v>
      </c>
    </row>
    <row r="110" spans="5:14" x14ac:dyDescent="0.2">
      <c r="E110" s="197" t="s">
        <v>526</v>
      </c>
      <c r="F110" s="238">
        <v>0</v>
      </c>
      <c r="G110" s="3"/>
      <c r="H110" s="238">
        <v>0</v>
      </c>
      <c r="I110" s="3"/>
      <c r="J110" s="238">
        <f t="shared" si="6"/>
        <v>0</v>
      </c>
      <c r="K110" s="3"/>
      <c r="L110" s="238">
        <v>0</v>
      </c>
      <c r="M110" s="3"/>
      <c r="N110" s="281">
        <f t="shared" si="7"/>
        <v>0</v>
      </c>
    </row>
    <row r="111" spans="5:14" ht="16" x14ac:dyDescent="0.2">
      <c r="E111" s="198" t="s">
        <v>509</v>
      </c>
      <c r="F111" s="238">
        <v>0</v>
      </c>
      <c r="G111" s="3"/>
      <c r="H111" s="238">
        <v>-1777985.4355511186</v>
      </c>
      <c r="I111" s="3"/>
      <c r="J111" s="238">
        <f t="shared" si="6"/>
        <v>-1777985.4355511186</v>
      </c>
      <c r="K111" s="3"/>
      <c r="L111" s="238">
        <v>0</v>
      </c>
      <c r="M111" s="3"/>
      <c r="N111" s="281">
        <f t="shared" si="7"/>
        <v>0</v>
      </c>
    </row>
    <row r="112" spans="5:14" x14ac:dyDescent="0.2">
      <c r="E112" s="197" t="s">
        <v>476</v>
      </c>
      <c r="F112" s="238">
        <v>0</v>
      </c>
      <c r="G112" s="3"/>
      <c r="H112" s="238">
        <v>-35429.897676176748</v>
      </c>
      <c r="I112" s="3"/>
      <c r="J112" s="238">
        <f t="shared" si="6"/>
        <v>0</v>
      </c>
      <c r="K112" s="3"/>
      <c r="L112" s="238">
        <v>-35429.897676176748</v>
      </c>
      <c r="M112" s="3"/>
      <c r="N112" s="281">
        <f t="shared" si="7"/>
        <v>0</v>
      </c>
    </row>
    <row r="113" spans="5:14" ht="16" x14ac:dyDescent="0.2">
      <c r="E113" s="198" t="s">
        <v>479</v>
      </c>
      <c r="F113" s="238">
        <v>0</v>
      </c>
      <c r="G113" s="3"/>
      <c r="H113" s="238">
        <v>-1359457.7959575919</v>
      </c>
      <c r="I113" s="3"/>
      <c r="J113" s="238">
        <f t="shared" si="6"/>
        <v>-1359457.7959575919</v>
      </c>
      <c r="K113" s="3"/>
      <c r="L113" s="238">
        <v>0</v>
      </c>
      <c r="M113" s="3"/>
      <c r="N113" s="281">
        <f t="shared" si="7"/>
        <v>0</v>
      </c>
    </row>
    <row r="114" spans="5:14" x14ac:dyDescent="0.2">
      <c r="E114" s="197" t="s">
        <v>504</v>
      </c>
      <c r="F114" s="238">
        <v>0</v>
      </c>
      <c r="G114" s="3"/>
      <c r="H114" s="238">
        <v>-106.02767886152715</v>
      </c>
      <c r="I114" s="3"/>
      <c r="J114" s="238">
        <f t="shared" si="6"/>
        <v>0</v>
      </c>
      <c r="K114" s="3"/>
      <c r="L114" s="238">
        <v>-106.02767886152715</v>
      </c>
      <c r="M114" s="3"/>
      <c r="N114" s="281">
        <f t="shared" si="7"/>
        <v>0</v>
      </c>
    </row>
    <row r="115" spans="5:14" x14ac:dyDescent="0.2">
      <c r="E115" s="199" t="s">
        <v>497</v>
      </c>
      <c r="F115" s="238">
        <v>0</v>
      </c>
      <c r="G115" s="245" t="s">
        <v>438</v>
      </c>
      <c r="H115" s="238">
        <v>-112.78165025676648</v>
      </c>
      <c r="I115" s="165" t="s">
        <v>440</v>
      </c>
      <c r="J115" s="238">
        <f t="shared" si="6"/>
        <v>-112.78165025676648</v>
      </c>
      <c r="K115" s="165" t="s">
        <v>440</v>
      </c>
      <c r="L115" s="238">
        <v>0</v>
      </c>
      <c r="M115" s="245" t="s">
        <v>441</v>
      </c>
      <c r="N115" s="281">
        <f t="shared" si="7"/>
        <v>0</v>
      </c>
    </row>
    <row r="116" spans="5:14" x14ac:dyDescent="0.2">
      <c r="E116" s="197" t="s">
        <v>483</v>
      </c>
      <c r="F116" s="238">
        <v>0</v>
      </c>
      <c r="G116" s="3"/>
      <c r="H116" s="238">
        <v>-8771.8572366008211</v>
      </c>
      <c r="I116" s="3"/>
      <c r="J116" s="238">
        <f t="shared" si="6"/>
        <v>0</v>
      </c>
      <c r="K116" s="3"/>
      <c r="L116" s="238">
        <v>-8771.8572366008211</v>
      </c>
      <c r="M116" s="3"/>
      <c r="N116" s="281">
        <f t="shared" si="7"/>
        <v>0</v>
      </c>
    </row>
    <row r="117" spans="5:14" ht="16" x14ac:dyDescent="0.2">
      <c r="E117" s="198" t="s">
        <v>508</v>
      </c>
      <c r="F117" s="238">
        <v>0</v>
      </c>
      <c r="G117" s="3"/>
      <c r="H117" s="238">
        <v>-1777985.4355511186</v>
      </c>
      <c r="I117" s="3"/>
      <c r="J117" s="238">
        <f t="shared" si="6"/>
        <v>-1777985.4355511186</v>
      </c>
      <c r="K117" s="3"/>
      <c r="L117" s="238">
        <v>0</v>
      </c>
      <c r="M117" s="3"/>
      <c r="N117" s="281">
        <f t="shared" si="7"/>
        <v>0</v>
      </c>
    </row>
    <row r="118" spans="5:14" ht="16" x14ac:dyDescent="0.2">
      <c r="E118" s="198" t="s">
        <v>503</v>
      </c>
      <c r="F118" s="238">
        <v>0</v>
      </c>
      <c r="G118" s="3"/>
      <c r="H118" s="238">
        <v>-1359457.7959575919</v>
      </c>
      <c r="I118" s="3"/>
      <c r="J118" s="238">
        <f t="shared" si="6"/>
        <v>-1359457.7959575919</v>
      </c>
      <c r="K118" s="3"/>
      <c r="L118" s="238">
        <v>0</v>
      </c>
      <c r="M118" s="3"/>
      <c r="N118" s="281">
        <f t="shared" si="7"/>
        <v>0</v>
      </c>
    </row>
    <row r="119" spans="5:14" ht="16" x14ac:dyDescent="0.2">
      <c r="E119" s="198" t="s">
        <v>500</v>
      </c>
      <c r="F119" s="238">
        <v>0</v>
      </c>
      <c r="G119" s="3"/>
      <c r="H119" s="238">
        <v>-112.78165025676648</v>
      </c>
      <c r="I119" s="3"/>
      <c r="J119" s="238">
        <f t="shared" si="6"/>
        <v>-112.78165025676648</v>
      </c>
      <c r="K119" s="3"/>
      <c r="L119" s="238">
        <v>0</v>
      </c>
      <c r="M119" s="3"/>
      <c r="N119" s="281">
        <f t="shared" si="7"/>
        <v>0</v>
      </c>
    </row>
    <row r="120" spans="5:14" ht="16" x14ac:dyDescent="0.2">
      <c r="E120" s="198" t="s">
        <v>506</v>
      </c>
      <c r="F120" s="238">
        <v>0</v>
      </c>
      <c r="G120" s="3"/>
      <c r="H120" s="238">
        <v>-3797055.1820632704</v>
      </c>
      <c r="I120" s="3"/>
      <c r="J120" s="238">
        <f t="shared" si="6"/>
        <v>-3797055.1820632704</v>
      </c>
      <c r="K120" s="3"/>
      <c r="L120" s="238">
        <v>0</v>
      </c>
      <c r="M120" s="3"/>
      <c r="N120" s="281">
        <f t="shared" si="7"/>
        <v>0</v>
      </c>
    </row>
    <row r="121" spans="5:14" x14ac:dyDescent="0.2">
      <c r="E121" s="199" t="s">
        <v>505</v>
      </c>
      <c r="F121" s="238">
        <v>0</v>
      </c>
      <c r="G121" s="3"/>
      <c r="H121" s="238">
        <v>-66021.418271669754</v>
      </c>
      <c r="I121" s="3"/>
      <c r="J121" s="238">
        <f t="shared" si="6"/>
        <v>0</v>
      </c>
      <c r="K121" s="3"/>
      <c r="L121" s="238">
        <v>-66021.418271669754</v>
      </c>
      <c r="M121" s="3"/>
      <c r="N121" s="281">
        <f t="shared" si="7"/>
        <v>0</v>
      </c>
    </row>
    <row r="122" spans="5:14" x14ac:dyDescent="0.2">
      <c r="E122" s="199" t="s">
        <v>491</v>
      </c>
      <c r="F122" s="238">
        <v>0</v>
      </c>
      <c r="G122" s="3"/>
      <c r="H122" s="238">
        <v>-1359457.7959575919</v>
      </c>
      <c r="I122" s="3"/>
      <c r="J122" s="238">
        <f t="shared" si="6"/>
        <v>-1359457.7959575919</v>
      </c>
      <c r="K122" s="3"/>
      <c r="L122" s="238">
        <v>0</v>
      </c>
      <c r="M122" s="3"/>
      <c r="N122" s="281">
        <f t="shared" si="7"/>
        <v>0</v>
      </c>
    </row>
    <row r="123" spans="5:14" x14ac:dyDescent="0.2">
      <c r="E123" s="199" t="s">
        <v>523</v>
      </c>
      <c r="F123" s="238">
        <v>0</v>
      </c>
      <c r="G123" s="3"/>
      <c r="H123" s="238">
        <v>-112.78165025676648</v>
      </c>
      <c r="I123" s="3"/>
      <c r="J123" s="238">
        <f t="shared" si="6"/>
        <v>-112.78165025676648</v>
      </c>
      <c r="K123" s="3"/>
      <c r="L123" s="238">
        <v>0</v>
      </c>
      <c r="M123" s="3"/>
      <c r="N123" s="281">
        <f t="shared" si="7"/>
        <v>0</v>
      </c>
    </row>
    <row r="124" spans="5:14" x14ac:dyDescent="0.2">
      <c r="E124" s="199" t="s">
        <v>492</v>
      </c>
      <c r="F124" s="238">
        <v>0</v>
      </c>
      <c r="G124" s="3"/>
      <c r="H124" s="238">
        <v>-1256817.6045988721</v>
      </c>
      <c r="I124" s="3"/>
      <c r="J124" s="238">
        <f t="shared" si="6"/>
        <v>-1256817.6045988721</v>
      </c>
      <c r="K124" s="3"/>
      <c r="L124" s="238">
        <v>0</v>
      </c>
      <c r="M124" s="3"/>
      <c r="N124" s="281">
        <f t="shared" si="7"/>
        <v>0</v>
      </c>
    </row>
    <row r="125" spans="5:14" x14ac:dyDescent="0.2">
      <c r="E125" s="199" t="s">
        <v>494</v>
      </c>
      <c r="F125" s="238">
        <v>0</v>
      </c>
      <c r="G125" s="3"/>
      <c r="H125" s="238">
        <v>-74404.460335125405</v>
      </c>
      <c r="I125" s="3"/>
      <c r="J125" s="238">
        <f t="shared" si="6"/>
        <v>0</v>
      </c>
      <c r="K125" s="3"/>
      <c r="L125" s="238">
        <v>-74404.460335125405</v>
      </c>
      <c r="M125" s="3"/>
      <c r="N125" s="281">
        <f t="shared" si="7"/>
        <v>0</v>
      </c>
    </row>
    <row r="126" spans="5:14" x14ac:dyDescent="0.2">
      <c r="E126" s="199" t="s">
        <v>493</v>
      </c>
      <c r="F126" s="238">
        <v>0</v>
      </c>
      <c r="G126" s="3"/>
      <c r="H126" s="238">
        <v>-1082643.9792420177</v>
      </c>
      <c r="I126" s="3"/>
      <c r="J126" s="238">
        <f t="shared" si="6"/>
        <v>0</v>
      </c>
      <c r="K126" s="3"/>
      <c r="L126" s="238">
        <v>-1082643.9792420177</v>
      </c>
      <c r="M126" s="3"/>
      <c r="N126" s="281">
        <f t="shared" si="7"/>
        <v>0</v>
      </c>
    </row>
    <row r="127" spans="5:14" x14ac:dyDescent="0.2">
      <c r="E127" s="199" t="s">
        <v>551</v>
      </c>
      <c r="F127" s="238">
        <v>0</v>
      </c>
      <c r="G127" s="3"/>
      <c r="H127" s="238">
        <v>6114656.4031687425</v>
      </c>
      <c r="I127" s="3"/>
      <c r="J127" s="238">
        <f t="shared" si="6"/>
        <v>6114656.4031687425</v>
      </c>
      <c r="K127" s="3"/>
      <c r="L127" s="238">
        <v>0</v>
      </c>
      <c r="M127" s="3"/>
      <c r="N127" s="281">
        <f t="shared" si="7"/>
        <v>0</v>
      </c>
    </row>
    <row r="128" spans="5:14" ht="16" x14ac:dyDescent="0.2">
      <c r="E128" s="239" t="s">
        <v>489</v>
      </c>
      <c r="F128" s="238">
        <v>0</v>
      </c>
      <c r="G128" s="3"/>
      <c r="H128" s="238">
        <v>-13740.19434752778</v>
      </c>
      <c r="I128" s="3"/>
      <c r="J128" s="238">
        <f t="shared" si="6"/>
        <v>-13740.19434752778</v>
      </c>
      <c r="K128" s="3"/>
      <c r="L128" s="238">
        <v>0</v>
      </c>
      <c r="M128" s="3"/>
      <c r="N128" s="281">
        <f t="shared" si="7"/>
        <v>0</v>
      </c>
    </row>
    <row r="129" spans="5:14" ht="16" x14ac:dyDescent="0.2">
      <c r="E129" s="239" t="s">
        <v>619</v>
      </c>
      <c r="F129" s="238">
        <v>0</v>
      </c>
      <c r="G129" s="3"/>
      <c r="H129" s="238">
        <v>-3677.1587424372706</v>
      </c>
      <c r="I129" s="3"/>
      <c r="J129" s="238">
        <f t="shared" si="6"/>
        <v>0</v>
      </c>
      <c r="K129" s="3"/>
      <c r="L129" s="238">
        <v>-3677.1587424372706</v>
      </c>
      <c r="M129" s="3"/>
      <c r="N129" s="281">
        <f t="shared" si="7"/>
        <v>0</v>
      </c>
    </row>
    <row r="130" spans="5:14" x14ac:dyDescent="0.2">
      <c r="E130" s="199" t="s">
        <v>488</v>
      </c>
      <c r="F130" s="238">
        <v>0</v>
      </c>
      <c r="G130" s="3"/>
      <c r="H130" s="238">
        <v>-12527.870530226932</v>
      </c>
      <c r="I130" s="3"/>
      <c r="J130" s="238">
        <f t="shared" si="6"/>
        <v>0</v>
      </c>
      <c r="K130" s="3"/>
      <c r="L130" s="238">
        <v>-12527.870530226932</v>
      </c>
      <c r="M130" s="3"/>
      <c r="N130" s="281">
        <f t="shared" si="7"/>
        <v>0</v>
      </c>
    </row>
    <row r="131" spans="5:14" x14ac:dyDescent="0.2">
      <c r="E131" s="197" t="s">
        <v>490</v>
      </c>
      <c r="F131" s="238">
        <v>0</v>
      </c>
      <c r="G131" s="3"/>
      <c r="H131" s="238">
        <v>-3678478.5848042481</v>
      </c>
      <c r="I131" s="3"/>
      <c r="J131" s="238">
        <f t="shared" si="6"/>
        <v>0</v>
      </c>
      <c r="K131" s="3"/>
      <c r="L131" s="238">
        <v>-3678478.5848042481</v>
      </c>
      <c r="M131" s="3"/>
      <c r="N131" s="281">
        <f t="shared" si="7"/>
        <v>0</v>
      </c>
    </row>
    <row r="132" spans="5:14" x14ac:dyDescent="0.2">
      <c r="E132" s="199" t="s">
        <v>582</v>
      </c>
      <c r="F132" s="238">
        <v>0</v>
      </c>
      <c r="G132" s="3"/>
      <c r="H132" s="238">
        <v>-13104.628581498642</v>
      </c>
      <c r="I132" s="3"/>
      <c r="J132" s="238">
        <f t="shared" si="6"/>
        <v>-13104.628581498642</v>
      </c>
      <c r="K132" s="3"/>
      <c r="L132" s="238">
        <v>0</v>
      </c>
      <c r="M132" s="3"/>
      <c r="N132" s="281">
        <f t="shared" si="7"/>
        <v>0</v>
      </c>
    </row>
    <row r="133" spans="5:14" x14ac:dyDescent="0.2">
      <c r="E133" s="199" t="s">
        <v>584</v>
      </c>
      <c r="F133" s="238">
        <v>0</v>
      </c>
      <c r="G133" s="3"/>
      <c r="H133" s="238">
        <v>-13104.628581498642</v>
      </c>
      <c r="I133" s="3"/>
      <c r="J133" s="238">
        <f t="shared" si="6"/>
        <v>-9173.2400070490494</v>
      </c>
      <c r="K133" s="3"/>
      <c r="L133" s="238">
        <v>-3931.3885744495929</v>
      </c>
      <c r="M133" s="3"/>
      <c r="N133" s="281">
        <f t="shared" si="7"/>
        <v>0</v>
      </c>
    </row>
    <row r="134" spans="5:14" x14ac:dyDescent="0.2">
      <c r="E134" s="199" t="s">
        <v>512</v>
      </c>
      <c r="F134" s="238">
        <v>0</v>
      </c>
      <c r="G134" s="3"/>
      <c r="H134" s="238">
        <v>23907.404496491064</v>
      </c>
      <c r="I134" s="3"/>
      <c r="J134" s="238">
        <f t="shared" si="6"/>
        <v>23907.404496491064</v>
      </c>
      <c r="K134" s="3"/>
      <c r="L134" s="238">
        <v>0</v>
      </c>
      <c r="M134" s="3"/>
      <c r="N134" s="281">
        <f t="shared" si="7"/>
        <v>0</v>
      </c>
    </row>
    <row r="135" spans="5:14" x14ac:dyDescent="0.2">
      <c r="E135" s="199" t="s">
        <v>513</v>
      </c>
      <c r="F135" s="238">
        <v>0</v>
      </c>
      <c r="G135" s="3"/>
      <c r="H135" s="238">
        <v>0</v>
      </c>
      <c r="I135" s="3"/>
      <c r="J135" s="238">
        <f t="shared" si="6"/>
        <v>0</v>
      </c>
      <c r="K135" s="3"/>
      <c r="L135" s="238">
        <v>0</v>
      </c>
      <c r="M135" s="3"/>
      <c r="N135" s="281">
        <f t="shared" si="7"/>
        <v>0</v>
      </c>
    </row>
    <row r="136" spans="5:14" x14ac:dyDescent="0.2">
      <c r="E136" s="199" t="s">
        <v>514</v>
      </c>
      <c r="F136" s="238">
        <v>0</v>
      </c>
      <c r="G136" s="3"/>
      <c r="H136" s="238">
        <v>-2788514.0257371739</v>
      </c>
      <c r="I136" s="3"/>
      <c r="J136" s="238">
        <f t="shared" si="6"/>
        <v>0</v>
      </c>
      <c r="K136" s="3"/>
      <c r="L136" s="238">
        <v>-2788514.0257371739</v>
      </c>
      <c r="M136" s="3"/>
      <c r="N136" s="281">
        <f t="shared" si="7"/>
        <v>0</v>
      </c>
    </row>
    <row r="137" spans="5:14" x14ac:dyDescent="0.2">
      <c r="E137" s="199" t="s">
        <v>524</v>
      </c>
      <c r="F137" s="238">
        <v>0</v>
      </c>
      <c r="G137" s="3"/>
      <c r="H137" s="238">
        <v>-177387.6603372262</v>
      </c>
      <c r="I137" s="3"/>
      <c r="J137" s="238">
        <f t="shared" si="6"/>
        <v>0</v>
      </c>
      <c r="K137" s="3"/>
      <c r="L137" s="238">
        <v>-177387.6603372262</v>
      </c>
      <c r="M137" s="3"/>
      <c r="N137" s="281">
        <f t="shared" si="7"/>
        <v>0</v>
      </c>
    </row>
    <row r="138" spans="5:14" ht="17" x14ac:dyDescent="0.2">
      <c r="E138" s="199"/>
      <c r="F138" s="3" t="s">
        <v>437</v>
      </c>
      <c r="G138" s="3"/>
      <c r="H138" s="3" t="s">
        <v>439</v>
      </c>
      <c r="I138" s="3"/>
      <c r="J138" s="25" t="s">
        <v>436</v>
      </c>
      <c r="K138" s="3"/>
      <c r="L138" s="25" t="s">
        <v>38</v>
      </c>
      <c r="M138" s="3"/>
      <c r="N138" s="25">
        <f>SUM(N102:N137)</f>
        <v>0</v>
      </c>
    </row>
    <row r="142" spans="5:14" x14ac:dyDescent="0.2">
      <c r="E142" s="131"/>
      <c r="F142" s="452" t="s">
        <v>643</v>
      </c>
      <c r="G142" s="452"/>
      <c r="H142" s="452"/>
      <c r="I142" s="452"/>
      <c r="J142" s="452"/>
      <c r="K142" s="131"/>
      <c r="L142" s="131"/>
    </row>
    <row r="143" spans="5:14" x14ac:dyDescent="0.2">
      <c r="E143" s="131"/>
      <c r="F143" s="131"/>
      <c r="G143" s="131"/>
      <c r="H143" s="131"/>
      <c r="I143" s="131"/>
      <c r="J143" s="131"/>
      <c r="K143" s="131"/>
      <c r="L143" s="131"/>
    </row>
    <row r="144" spans="5:14" x14ac:dyDescent="0.2">
      <c r="E144" s="131"/>
      <c r="F144" s="131"/>
      <c r="G144" s="131"/>
      <c r="H144" s="131"/>
      <c r="I144" s="131"/>
      <c r="J144" s="131"/>
      <c r="K144" s="131"/>
      <c r="L144" s="131"/>
    </row>
    <row r="145" spans="5:12" x14ac:dyDescent="0.2">
      <c r="E145" s="286" t="s">
        <v>392</v>
      </c>
      <c r="F145" s="287" cm="1">
        <f t="array" ref="F145:F159">TRANSPOSE(AT55:BH55)</f>
        <v>-1689824.7786463453</v>
      </c>
      <c r="G145" s="338"/>
      <c r="H145" s="287">
        <v>0</v>
      </c>
      <c r="I145" s="131"/>
      <c r="J145" s="287">
        <f>AP58</f>
        <v>-1813415.3332272954</v>
      </c>
      <c r="K145" s="131"/>
      <c r="L145" s="337">
        <f>F145+H145-J145</f>
        <v>123590.55458095018</v>
      </c>
    </row>
    <row r="146" spans="5:12" x14ac:dyDescent="0.2">
      <c r="E146" s="286" t="s">
        <v>393</v>
      </c>
      <c r="F146" s="287">
        <v>-1359217.3367370586</v>
      </c>
      <c r="G146" s="338"/>
      <c r="H146" s="287">
        <v>0</v>
      </c>
      <c r="I146" s="131"/>
      <c r="J146" s="287">
        <f t="shared" ref="J146:J159" si="8">AP59</f>
        <v>-1359563.8236364534</v>
      </c>
      <c r="K146" s="131"/>
      <c r="L146" s="337">
        <f t="shared" ref="L146:L159" si="9">F146+H146-J146</f>
        <v>346.48689939477481</v>
      </c>
    </row>
    <row r="147" spans="5:12" x14ac:dyDescent="0.2">
      <c r="E147" s="286" t="s">
        <v>394</v>
      </c>
      <c r="F147" s="287">
        <v>9148397.3079415839</v>
      </c>
      <c r="G147" s="338"/>
      <c r="H147" s="287">
        <f>Ore_to_PI!AC195</f>
        <v>80616.370239891301</v>
      </c>
      <c r="I147" s="131"/>
      <c r="J147" s="287">
        <f t="shared" si="8"/>
        <v>-8884.6388868575868</v>
      </c>
      <c r="K147" s="131"/>
      <c r="L147" s="337">
        <f t="shared" si="9"/>
        <v>9237898.3170683328</v>
      </c>
    </row>
    <row r="148" spans="5:12" x14ac:dyDescent="0.2">
      <c r="E148" s="286" t="s">
        <v>522</v>
      </c>
      <c r="F148" s="287">
        <v>-1777985.4355511186</v>
      </c>
      <c r="G148" s="338"/>
      <c r="H148" s="287">
        <f>Ore_to_PI!AU28</f>
        <v>609792.2517593482</v>
      </c>
      <c r="I148" s="339"/>
      <c r="J148" s="287">
        <f t="shared" si="8"/>
        <v>-1777985.4355511186</v>
      </c>
      <c r="K148" s="339"/>
      <c r="L148" s="337">
        <f t="shared" si="9"/>
        <v>609792.2517593482</v>
      </c>
    </row>
    <row r="149" spans="5:12" x14ac:dyDescent="0.2">
      <c r="E149" s="286" t="s">
        <v>502</v>
      </c>
      <c r="F149" s="287">
        <v>-1359457.7959575919</v>
      </c>
      <c r="G149" s="338"/>
      <c r="H149" s="287">
        <f>Ore_to_PI!AU113</f>
        <v>2824.8856477449194</v>
      </c>
      <c r="I149" s="131"/>
      <c r="J149" s="287">
        <f t="shared" si="8"/>
        <v>-1359457.7959575919</v>
      </c>
      <c r="K149" s="131"/>
      <c r="L149" s="337">
        <f t="shared" si="9"/>
        <v>2824.8856477448717</v>
      </c>
    </row>
    <row r="150" spans="5:12" x14ac:dyDescent="0.2">
      <c r="E150" s="286" t="s">
        <v>501</v>
      </c>
      <c r="F150" s="287">
        <v>-112.78165025676648</v>
      </c>
      <c r="G150" s="338"/>
      <c r="H150" s="287">
        <f>Ore_to_PI!AU190</f>
        <v>282.1287710315147</v>
      </c>
      <c r="I150" s="131"/>
      <c r="J150" s="287">
        <f t="shared" si="8"/>
        <v>-112.78165025676648</v>
      </c>
      <c r="K150" s="131"/>
      <c r="L150" s="337">
        <f t="shared" si="9"/>
        <v>282.1287710315147</v>
      </c>
    </row>
    <row r="151" spans="5:12" x14ac:dyDescent="0.2">
      <c r="E151" s="286" t="s">
        <v>418</v>
      </c>
      <c r="F151" s="287">
        <v>-1777985.4355511186</v>
      </c>
      <c r="G151" s="338"/>
      <c r="H151" s="287">
        <f>Ore_to_PI!BN35</f>
        <v>12626.098826338684</v>
      </c>
      <c r="I151" s="131"/>
      <c r="J151" s="287">
        <f t="shared" si="8"/>
        <v>-3863076.60033494</v>
      </c>
      <c r="K151" s="131"/>
      <c r="L151" s="337">
        <f t="shared" si="9"/>
        <v>2097717.26361016</v>
      </c>
    </row>
    <row r="152" spans="5:12" x14ac:dyDescent="0.2">
      <c r="E152" s="286" t="s">
        <v>415</v>
      </c>
      <c r="F152" s="287">
        <v>-1359457.7959575919</v>
      </c>
      <c r="G152" s="338" t="s">
        <v>438</v>
      </c>
      <c r="H152" s="287">
        <f>Ore_to_PI!BM116</f>
        <v>34.678095164114971</v>
      </c>
      <c r="I152" s="288" t="s">
        <v>445</v>
      </c>
      <c r="J152" s="287">
        <f t="shared" si="8"/>
        <v>-1359457.7959575919</v>
      </c>
      <c r="K152" s="288" t="s">
        <v>441</v>
      </c>
      <c r="L152" s="337">
        <f t="shared" si="9"/>
        <v>34.678095164010301</v>
      </c>
    </row>
    <row r="153" spans="5:12" x14ac:dyDescent="0.2">
      <c r="E153" s="286" t="s">
        <v>429</v>
      </c>
      <c r="F153" s="287">
        <v>-112.78165025676648</v>
      </c>
      <c r="G153" s="338"/>
      <c r="H153" s="287">
        <f>Ore_to_PI!BM195</f>
        <v>50.358084153937838</v>
      </c>
      <c r="I153" s="131"/>
      <c r="J153" s="287">
        <f t="shared" si="8"/>
        <v>-112.78165025676648</v>
      </c>
      <c r="K153" s="131"/>
      <c r="L153" s="337">
        <f t="shared" si="9"/>
        <v>50.358084153937838</v>
      </c>
    </row>
    <row r="154" spans="5:12" x14ac:dyDescent="0.2">
      <c r="E154" s="286" t="s">
        <v>416</v>
      </c>
      <c r="F154" s="287">
        <v>-1534440.1295455615</v>
      </c>
      <c r="G154" s="338"/>
      <c r="H154" s="287">
        <v>0</v>
      </c>
      <c r="I154" s="131"/>
      <c r="J154" s="287">
        <f t="shared" si="8"/>
        <v>-2413866.0441760151</v>
      </c>
      <c r="K154" s="131"/>
      <c r="L154" s="337">
        <f t="shared" si="9"/>
        <v>879425.91463045357</v>
      </c>
    </row>
    <row r="155" spans="5:12" x14ac:dyDescent="0.2">
      <c r="E155" s="286" t="s">
        <v>411</v>
      </c>
      <c r="F155" s="287">
        <v>-949319.20713093248</v>
      </c>
      <c r="G155" s="338"/>
      <c r="H155" s="287">
        <v>0</v>
      </c>
      <c r="I155" s="131"/>
      <c r="J155" s="287">
        <f t="shared" si="8"/>
        <v>2406232.5947443023</v>
      </c>
      <c r="K155" s="131"/>
      <c r="L155" s="337">
        <f t="shared" si="9"/>
        <v>-3355551.8018752346</v>
      </c>
    </row>
    <row r="156" spans="5:12" x14ac:dyDescent="0.2">
      <c r="E156" s="197" t="s">
        <v>581</v>
      </c>
      <c r="F156" s="287">
        <v>-13740.19434752778</v>
      </c>
      <c r="G156" s="338"/>
      <c r="H156" s="287">
        <f>Ore_to_PI!DD229</f>
        <v>33191.859393697465</v>
      </c>
      <c r="I156" s="131"/>
      <c r="J156" s="287">
        <f t="shared" si="8"/>
        <v>-13104.628581498642</v>
      </c>
      <c r="K156" s="131"/>
      <c r="L156" s="337">
        <f t="shared" si="9"/>
        <v>32556.293627668325</v>
      </c>
    </row>
    <row r="157" spans="5:12" x14ac:dyDescent="0.2">
      <c r="E157" s="197" t="s">
        <v>583</v>
      </c>
      <c r="F157" s="287">
        <v>-13104.628581498642</v>
      </c>
      <c r="G157" s="338"/>
      <c r="H157" s="287">
        <v>0</v>
      </c>
      <c r="I157" s="131"/>
      <c r="J157" s="287">
        <f t="shared" si="8"/>
        <v>-13104.628581498642</v>
      </c>
      <c r="K157" s="131"/>
      <c r="L157" s="337">
        <f t="shared" si="9"/>
        <v>0</v>
      </c>
    </row>
    <row r="158" spans="5:12" x14ac:dyDescent="0.2">
      <c r="E158" s="197" t="s">
        <v>80</v>
      </c>
      <c r="F158" s="287">
        <v>1060783.6165065998</v>
      </c>
      <c r="G158" s="338"/>
      <c r="H158" s="287">
        <v>0</v>
      </c>
      <c r="I158" s="131"/>
      <c r="J158" s="287">
        <f t="shared" si="8"/>
        <v>23907.404496491064</v>
      </c>
      <c r="K158" s="131"/>
      <c r="L158" s="337">
        <f t="shared" si="9"/>
        <v>1036876.2120101087</v>
      </c>
    </row>
    <row r="159" spans="5:12" x14ac:dyDescent="0.2">
      <c r="E159" s="197" t="s">
        <v>404</v>
      </c>
      <c r="F159" s="287">
        <v>-50.81788353988668</v>
      </c>
      <c r="G159" s="338"/>
      <c r="H159" s="289">
        <f>Ore_to_PI!EU117</f>
        <v>318930.1042317453</v>
      </c>
      <c r="I159" s="288"/>
      <c r="J159" s="287">
        <f t="shared" si="8"/>
        <v>-2965901.6860743999</v>
      </c>
      <c r="K159" s="131"/>
      <c r="L159" s="337">
        <f t="shared" si="9"/>
        <v>3284780.9724226054</v>
      </c>
    </row>
    <row r="160" spans="5:12" ht="17" x14ac:dyDescent="0.2">
      <c r="F160" s="131" t="s">
        <v>644</v>
      </c>
      <c r="G160" s="288"/>
      <c r="H160" s="288" t="s">
        <v>262</v>
      </c>
      <c r="I160" s="288"/>
      <c r="J160" s="329" t="s">
        <v>432</v>
      </c>
      <c r="K160" s="131"/>
      <c r="L160" s="288" t="s">
        <v>645</v>
      </c>
    </row>
  </sheetData>
  <mergeCells count="9">
    <mergeCell ref="F142:J142"/>
    <mergeCell ref="AT56:BH56"/>
    <mergeCell ref="F54:G54"/>
    <mergeCell ref="AT54:BH54"/>
    <mergeCell ref="BN54:BO54"/>
    <mergeCell ref="F73:AO73"/>
    <mergeCell ref="F75:AO75"/>
    <mergeCell ref="F94:AO94"/>
    <mergeCell ref="F99:N9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M38"/>
  <sheetViews>
    <sheetView zoomScale="160" workbookViewId="0">
      <selection activeCell="M11" sqref="M11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13" x14ac:dyDescent="0.2">
      <c r="B2" s="3"/>
      <c r="C2" s="3"/>
      <c r="D2" s="368" t="s">
        <v>311</v>
      </c>
      <c r="E2" s="368"/>
      <c r="F2" s="368"/>
      <c r="G2" s="368"/>
    </row>
    <row r="3" spans="2:13" x14ac:dyDescent="0.2">
      <c r="B3" s="3"/>
      <c r="C3" s="3"/>
      <c r="D3" s="459" t="s">
        <v>81</v>
      </c>
      <c r="E3" s="459"/>
      <c r="F3" s="459"/>
      <c r="G3" s="459"/>
    </row>
    <row r="4" spans="2:13" ht="15" customHeight="1" x14ac:dyDescent="0.2">
      <c r="B4" s="457" t="s">
        <v>4</v>
      </c>
      <c r="C4" s="3"/>
      <c r="D4" s="189" t="s">
        <v>352</v>
      </c>
      <c r="E4" s="189" t="s">
        <v>186</v>
      </c>
      <c r="F4" s="189" t="s">
        <v>175</v>
      </c>
      <c r="G4" s="189" t="s">
        <v>342</v>
      </c>
      <c r="I4" s="3"/>
      <c r="K4" s="3"/>
      <c r="L4" s="3"/>
    </row>
    <row r="5" spans="2:13" ht="14.5" customHeight="1" x14ac:dyDescent="0.2">
      <c r="B5" s="457"/>
      <c r="C5" s="144" t="s">
        <v>333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</row>
    <row r="6" spans="2:13" ht="15" customHeight="1" x14ac:dyDescent="0.2">
      <c r="B6" s="457"/>
      <c r="C6" s="146" t="s">
        <v>556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</row>
    <row r="7" spans="2:13" ht="16" customHeight="1" x14ac:dyDescent="0.2">
      <c r="B7" s="457"/>
      <c r="C7" s="145" t="s">
        <v>385</v>
      </c>
      <c r="D7" s="159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</row>
    <row r="8" spans="2:13" ht="15" customHeight="1" x14ac:dyDescent="0.2">
      <c r="C8" s="131" t="s">
        <v>331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</row>
    <row r="9" spans="2:13" ht="15" customHeight="1" x14ac:dyDescent="0.2">
      <c r="E9" s="3"/>
      <c r="F9" s="3"/>
      <c r="G9" s="3"/>
      <c r="H9" s="3"/>
      <c r="I9" s="3"/>
      <c r="L9" s="3"/>
      <c r="M9" s="3"/>
    </row>
    <row r="10" spans="2:13" ht="15" customHeight="1" x14ac:dyDescent="0.2">
      <c r="L10" s="3"/>
      <c r="M10" s="3"/>
    </row>
    <row r="11" spans="2:13" ht="15" customHeight="1" x14ac:dyDescent="0.2">
      <c r="B11" s="3"/>
      <c r="C11" s="3"/>
      <c r="D11" s="368" t="s">
        <v>311</v>
      </c>
      <c r="E11" s="368"/>
      <c r="F11" s="368"/>
      <c r="G11" s="368"/>
      <c r="H11" s="368"/>
      <c r="L11" s="3"/>
      <c r="M11" s="3"/>
    </row>
    <row r="12" spans="2:13" ht="15" customHeight="1" x14ac:dyDescent="0.2">
      <c r="B12" s="3"/>
      <c r="C12" s="3"/>
      <c r="D12" s="459" t="s">
        <v>81</v>
      </c>
      <c r="E12" s="459"/>
      <c r="F12" s="459"/>
      <c r="G12" s="459"/>
      <c r="H12" s="459"/>
      <c r="L12" s="3"/>
      <c r="M12" s="3"/>
    </row>
    <row r="13" spans="2:13" ht="14.5" customHeight="1" x14ac:dyDescent="0.2">
      <c r="B13" s="456" t="s">
        <v>19</v>
      </c>
      <c r="C13" s="3"/>
      <c r="D13" s="190" t="s">
        <v>352</v>
      </c>
      <c r="E13" s="190" t="s">
        <v>186</v>
      </c>
      <c r="F13" s="190" t="s">
        <v>175</v>
      </c>
      <c r="G13" s="190" t="s">
        <v>342</v>
      </c>
      <c r="H13" s="190" t="s">
        <v>343</v>
      </c>
      <c r="J13" s="3"/>
      <c r="L13" s="3"/>
      <c r="M13" s="3"/>
    </row>
    <row r="14" spans="2:13" ht="15" customHeight="1" x14ac:dyDescent="0.2">
      <c r="B14" s="456"/>
      <c r="C14" s="144" t="s">
        <v>333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97</v>
      </c>
      <c r="J14" s="3"/>
      <c r="L14" s="3"/>
      <c r="M14" s="3"/>
    </row>
    <row r="15" spans="2:13" ht="16" customHeight="1" x14ac:dyDescent="0.2">
      <c r="B15" s="456"/>
      <c r="C15" s="146" t="s">
        <v>556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</row>
    <row r="16" spans="2:13" x14ac:dyDescent="0.2">
      <c r="B16" s="456"/>
      <c r="C16" s="145" t="s">
        <v>385</v>
      </c>
      <c r="D16" s="159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</row>
    <row r="17" spans="2:13" x14ac:dyDescent="0.2">
      <c r="C17" s="131" t="s">
        <v>331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68" t="s">
        <v>311</v>
      </c>
      <c r="E19" s="368"/>
      <c r="F19" s="368"/>
      <c r="G19" s="368"/>
      <c r="L19" s="3"/>
      <c r="M19" s="3"/>
    </row>
    <row r="20" spans="2:13" x14ac:dyDescent="0.2">
      <c r="B20" s="3"/>
      <c r="C20" s="3"/>
      <c r="D20" s="459" t="s">
        <v>81</v>
      </c>
      <c r="E20" s="459"/>
      <c r="F20" s="459"/>
      <c r="G20" s="459"/>
      <c r="K20" s="3"/>
      <c r="L20" s="3"/>
    </row>
    <row r="21" spans="2:13" x14ac:dyDescent="0.2">
      <c r="B21" s="460" t="s">
        <v>345</v>
      </c>
      <c r="C21" s="3"/>
      <c r="D21" s="153" t="s">
        <v>352</v>
      </c>
      <c r="E21" s="153" t="s">
        <v>186</v>
      </c>
      <c r="F21" s="153" t="s">
        <v>175</v>
      </c>
      <c r="G21" s="153" t="s">
        <v>363</v>
      </c>
      <c r="I21" s="3"/>
      <c r="K21" s="3"/>
      <c r="L21" s="3"/>
    </row>
    <row r="22" spans="2:13" x14ac:dyDescent="0.2">
      <c r="B22" s="460"/>
      <c r="C22" s="144" t="s">
        <v>333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60"/>
      <c r="C23" s="146" t="s">
        <v>556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60"/>
      <c r="C24" s="145" t="s">
        <v>385</v>
      </c>
      <c r="D24" s="159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1" t="s">
        <v>331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58" t="s">
        <v>382</v>
      </c>
      <c r="D30" s="188" t="s">
        <v>80</v>
      </c>
      <c r="E30" s="188" t="s">
        <v>344</v>
      </c>
    </row>
    <row r="31" spans="2:13" x14ac:dyDescent="0.2">
      <c r="B31" s="458"/>
      <c r="C31" s="144" t="s">
        <v>333</v>
      </c>
      <c r="D31" s="3" t="s">
        <v>97</v>
      </c>
      <c r="E31" s="3" t="str">
        <f>Bejan_BF</f>
        <v>[-]</v>
      </c>
    </row>
    <row r="32" spans="2:13" x14ac:dyDescent="0.2">
      <c r="B32" s="458"/>
      <c r="C32" s="146" t="s">
        <v>556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58"/>
      <c r="C33" s="145" t="s">
        <v>385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1" t="s">
        <v>331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555</v>
      </c>
    </row>
    <row r="38" spans="2:5" ht="18" x14ac:dyDescent="0.25">
      <c r="B38" s="280" t="s">
        <v>554</v>
      </c>
      <c r="C38" s="3">
        <f>E_tot/(Ore_to_PI!FL126/1000)</f>
        <v>25472106.046493623</v>
      </c>
    </row>
  </sheetData>
  <mergeCells count="10">
    <mergeCell ref="B13:B16"/>
    <mergeCell ref="B4:B7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9" t="s">
        <v>346</v>
      </c>
      <c r="F3" s="439"/>
      <c r="G3" s="439"/>
      <c r="H3"/>
      <c r="I3"/>
      <c r="L3" s="450" t="s">
        <v>421</v>
      </c>
      <c r="M3" s="450"/>
      <c r="N3" s="450"/>
      <c r="P3"/>
      <c r="T3" s="165" t="s">
        <v>420</v>
      </c>
    </row>
    <row r="4" spans="3:20" ht="16" thickBot="1" x14ac:dyDescent="0.25">
      <c r="E4" s="459" t="s">
        <v>10</v>
      </c>
      <c r="F4" s="459"/>
      <c r="G4" s="459"/>
      <c r="H4"/>
      <c r="I4"/>
      <c r="L4" s="459" t="s">
        <v>47</v>
      </c>
      <c r="M4" s="459"/>
      <c r="N4" s="459"/>
      <c r="P4"/>
      <c r="T4" s="3" t="s">
        <v>47</v>
      </c>
    </row>
    <row r="5" spans="3:20" ht="14.5" customHeight="1" thickBot="1" x14ac:dyDescent="0.25">
      <c r="C5" s="457" t="s">
        <v>4</v>
      </c>
      <c r="E5" s="149" t="s">
        <v>342</v>
      </c>
      <c r="F5" s="150" t="s">
        <v>80</v>
      </c>
      <c r="G5" s="151" t="s">
        <v>344</v>
      </c>
      <c r="L5" s="189" t="s">
        <v>186</v>
      </c>
      <c r="M5" s="189" t="s">
        <v>175</v>
      </c>
      <c r="N5" s="189" t="s">
        <v>342</v>
      </c>
      <c r="T5" s="218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57"/>
      <c r="D6" s="152" t="s">
        <v>347</v>
      </c>
      <c r="E6" s="3">
        <f>Beneficiation_Iron_waste</f>
        <v>11.767466001905108</v>
      </c>
      <c r="F6" s="3" t="s">
        <v>97</v>
      </c>
      <c r="G6" s="3">
        <f>BF_SolidWaste</f>
        <v>229.94813284002646</v>
      </c>
      <c r="K6" s="215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57"/>
      <c r="D7" s="152" t="s">
        <v>22</v>
      </c>
      <c r="E7" s="3">
        <f>0</f>
        <v>0</v>
      </c>
      <c r="F7" s="3" t="s">
        <v>97</v>
      </c>
      <c r="G7" s="3">
        <f>BF_CO2Waste</f>
        <v>894.77425815618358</v>
      </c>
    </row>
    <row r="8" spans="3:20" x14ac:dyDescent="0.2">
      <c r="D8" s="3" t="s">
        <v>18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50" t="s">
        <v>421</v>
      </c>
      <c r="M9" s="450"/>
      <c r="N9" s="450"/>
      <c r="O9" s="450"/>
    </row>
    <row r="10" spans="3:20" x14ac:dyDescent="0.2">
      <c r="E10" s="439" t="s">
        <v>346</v>
      </c>
      <c r="F10" s="439"/>
      <c r="L10" s="459" t="s">
        <v>47</v>
      </c>
      <c r="M10" s="459"/>
      <c r="N10" s="459"/>
      <c r="O10" s="459"/>
    </row>
    <row r="11" spans="3:20" x14ac:dyDescent="0.2">
      <c r="E11" s="459" t="s">
        <v>10</v>
      </c>
      <c r="F11" s="459"/>
      <c r="L11" s="190" t="s">
        <v>186</v>
      </c>
      <c r="M11" s="190" t="s">
        <v>175</v>
      </c>
      <c r="N11" s="190" t="s">
        <v>342</v>
      </c>
      <c r="O11" s="190" t="s">
        <v>343</v>
      </c>
      <c r="P11"/>
    </row>
    <row r="12" spans="3:20" x14ac:dyDescent="0.2">
      <c r="C12" s="456" t="s">
        <v>19</v>
      </c>
      <c r="E12" s="147" t="s">
        <v>342</v>
      </c>
      <c r="F12" s="148" t="s">
        <v>343</v>
      </c>
      <c r="K12" s="216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56"/>
      <c r="D13" s="152" t="s">
        <v>347</v>
      </c>
      <c r="E13" s="3" t="s">
        <v>97</v>
      </c>
      <c r="F13" s="3">
        <f>Kiln_SolidWaste</f>
        <v>4.9847525450981189</v>
      </c>
    </row>
    <row r="14" spans="3:20" ht="17" customHeight="1" x14ac:dyDescent="0.25">
      <c r="C14" s="456"/>
      <c r="D14" s="152" t="s">
        <v>22</v>
      </c>
      <c r="E14" s="3" t="s">
        <v>97</v>
      </c>
      <c r="F14" s="3">
        <f>Kiln_H2OWaste</f>
        <v>84.513558569455128</v>
      </c>
      <c r="L14" s="450" t="s">
        <v>421</v>
      </c>
      <c r="M14" s="450"/>
      <c r="N14" s="450"/>
    </row>
    <row r="15" spans="3:20" x14ac:dyDescent="0.2">
      <c r="C15" s="456"/>
      <c r="D15" s="3" t="s">
        <v>18</v>
      </c>
      <c r="E15" s="17">
        <f>SUM(E13:E14)</f>
        <v>0</v>
      </c>
      <c r="F15" s="17">
        <f>SUM(F13:F14)</f>
        <v>89.498311114553246</v>
      </c>
      <c r="L15" s="459" t="s">
        <v>47</v>
      </c>
      <c r="M15" s="459"/>
      <c r="N15" s="459"/>
    </row>
    <row r="16" spans="3:20" x14ac:dyDescent="0.2">
      <c r="L16" s="153" t="s">
        <v>186</v>
      </c>
      <c r="M16" s="153" t="s">
        <v>175</v>
      </c>
      <c r="N16" s="153" t="s">
        <v>363</v>
      </c>
    </row>
    <row r="17" spans="3:16" x14ac:dyDescent="0.2">
      <c r="K17" s="217" t="s">
        <v>345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5" t="s">
        <v>346</v>
      </c>
    </row>
    <row r="19" spans="3:16" ht="17" x14ac:dyDescent="0.25">
      <c r="E19" s="28" t="s">
        <v>10</v>
      </c>
      <c r="L19" s="450" t="s">
        <v>421</v>
      </c>
      <c r="M19" s="450"/>
    </row>
    <row r="20" spans="3:16" x14ac:dyDescent="0.2">
      <c r="C20" s="460" t="s">
        <v>345</v>
      </c>
      <c r="E20" s="153" t="s">
        <v>342</v>
      </c>
      <c r="L20" s="459" t="s">
        <v>47</v>
      </c>
      <c r="M20" s="459"/>
    </row>
    <row r="21" spans="3:16" ht="14.5" customHeight="1" x14ac:dyDescent="0.2">
      <c r="C21" s="460"/>
      <c r="D21" s="152" t="s">
        <v>347</v>
      </c>
      <c r="E21" s="3">
        <f>Beneficiation_CoalWaste</f>
        <v>25.253201846716312</v>
      </c>
      <c r="L21" s="188" t="s">
        <v>80</v>
      </c>
      <c r="M21" s="188" t="s">
        <v>344</v>
      </c>
      <c r="P21"/>
    </row>
    <row r="22" spans="3:16" ht="17" customHeight="1" x14ac:dyDescent="0.25">
      <c r="C22" s="460"/>
      <c r="D22" s="152" t="s">
        <v>22</v>
      </c>
      <c r="E22" s="3" t="s">
        <v>97</v>
      </c>
      <c r="K22" s="214" t="s">
        <v>382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60"/>
      <c r="D23" s="3" t="s">
        <v>18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="75" zoomScaleNormal="100" workbookViewId="0">
      <selection activeCell="AS54" sqref="AS54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74" t="s">
        <v>69</v>
      </c>
      <c r="I2" s="374"/>
      <c r="J2" s="374"/>
      <c r="K2" s="374"/>
      <c r="L2" s="374"/>
      <c r="M2" s="374"/>
    </row>
    <row r="3" spans="3:69" ht="18" x14ac:dyDescent="0.25">
      <c r="C3" s="13" t="s">
        <v>64</v>
      </c>
      <c r="D3" s="13" t="s">
        <v>70</v>
      </c>
      <c r="E3" s="20" t="s">
        <v>71</v>
      </c>
      <c r="F3" s="20" t="s">
        <v>72</v>
      </c>
      <c r="H3" s="374" t="s">
        <v>73</v>
      </c>
      <c r="I3" s="374"/>
      <c r="J3" s="374"/>
      <c r="K3" s="13"/>
      <c r="L3" s="373" t="s">
        <v>74</v>
      </c>
      <c r="M3" s="373"/>
      <c r="N3" s="7"/>
      <c r="AN3" s="468" t="s">
        <v>77</v>
      </c>
      <c r="AO3" s="468"/>
      <c r="AP3" s="468"/>
      <c r="AQ3" s="468"/>
      <c r="AR3" s="468"/>
      <c r="AS3" s="468"/>
      <c r="AT3" s="468"/>
      <c r="AU3" s="468"/>
      <c r="AV3" s="468"/>
      <c r="AW3" s="468"/>
      <c r="AX3" s="468"/>
      <c r="AY3" s="468"/>
      <c r="AZ3" s="468"/>
      <c r="BA3" s="468"/>
      <c r="BB3" s="468"/>
      <c r="BC3" s="468"/>
      <c r="BD3" s="468"/>
      <c r="BE3" s="468"/>
      <c r="BF3" s="468"/>
      <c r="BG3" s="468"/>
      <c r="BH3" s="468"/>
      <c r="BI3" s="468"/>
      <c r="BJ3" s="468"/>
      <c r="BK3" s="468"/>
    </row>
    <row r="4" spans="3:69" ht="17" x14ac:dyDescent="0.25">
      <c r="C4" s="13" t="s">
        <v>10</v>
      </c>
      <c r="D4" s="13" t="s">
        <v>75</v>
      </c>
      <c r="E4" s="13"/>
      <c r="F4" s="13"/>
      <c r="AN4" s="468"/>
      <c r="AO4" s="468"/>
      <c r="AP4" s="468"/>
      <c r="AQ4" s="468"/>
      <c r="AR4" s="468"/>
      <c r="AS4" s="468"/>
      <c r="AT4" s="468"/>
      <c r="AU4" s="468"/>
      <c r="AV4" s="468"/>
      <c r="AW4" s="468"/>
      <c r="AX4" s="468"/>
      <c r="AY4" s="468"/>
      <c r="AZ4" s="468"/>
      <c r="BA4" s="468"/>
      <c r="BB4" s="468"/>
      <c r="BC4" s="468"/>
      <c r="BD4" s="468"/>
      <c r="BE4" s="468"/>
      <c r="BF4" s="468"/>
      <c r="BG4" s="468"/>
      <c r="BH4" s="468"/>
      <c r="BI4" s="468"/>
      <c r="BJ4" s="468"/>
      <c r="BK4" s="468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7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74"/>
      <c r="J5" s="374"/>
      <c r="K5" s="374"/>
      <c r="L5" s="374"/>
      <c r="M5" s="374"/>
      <c r="AN5" s="468"/>
      <c r="AO5" s="468"/>
      <c r="AP5" s="468"/>
      <c r="AQ5" s="468"/>
      <c r="AR5" s="468"/>
      <c r="AS5" s="468"/>
      <c r="AT5" s="468"/>
      <c r="AU5" s="468"/>
      <c r="AV5" s="468"/>
      <c r="AW5" s="468"/>
      <c r="AX5" s="468"/>
      <c r="AY5" s="468"/>
      <c r="AZ5" s="468"/>
      <c r="BA5" s="468"/>
      <c r="BB5" s="468"/>
      <c r="BC5" s="468"/>
      <c r="BD5" s="468"/>
      <c r="BE5" s="468"/>
      <c r="BF5" s="468"/>
      <c r="BG5" s="468"/>
      <c r="BH5" s="468"/>
      <c r="BI5" s="468"/>
      <c r="BJ5" s="468"/>
      <c r="BK5" s="468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31</v>
      </c>
      <c r="G10" s="3" t="s">
        <v>38</v>
      </c>
      <c r="H10" s="3" t="s">
        <v>43</v>
      </c>
      <c r="L10" s="25" t="s">
        <v>3</v>
      </c>
      <c r="M10" s="3" t="s">
        <v>1</v>
      </c>
      <c r="N10" s="3" t="s">
        <v>5</v>
      </c>
      <c r="O10" s="3" t="s">
        <v>31</v>
      </c>
      <c r="P10" s="3" t="s">
        <v>38</v>
      </c>
      <c r="Q10" s="3" t="s">
        <v>43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67">
        <v>6</v>
      </c>
      <c r="BJ10" s="467"/>
      <c r="BK10" s="467"/>
      <c r="BL10" s="467"/>
      <c r="BM10" s="467"/>
      <c r="BN10" s="467"/>
      <c r="BO10" s="467"/>
      <c r="BP10" s="467"/>
      <c r="BQ10" s="467"/>
    </row>
    <row r="11" spans="3:69" ht="18" x14ac:dyDescent="0.25">
      <c r="C11" s="13" t="s">
        <v>40</v>
      </c>
      <c r="D11" s="13" t="s">
        <v>10</v>
      </c>
      <c r="E11" s="19" t="s">
        <v>83</v>
      </c>
      <c r="F11" s="13" t="s">
        <v>41</v>
      </c>
      <c r="G11" s="13" t="s">
        <v>42</v>
      </c>
      <c r="H11" s="13" t="s">
        <v>68</v>
      </c>
      <c r="I11" s="34" t="s">
        <v>76</v>
      </c>
      <c r="L11" s="13" t="s">
        <v>40</v>
      </c>
      <c r="M11" s="13" t="s">
        <v>10</v>
      </c>
      <c r="N11" s="19" t="s">
        <v>83</v>
      </c>
      <c r="O11" s="13" t="s">
        <v>41</v>
      </c>
      <c r="P11" s="13" t="s">
        <v>42</v>
      </c>
      <c r="Q11" s="13"/>
      <c r="R11" s="34" t="s">
        <v>76</v>
      </c>
      <c r="BI11" s="467"/>
      <c r="BJ11" s="467"/>
      <c r="BK11" s="467"/>
      <c r="BL11" s="467"/>
      <c r="BM11" s="467"/>
      <c r="BN11" s="467"/>
      <c r="BO11" s="467"/>
      <c r="BP11" s="467"/>
      <c r="BQ11" s="467"/>
    </row>
    <row r="12" spans="3:69" ht="18" x14ac:dyDescent="0.25">
      <c r="C12" s="13" t="s">
        <v>64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32</v>
      </c>
      <c r="I12" s="52">
        <f>F12/D5</f>
        <v>1</v>
      </c>
      <c r="L12" s="20" t="s">
        <v>63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34</v>
      </c>
      <c r="R12" s="3">
        <f>I12</f>
        <v>1</v>
      </c>
    </row>
    <row r="13" spans="3:69" ht="19" thickBot="1" x14ac:dyDescent="0.3">
      <c r="C13" s="20" t="s">
        <v>23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33</v>
      </c>
      <c r="I13" s="3">
        <f>E5*I12</f>
        <v>2</v>
      </c>
      <c r="L13" s="13" t="s">
        <v>67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35</v>
      </c>
      <c r="R13" s="3">
        <f>2*I12</f>
        <v>2</v>
      </c>
    </row>
    <row r="14" spans="3:69" ht="18" x14ac:dyDescent="0.25">
      <c r="C14" s="39" t="s">
        <v>66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203</v>
      </c>
      <c r="I14" s="71">
        <f>I13*F5</f>
        <v>7.52</v>
      </c>
      <c r="L14" s="39" t="s">
        <v>66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36</v>
      </c>
      <c r="R14" s="3">
        <f>I14</f>
        <v>7.52</v>
      </c>
      <c r="BN14" s="73" t="s">
        <v>180</v>
      </c>
      <c r="BO14" s="63" t="s">
        <v>210</v>
      </c>
      <c r="BP14" s="70" t="s">
        <v>211</v>
      </c>
      <c r="BQ14" s="58" t="s">
        <v>212</v>
      </c>
    </row>
    <row r="15" spans="3:69" ht="18" x14ac:dyDescent="0.25">
      <c r="C15" s="17" t="s">
        <v>18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18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4" t="s">
        <v>204</v>
      </c>
      <c r="BO15" s="49" t="s">
        <v>62</v>
      </c>
      <c r="BP15" s="68" t="s">
        <v>88</v>
      </c>
      <c r="BQ15" s="64" t="s">
        <v>92</v>
      </c>
    </row>
    <row r="16" spans="3:69" ht="17" thickBot="1" x14ac:dyDescent="0.25">
      <c r="BN16" s="75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64" t="s">
        <v>111</v>
      </c>
    </row>
    <row r="18" spans="3:87" ht="18.5" customHeight="1" x14ac:dyDescent="0.25">
      <c r="BI18" s="464"/>
      <c r="BK18" s="1" t="s">
        <v>183</v>
      </c>
      <c r="BL18" s="1" t="s">
        <v>5</v>
      </c>
      <c r="BM18" s="1" t="s">
        <v>84</v>
      </c>
      <c r="BN18" s="3" t="s">
        <v>149</v>
      </c>
      <c r="BO18" s="3" t="s">
        <v>207</v>
      </c>
      <c r="BP18" s="3" t="s">
        <v>208</v>
      </c>
      <c r="BQ18" s="3" t="s">
        <v>209</v>
      </c>
    </row>
    <row r="19" spans="3:87" ht="18" x14ac:dyDescent="0.25">
      <c r="BI19" s="464"/>
      <c r="BK19" s="1" t="s">
        <v>87</v>
      </c>
      <c r="BL19" s="1" t="s">
        <v>89</v>
      </c>
      <c r="BM19" s="2" t="s">
        <v>85</v>
      </c>
      <c r="BN19" s="4" t="s">
        <v>105</v>
      </c>
      <c r="BO19" s="4" t="s">
        <v>105</v>
      </c>
      <c r="BP19" s="3" t="s">
        <v>110</v>
      </c>
      <c r="BQ19" s="3" t="s">
        <v>110</v>
      </c>
    </row>
    <row r="20" spans="3:87" ht="17" x14ac:dyDescent="0.25">
      <c r="BI20" s="464"/>
      <c r="BJ20" s="26" t="s">
        <v>22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64"/>
      <c r="BJ21" s="24" t="s">
        <v>67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64"/>
      <c r="BJ22" s="59" t="s">
        <v>66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18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88</v>
      </c>
      <c r="BL24" s="3" t="s">
        <v>90</v>
      </c>
      <c r="BM24" s="3" t="s">
        <v>86</v>
      </c>
      <c r="BP24" s="1" t="s">
        <v>92</v>
      </c>
      <c r="BQ24" s="1" t="s">
        <v>92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62">
        <v>1</v>
      </c>
      <c r="D28" s="462"/>
      <c r="E28" s="462"/>
      <c r="F28" s="462"/>
      <c r="G28" s="462"/>
      <c r="H28" s="462"/>
      <c r="I28" s="462"/>
      <c r="J28" s="462"/>
      <c r="K28" s="462"/>
      <c r="L28" s="462"/>
      <c r="M28" s="462"/>
      <c r="N28" s="462"/>
      <c r="O28" s="462"/>
      <c r="P28" s="1"/>
      <c r="Q28" s="1"/>
      <c r="R28" s="1"/>
      <c r="S28" s="1"/>
      <c r="T28" s="1"/>
      <c r="U28" s="1"/>
      <c r="V28" s="1"/>
      <c r="W28" s="461">
        <v>3</v>
      </c>
      <c r="X28" s="461"/>
      <c r="Y28" s="461"/>
      <c r="Z28" s="461"/>
      <c r="AA28" s="461"/>
      <c r="AB28" s="461"/>
      <c r="AC28" s="461"/>
      <c r="AD28" s="461"/>
      <c r="AE28" s="461"/>
      <c r="AF28" s="461"/>
      <c r="AG28" s="46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62">
        <v>4</v>
      </c>
      <c r="AU28" s="462"/>
      <c r="AV28" s="462"/>
      <c r="AW28" s="462"/>
      <c r="AX28" s="462"/>
      <c r="AY28" s="462"/>
      <c r="AZ28" s="462"/>
      <c r="BA28" s="462"/>
      <c r="BB28" s="462"/>
      <c r="BC28" s="462"/>
      <c r="BD28" s="462"/>
      <c r="BE28" s="462"/>
      <c r="BF28" s="462"/>
      <c r="BG28" s="462"/>
      <c r="BH28" s="462"/>
      <c r="BI28" s="462"/>
      <c r="BT28" s="462">
        <v>5</v>
      </c>
      <c r="BU28" s="462"/>
      <c r="BV28" s="462"/>
      <c r="BW28" s="462"/>
      <c r="BX28" s="462"/>
      <c r="BY28" s="462"/>
      <c r="BZ28" s="462"/>
      <c r="CA28" s="462"/>
      <c r="CB28" s="462"/>
      <c r="CC28" s="462"/>
      <c r="CD28" s="462"/>
      <c r="CE28" s="462"/>
      <c r="CF28" s="462"/>
      <c r="CG28" s="462"/>
      <c r="CH28" s="462"/>
      <c r="CI28" s="462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3" t="s">
        <v>180</v>
      </c>
      <c r="L31" s="63" t="s">
        <v>161</v>
      </c>
      <c r="M31" s="70" t="s">
        <v>162</v>
      </c>
      <c r="N31" s="58" t="s">
        <v>159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4" t="s">
        <v>204</v>
      </c>
      <c r="L32" s="49" t="s">
        <v>62</v>
      </c>
      <c r="M32" s="38" t="s">
        <v>10</v>
      </c>
      <c r="N32" s="47" t="s">
        <v>47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5">
        <v>1</v>
      </c>
      <c r="L33" s="50">
        <v>298.14999999999998</v>
      </c>
      <c r="M33" s="69">
        <f>E37</f>
        <v>1</v>
      </c>
      <c r="N33" s="48">
        <f>N37</f>
        <v>51848.933724620947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66" t="s">
        <v>78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66"/>
      <c r="D35" s="1"/>
      <c r="E35" s="1" t="s">
        <v>130</v>
      </c>
      <c r="F35" s="1" t="s">
        <v>5</v>
      </c>
      <c r="G35" s="1" t="s">
        <v>129</v>
      </c>
      <c r="H35" s="1" t="s">
        <v>131</v>
      </c>
      <c r="I35" s="1" t="s">
        <v>128</v>
      </c>
      <c r="J35" s="1" t="s">
        <v>8</v>
      </c>
      <c r="K35" s="1" t="s">
        <v>132</v>
      </c>
      <c r="L35" s="1" t="s">
        <v>133</v>
      </c>
      <c r="M35" s="1" t="s">
        <v>134</v>
      </c>
      <c r="N35" s="1" t="s">
        <v>135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66"/>
      <c r="D36" s="1"/>
      <c r="E36" s="1" t="s">
        <v>87</v>
      </c>
      <c r="F36" s="1" t="s">
        <v>89</v>
      </c>
      <c r="G36" s="2" t="s">
        <v>85</v>
      </c>
      <c r="H36" s="2" t="s">
        <v>94</v>
      </c>
      <c r="I36" s="2" t="s">
        <v>24</v>
      </c>
      <c r="J36" s="1" t="s">
        <v>97</v>
      </c>
      <c r="K36" s="2" t="s">
        <v>94</v>
      </c>
      <c r="L36" s="2" t="s">
        <v>94</v>
      </c>
      <c r="M36" s="2" t="s">
        <v>93</v>
      </c>
      <c r="N36" s="1" t="s">
        <v>91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3" t="s">
        <v>180</v>
      </c>
      <c r="AE36" s="63" t="s">
        <v>165</v>
      </c>
      <c r="AF36" s="70" t="s">
        <v>166</v>
      </c>
      <c r="AG36" s="58" t="s">
        <v>167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3" t="s">
        <v>180</v>
      </c>
      <c r="BF36" s="10" t="s">
        <v>98</v>
      </c>
      <c r="BG36" s="63" t="s">
        <v>168</v>
      </c>
      <c r="BH36" s="70" t="s">
        <v>169</v>
      </c>
      <c r="BI36" s="58" t="s">
        <v>170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3" t="s">
        <v>180</v>
      </c>
      <c r="CG36" s="63" t="s">
        <v>184</v>
      </c>
      <c r="CH36" s="70" t="s">
        <v>185</v>
      </c>
      <c r="CI36" s="58" t="s">
        <v>206</v>
      </c>
    </row>
    <row r="37" spans="3:87" ht="17" customHeight="1" x14ac:dyDescent="0.25">
      <c r="C37" s="466"/>
      <c r="D37" s="13" t="s">
        <v>64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4" t="s">
        <v>204</v>
      </c>
      <c r="AE37" s="49" t="s">
        <v>62</v>
      </c>
      <c r="AF37" s="38" t="s">
        <v>10</v>
      </c>
      <c r="AG37" s="47" t="s">
        <v>47</v>
      </c>
      <c r="AI37" s="1"/>
      <c r="AJ37" s="465" t="s">
        <v>79</v>
      </c>
      <c r="AK37" s="465"/>
      <c r="AL37" s="465"/>
      <c r="AM37" s="465"/>
      <c r="AN37" s="465"/>
      <c r="AO37" s="465"/>
      <c r="AP37" s="1"/>
      <c r="AQ37" s="1"/>
      <c r="AR37" s="51"/>
      <c r="AS37" s="1"/>
      <c r="AT37" s="1"/>
      <c r="AU37" s="1"/>
      <c r="AV37" s="1"/>
      <c r="AW37" s="1"/>
      <c r="AX37" s="1"/>
      <c r="BE37" s="74" t="s">
        <v>204</v>
      </c>
      <c r="BF37" s="11" t="s">
        <v>62</v>
      </c>
      <c r="BG37" s="49" t="s">
        <v>62</v>
      </c>
      <c r="BH37" s="68" t="s">
        <v>88</v>
      </c>
      <c r="BI37" s="64" t="s">
        <v>92</v>
      </c>
      <c r="BM37" s="57"/>
      <c r="BS37" s="1"/>
      <c r="BT37" s="1"/>
      <c r="BU37" s="1"/>
      <c r="BV37" s="1"/>
      <c r="BW37" s="1"/>
      <c r="BX37" s="1"/>
      <c r="CF37" s="74" t="s">
        <v>204</v>
      </c>
      <c r="CG37" s="49" t="s">
        <v>62</v>
      </c>
      <c r="CH37" s="68" t="s">
        <v>88</v>
      </c>
      <c r="CI37" s="64" t="s">
        <v>92</v>
      </c>
    </row>
    <row r="38" spans="3:87" ht="15.5" customHeight="1" thickBot="1" x14ac:dyDescent="0.25">
      <c r="C38" s="45"/>
      <c r="D38" s="1" t="s">
        <v>18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65" t="s">
        <v>80</v>
      </c>
      <c r="S38" s="465"/>
      <c r="T38" s="465"/>
      <c r="U38" s="465"/>
      <c r="V38" s="51"/>
      <c r="W38" s="51"/>
      <c r="X38" s="51"/>
      <c r="Y38" s="51"/>
      <c r="Z38" s="51"/>
      <c r="AA38" s="51"/>
      <c r="AB38" s="51"/>
      <c r="AC38" s="51"/>
      <c r="AD38" s="75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65"/>
      <c r="AK38" s="465"/>
      <c r="AL38" s="465"/>
      <c r="AM38" s="465"/>
      <c r="AN38" s="465"/>
      <c r="AO38" s="465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5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65" t="s">
        <v>96</v>
      </c>
      <c r="BM38" s="465"/>
      <c r="BN38" s="465"/>
      <c r="BO38" s="465"/>
      <c r="BS38" s="1"/>
      <c r="BT38" s="1"/>
      <c r="BU38" s="1"/>
      <c r="BV38" s="1"/>
      <c r="BW38" s="1"/>
      <c r="BX38" s="1"/>
      <c r="CF38" s="75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88</v>
      </c>
      <c r="F39" s="3" t="s">
        <v>90</v>
      </c>
      <c r="G39" s="3" t="s">
        <v>86</v>
      </c>
      <c r="H39" s="4"/>
      <c r="I39" s="4"/>
      <c r="M39" s="3" t="s">
        <v>95</v>
      </c>
      <c r="N39" s="1" t="s">
        <v>92</v>
      </c>
      <c r="O39" s="1"/>
      <c r="P39" s="1"/>
      <c r="Q39" s="1"/>
      <c r="R39" s="465"/>
      <c r="S39" s="465"/>
      <c r="T39" s="465"/>
      <c r="U39" s="465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65"/>
      <c r="AK39" s="465"/>
      <c r="AL39" s="465"/>
      <c r="AM39" s="465"/>
      <c r="AN39" s="465"/>
      <c r="AO39" s="465"/>
      <c r="AP39" s="51"/>
      <c r="AQ39" s="51"/>
      <c r="AR39" s="1"/>
      <c r="AS39" s="1"/>
      <c r="AT39" s="1"/>
      <c r="AU39" s="1"/>
      <c r="AV39" s="1"/>
      <c r="AW39" s="1"/>
      <c r="AX39" s="1"/>
      <c r="BL39" s="465"/>
      <c r="BM39" s="465"/>
      <c r="BN39" s="465"/>
      <c r="BO39" s="465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65"/>
      <c r="S40" s="465"/>
      <c r="T40" s="465"/>
      <c r="U40" s="465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65"/>
      <c r="AK40" s="465"/>
      <c r="AL40" s="465"/>
      <c r="AM40" s="465"/>
      <c r="AN40" s="465"/>
      <c r="AO40" s="465"/>
      <c r="AP40" s="51"/>
      <c r="AQ40" s="51"/>
      <c r="AR40" s="1"/>
      <c r="AS40" s="56"/>
      <c r="AT40" s="1"/>
      <c r="AU40" s="1"/>
      <c r="AV40" s="1"/>
      <c r="AW40" s="1"/>
      <c r="AX40" s="1"/>
      <c r="BL40" s="465"/>
      <c r="BM40" s="465"/>
      <c r="BN40" s="465"/>
      <c r="BO40" s="465"/>
      <c r="BS40" s="1"/>
      <c r="BT40" s="1"/>
      <c r="BU40" s="1" t="s">
        <v>183</v>
      </c>
      <c r="BV40" s="1" t="s">
        <v>5</v>
      </c>
      <c r="BW40" s="1" t="s">
        <v>84</v>
      </c>
      <c r="BX40" s="1" t="s">
        <v>213</v>
      </c>
      <c r="BY40" s="1" t="s">
        <v>214</v>
      </c>
      <c r="BZ40" s="1" t="s">
        <v>8</v>
      </c>
      <c r="CA40" s="1" t="s">
        <v>215</v>
      </c>
      <c r="CB40" s="1" t="s">
        <v>216</v>
      </c>
      <c r="CC40" s="3" t="s">
        <v>207</v>
      </c>
      <c r="CD40" s="3" t="s">
        <v>217</v>
      </c>
      <c r="CE40" s="3" t="s">
        <v>102</v>
      </c>
      <c r="CF40" s="3" t="s">
        <v>103</v>
      </c>
      <c r="CG40" s="1" t="s">
        <v>218</v>
      </c>
      <c r="CH40" s="1" t="s">
        <v>219</v>
      </c>
      <c r="CI40" s="1" t="s">
        <v>220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143</v>
      </c>
      <c r="Y41" s="1" t="s">
        <v>5</v>
      </c>
      <c r="Z41" s="1" t="s">
        <v>84</v>
      </c>
      <c r="AA41" s="1" t="s">
        <v>144</v>
      </c>
      <c r="AB41" s="1" t="s">
        <v>145</v>
      </c>
      <c r="AC41" s="1" t="s">
        <v>8</v>
      </c>
      <c r="AD41" s="1" t="s">
        <v>146</v>
      </c>
      <c r="AE41" s="1" t="s">
        <v>147</v>
      </c>
      <c r="AF41" s="1" t="s">
        <v>205</v>
      </c>
      <c r="AG41" s="1" t="s">
        <v>148</v>
      </c>
      <c r="AH41" s="1"/>
      <c r="AI41" s="1"/>
      <c r="AJ41" s="465"/>
      <c r="AK41" s="465"/>
      <c r="AL41" s="465"/>
      <c r="AM41" s="465"/>
      <c r="AN41" s="465"/>
      <c r="AO41" s="465"/>
      <c r="AP41" s="1"/>
      <c r="AQ41" s="1"/>
      <c r="AR41" s="1"/>
      <c r="AS41" s="56"/>
      <c r="AT41" s="1"/>
      <c r="AU41" s="1" t="s">
        <v>158</v>
      </c>
      <c r="AV41" s="1" t="s">
        <v>5</v>
      </c>
      <c r="AW41" s="1" t="s">
        <v>84</v>
      </c>
      <c r="AX41" s="1" t="s">
        <v>157</v>
      </c>
      <c r="AY41" s="1" t="s">
        <v>156</v>
      </c>
      <c r="AZ41" s="1" t="s">
        <v>8</v>
      </c>
      <c r="BA41" s="1" t="s">
        <v>155</v>
      </c>
      <c r="BB41" s="1" t="s">
        <v>154</v>
      </c>
      <c r="BC41" s="3" t="s">
        <v>149</v>
      </c>
      <c r="BD41" s="3" t="s">
        <v>150</v>
      </c>
      <c r="BE41" s="3" t="s">
        <v>102</v>
      </c>
      <c r="BF41" s="3" t="s">
        <v>103</v>
      </c>
      <c r="BG41" s="1" t="s">
        <v>153</v>
      </c>
      <c r="BH41" s="1" t="s">
        <v>151</v>
      </c>
      <c r="BI41" s="1" t="s">
        <v>152</v>
      </c>
      <c r="BJ41" s="1"/>
      <c r="BM41" s="57"/>
      <c r="BQ41" s="1"/>
      <c r="BR41" s="1"/>
      <c r="BS41" s="1"/>
      <c r="BT41" s="1"/>
      <c r="BU41" s="1" t="s">
        <v>87</v>
      </c>
      <c r="BV41" s="1" t="s">
        <v>89</v>
      </c>
      <c r="BW41" s="2" t="s">
        <v>85</v>
      </c>
      <c r="BX41" s="2" t="s">
        <v>94</v>
      </c>
      <c r="BY41" s="2" t="s">
        <v>24</v>
      </c>
      <c r="BZ41" s="2" t="s">
        <v>97</v>
      </c>
      <c r="CA41" s="2" t="s">
        <v>94</v>
      </c>
      <c r="CB41" s="2" t="s">
        <v>94</v>
      </c>
      <c r="CC41" s="4" t="s">
        <v>105</v>
      </c>
      <c r="CD41" s="4" t="s">
        <v>104</v>
      </c>
      <c r="CE41" s="4" t="s">
        <v>105</v>
      </c>
      <c r="CF41" s="4" t="s">
        <v>104</v>
      </c>
      <c r="CG41" s="4" t="s">
        <v>105</v>
      </c>
      <c r="CH41" s="1" t="s">
        <v>93</v>
      </c>
      <c r="CI41" s="1" t="s">
        <v>91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8" t="s">
        <v>320</v>
      </c>
      <c r="S42" s="134" t="s">
        <v>340</v>
      </c>
      <c r="T42" s="415" t="s">
        <v>336</v>
      </c>
      <c r="U42" s="101" t="s">
        <v>311</v>
      </c>
      <c r="V42" s="1"/>
      <c r="W42" s="7"/>
      <c r="X42" s="1" t="s">
        <v>87</v>
      </c>
      <c r="Y42" s="1" t="s">
        <v>89</v>
      </c>
      <c r="Z42" s="2" t="s">
        <v>85</v>
      </c>
      <c r="AA42" s="2" t="s">
        <v>94</v>
      </c>
      <c r="AB42" s="2" t="s">
        <v>24</v>
      </c>
      <c r="AC42" s="1" t="s">
        <v>97</v>
      </c>
      <c r="AD42" s="2" t="s">
        <v>94</v>
      </c>
      <c r="AE42" s="2" t="s">
        <v>94</v>
      </c>
      <c r="AF42" s="2" t="s">
        <v>93</v>
      </c>
      <c r="AG42" s="1" t="s">
        <v>91</v>
      </c>
      <c r="AH42" s="1"/>
      <c r="AI42" s="1"/>
      <c r="AJ42" s="465"/>
      <c r="AK42" s="465"/>
      <c r="AL42" s="465"/>
      <c r="AM42" s="465"/>
      <c r="AN42" s="465"/>
      <c r="AO42" s="465"/>
      <c r="AP42" s="1"/>
      <c r="AQ42" s="1"/>
      <c r="AR42" s="1"/>
      <c r="AS42" s="56"/>
      <c r="AT42" s="1"/>
      <c r="AU42" s="1" t="s">
        <v>87</v>
      </c>
      <c r="AV42" s="1" t="s">
        <v>89</v>
      </c>
      <c r="AW42" s="2" t="s">
        <v>85</v>
      </c>
      <c r="AX42" s="2" t="s">
        <v>94</v>
      </c>
      <c r="AY42" s="2" t="s">
        <v>24</v>
      </c>
      <c r="AZ42" s="2" t="s">
        <v>97</v>
      </c>
      <c r="BA42" s="2" t="s">
        <v>94</v>
      </c>
      <c r="BB42" s="2" t="s">
        <v>94</v>
      </c>
      <c r="BC42" s="4" t="s">
        <v>105</v>
      </c>
      <c r="BD42" s="4" t="s">
        <v>104</v>
      </c>
      <c r="BE42" s="4" t="s">
        <v>105</v>
      </c>
      <c r="BF42" s="4" t="s">
        <v>104</v>
      </c>
      <c r="BG42" s="4" t="s">
        <v>105</v>
      </c>
      <c r="BH42" s="1" t="s">
        <v>93</v>
      </c>
      <c r="BI42" s="1" t="s">
        <v>91</v>
      </c>
      <c r="BJ42" s="1"/>
      <c r="BL42" s="108" t="s">
        <v>320</v>
      </c>
      <c r="BM42" s="134" t="s">
        <v>340</v>
      </c>
      <c r="BN42" s="402" t="s">
        <v>336</v>
      </c>
      <c r="BO42" s="101" t="s">
        <v>311</v>
      </c>
      <c r="BQ42" s="1"/>
      <c r="BR42" s="1"/>
      <c r="BS42" s="1"/>
      <c r="BT42" s="26" t="s">
        <v>22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0" t="s">
        <v>47</v>
      </c>
      <c r="S43" s="6" t="s">
        <v>318</v>
      </c>
      <c r="T43" s="416"/>
      <c r="U43" s="102" t="s">
        <v>47</v>
      </c>
      <c r="V43" s="1"/>
      <c r="W43" s="13" t="s">
        <v>64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22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0" t="s">
        <v>47</v>
      </c>
      <c r="BM43" s="6" t="s">
        <v>318</v>
      </c>
      <c r="BN43" s="403"/>
      <c r="BO43" s="102" t="s">
        <v>47</v>
      </c>
      <c r="BT43" s="24" t="s">
        <v>67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3" t="s">
        <v>180</v>
      </c>
      <c r="L44" s="70" t="s">
        <v>164</v>
      </c>
      <c r="M44" s="70" t="s">
        <v>163</v>
      </c>
      <c r="N44" s="58" t="s">
        <v>160</v>
      </c>
      <c r="O44" s="1"/>
      <c r="P44" s="1"/>
      <c r="Q44" s="1"/>
      <c r="R44" s="123">
        <f>N33+N46-AG38</f>
        <v>378.60718583733978</v>
      </c>
      <c r="S44" s="13">
        <f>M33+M46-AF38</f>
        <v>0</v>
      </c>
      <c r="T44" s="138" t="s">
        <v>333</v>
      </c>
      <c r="U44" s="102" t="s">
        <v>97</v>
      </c>
      <c r="V44" s="1"/>
      <c r="W44" s="13" t="s">
        <v>26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8" t="s">
        <v>320</v>
      </c>
      <c r="AL44" s="134" t="s">
        <v>340</v>
      </c>
      <c r="AM44" s="402" t="s">
        <v>336</v>
      </c>
      <c r="AN44" s="101" t="s">
        <v>311</v>
      </c>
      <c r="AO44" s="1"/>
      <c r="AP44" s="1"/>
      <c r="AQ44" s="1"/>
      <c r="AR44" s="1"/>
      <c r="AS44" s="45"/>
      <c r="AT44" s="24" t="s">
        <v>67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3">
        <f>(BI38-CI38)</f>
        <v>1844.0540671306007</v>
      </c>
      <c r="BM44" s="13">
        <f>BH38-CH38</f>
        <v>0</v>
      </c>
      <c r="BN44" s="138" t="s">
        <v>333</v>
      </c>
      <c r="BO44" s="102" t="s">
        <v>97</v>
      </c>
      <c r="BT44" s="59" t="s">
        <v>66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4" t="s">
        <v>204</v>
      </c>
      <c r="L45" s="38" t="s">
        <v>62</v>
      </c>
      <c r="M45" s="38" t="s">
        <v>10</v>
      </c>
      <c r="N45" s="47" t="s">
        <v>47</v>
      </c>
      <c r="O45" s="1"/>
      <c r="P45" s="1"/>
      <c r="Q45" s="1"/>
      <c r="R45" s="6">
        <f>N37-AG43</f>
        <v>276.71130726223782</v>
      </c>
      <c r="S45" s="4"/>
      <c r="T45" s="138" t="s">
        <v>334</v>
      </c>
      <c r="U45" s="102">
        <f>AG38/(N33+N46)</f>
        <v>0.99270786380145459</v>
      </c>
      <c r="V45" s="1"/>
      <c r="W45" s="39" t="s">
        <v>66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0" t="s">
        <v>47</v>
      </c>
      <c r="AL45" s="6" t="s">
        <v>318</v>
      </c>
      <c r="AM45" s="403"/>
      <c r="AN45" s="102" t="s">
        <v>47</v>
      </c>
      <c r="AO45" s="1"/>
      <c r="AP45" s="1"/>
      <c r="AQ45" s="1"/>
      <c r="AR45" s="1"/>
      <c r="AS45" s="45"/>
      <c r="AT45" s="59" t="s">
        <v>66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8" t="s">
        <v>334</v>
      </c>
      <c r="BO45" s="102">
        <f>CI38/BI38</f>
        <v>0.4466095899612133</v>
      </c>
      <c r="BQ45" s="7"/>
      <c r="BR45" s="7"/>
      <c r="BS45" s="45"/>
      <c r="BT45" s="4" t="s">
        <v>18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5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39" t="s">
        <v>335</v>
      </c>
      <c r="U46" s="98">
        <f>AG43/N37</f>
        <v>0.99466312443893445</v>
      </c>
      <c r="V46" s="1"/>
      <c r="W46" s="8" t="s">
        <v>18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3">
        <f>AG38-BI38</f>
        <v>48209.036632916235</v>
      </c>
      <c r="AL46" s="13">
        <f>BH38-AF38</f>
        <v>0</v>
      </c>
      <c r="AM46" s="138" t="s">
        <v>333</v>
      </c>
      <c r="AN46" s="102" t="s">
        <v>97</v>
      </c>
      <c r="AO46" s="1"/>
      <c r="AP46" s="1"/>
      <c r="AQ46" s="1"/>
      <c r="AR46" s="1"/>
      <c r="AS46" s="45"/>
      <c r="AT46" s="4" t="s">
        <v>18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39" t="s">
        <v>335</v>
      </c>
      <c r="BO46" s="98">
        <f>CI42/BI43</f>
        <v>-3.3555679094074267E-2</v>
      </c>
      <c r="BQ46" s="4"/>
      <c r="BR46" s="4"/>
      <c r="BS46" s="45"/>
      <c r="BT46" s="4"/>
      <c r="BU46" s="1" t="s">
        <v>88</v>
      </c>
      <c r="BV46" s="3" t="s">
        <v>90</v>
      </c>
      <c r="BW46" s="3" t="s">
        <v>86</v>
      </c>
      <c r="BX46" s="4"/>
      <c r="BY46" s="4"/>
      <c r="CD46" s="1"/>
      <c r="CE46" s="1"/>
      <c r="CF46" s="1"/>
      <c r="CG46" s="3" t="s">
        <v>95</v>
      </c>
      <c r="CH46" s="3" t="s">
        <v>95</v>
      </c>
      <c r="CI46" s="1" t="s">
        <v>92</v>
      </c>
    </row>
    <row r="47" spans="3:87" ht="18" x14ac:dyDescent="0.25">
      <c r="C47" s="463" t="s">
        <v>82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88</v>
      </c>
      <c r="Y47" s="3" t="s">
        <v>90</v>
      </c>
      <c r="Z47" s="3" t="s">
        <v>86</v>
      </c>
      <c r="AA47" s="4"/>
      <c r="AB47" s="4"/>
      <c r="AF47" s="3" t="s">
        <v>95</v>
      </c>
      <c r="AG47" s="1" t="s">
        <v>92</v>
      </c>
      <c r="AH47" s="1"/>
      <c r="AI47" s="1"/>
      <c r="AJ47" s="1"/>
      <c r="AK47" s="6"/>
      <c r="AL47" s="4"/>
      <c r="AM47" s="138" t="s">
        <v>334</v>
      </c>
      <c r="AN47" s="102">
        <f>BI38/AG38</f>
        <v>6.4652672013850165E-2</v>
      </c>
      <c r="AO47" s="1"/>
      <c r="AP47" s="1"/>
      <c r="AQ47" s="1"/>
      <c r="AR47" s="1"/>
      <c r="AS47" s="45"/>
      <c r="AT47" s="4"/>
      <c r="AU47" s="1" t="s">
        <v>88</v>
      </c>
      <c r="AV47" s="3" t="s">
        <v>90</v>
      </c>
      <c r="AW47" s="3" t="s">
        <v>86</v>
      </c>
      <c r="AX47" s="4"/>
      <c r="AY47" s="4"/>
      <c r="BD47" s="1"/>
      <c r="BE47" s="1"/>
      <c r="BF47" s="1"/>
      <c r="BG47" s="3" t="s">
        <v>95</v>
      </c>
      <c r="BH47" s="3" t="s">
        <v>95</v>
      </c>
      <c r="BI47" s="1" t="s">
        <v>92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63"/>
      <c r="D48" s="1"/>
      <c r="E48" s="1" t="s">
        <v>136</v>
      </c>
      <c r="F48" s="1" t="s">
        <v>5</v>
      </c>
      <c r="G48" s="1" t="s">
        <v>84</v>
      </c>
      <c r="H48" s="1" t="s">
        <v>137</v>
      </c>
      <c r="I48" s="1" t="s">
        <v>138</v>
      </c>
      <c r="J48" s="1" t="s">
        <v>8</v>
      </c>
      <c r="K48" s="1" t="s">
        <v>139</v>
      </c>
      <c r="L48" s="1" t="s">
        <v>140</v>
      </c>
      <c r="M48" s="1" t="s">
        <v>141</v>
      </c>
      <c r="N48" s="1" t="s">
        <v>142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39" t="s">
        <v>335</v>
      </c>
      <c r="AN48" s="98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63"/>
      <c r="D49" s="7"/>
      <c r="E49" s="1" t="s">
        <v>87</v>
      </c>
      <c r="F49" s="1" t="s">
        <v>89</v>
      </c>
      <c r="G49" s="2" t="s">
        <v>85</v>
      </c>
      <c r="H49" s="1" t="s">
        <v>13</v>
      </c>
      <c r="I49" s="2" t="s">
        <v>24</v>
      </c>
      <c r="J49" s="1" t="s">
        <v>97</v>
      </c>
      <c r="K49" s="1" t="s">
        <v>13</v>
      </c>
      <c r="L49" s="1" t="s">
        <v>13</v>
      </c>
      <c r="M49" s="1" t="s">
        <v>25</v>
      </c>
      <c r="N49" s="1" t="s">
        <v>47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63"/>
      <c r="D50" s="17" t="s">
        <v>26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M50" s="4"/>
      <c r="AN50" s="4"/>
      <c r="AO50" s="4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63"/>
      <c r="D51" s="7" t="s">
        <v>66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L51" s="4"/>
      <c r="AM51" s="4"/>
      <c r="AN51" s="4"/>
      <c r="AO51" s="4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6" x14ac:dyDescent="0.2">
      <c r="C52" s="6"/>
      <c r="D52" s="8" t="s">
        <v>18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L52" s="4"/>
      <c r="AM52" s="4"/>
      <c r="AN52" s="4"/>
      <c r="AO52" s="4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88</v>
      </c>
      <c r="F53" s="3" t="s">
        <v>90</v>
      </c>
      <c r="G53" s="3" t="s">
        <v>86</v>
      </c>
      <c r="H53" s="4"/>
      <c r="I53" s="4"/>
      <c r="M53" s="3" t="s">
        <v>95</v>
      </c>
      <c r="N53" s="1" t="s">
        <v>92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L53" s="4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61">
        <v>2</v>
      </c>
      <c r="D57" s="461"/>
      <c r="E57" s="461"/>
      <c r="F57" s="461"/>
      <c r="G57" s="461"/>
      <c r="H57" s="461"/>
      <c r="I57" s="461"/>
      <c r="J57" s="461"/>
      <c r="K57" s="461"/>
      <c r="L57" s="461"/>
      <c r="M57" s="461"/>
      <c r="N57" s="461"/>
      <c r="O57" s="46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W1733"/>
  <sheetViews>
    <sheetView tabSelected="1" topLeftCell="A5" zoomScale="91" workbookViewId="0">
      <selection activeCell="R57" sqref="R57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32" max="34" width="11.5" style="3"/>
  </cols>
  <sheetData>
    <row r="1" spans="1:49" ht="17" x14ac:dyDescent="0.25">
      <c r="K1" s="341"/>
      <c r="AC1" s="341"/>
      <c r="AG1" s="3" t="s">
        <v>685</v>
      </c>
      <c r="AH1" s="3" t="s">
        <v>351</v>
      </c>
      <c r="AT1" t="s">
        <v>31</v>
      </c>
      <c r="AU1" t="s">
        <v>38</v>
      </c>
      <c r="AV1" t="s">
        <v>690</v>
      </c>
      <c r="AW1" t="s">
        <v>691</v>
      </c>
    </row>
    <row r="2" spans="1:49" x14ac:dyDescent="0.2">
      <c r="B2" s="160"/>
      <c r="C2" s="160"/>
      <c r="D2" s="160"/>
      <c r="E2" s="160"/>
      <c r="F2" s="160"/>
      <c r="G2" s="160"/>
      <c r="H2" s="160"/>
      <c r="I2" s="160"/>
      <c r="K2" s="341"/>
      <c r="AC2" s="341"/>
      <c r="AG2" s="3" t="s">
        <v>57</v>
      </c>
      <c r="AH2" s="3" t="s">
        <v>12</v>
      </c>
      <c r="AT2" t="s">
        <v>97</v>
      </c>
      <c r="AU2" t="s">
        <v>97</v>
      </c>
      <c r="AV2" t="s">
        <v>97</v>
      </c>
      <c r="AW2" t="s">
        <v>57</v>
      </c>
    </row>
    <row r="3" spans="1:49" x14ac:dyDescent="0.2">
      <c r="A3" s="160"/>
      <c r="B3" s="160"/>
      <c r="C3" s="160"/>
      <c r="D3" s="160"/>
      <c r="E3" s="160"/>
      <c r="F3" s="160"/>
      <c r="G3" s="160"/>
      <c r="H3" s="160"/>
      <c r="I3" s="160"/>
      <c r="K3" s="341"/>
      <c r="AC3" s="341"/>
      <c r="AF3" s="3">
        <v>0.01</v>
      </c>
      <c r="AG3" s="3">
        <f t="shared" ref="AG3:AG66" si="0">RT0*AF3*LN(AF3)</f>
        <v>-0.11409640708038887</v>
      </c>
      <c r="AH3" s="3">
        <v>1</v>
      </c>
      <c r="AT3">
        <v>1</v>
      </c>
      <c r="AU3">
        <f>1/AT3</f>
        <v>1</v>
      </c>
      <c r="AV3">
        <f>AU3*LN(AU3)</f>
        <v>0</v>
      </c>
      <c r="AW3">
        <f t="shared" ref="AW3:AW34" si="1">AT3*RT0*AV3</f>
        <v>0</v>
      </c>
    </row>
    <row r="4" spans="1:49" ht="15" customHeight="1" x14ac:dyDescent="0.2">
      <c r="A4" s="160"/>
      <c r="B4" s="162"/>
      <c r="C4" s="162"/>
      <c r="D4" s="368" t="s">
        <v>311</v>
      </c>
      <c r="E4" s="368"/>
      <c r="F4" s="368"/>
      <c r="G4" s="368"/>
      <c r="H4" s="160"/>
      <c r="I4" s="160"/>
      <c r="K4" s="341"/>
      <c r="S4" s="439" t="s">
        <v>673</v>
      </c>
      <c r="T4" s="439"/>
      <c r="U4" s="439"/>
      <c r="AC4" s="341"/>
      <c r="AF4" s="3">
        <f>AF3+0.001</f>
        <v>1.0999999999999999E-2</v>
      </c>
      <c r="AG4" s="3">
        <f t="shared" si="0"/>
        <v>-0.12290853162764798</v>
      </c>
      <c r="AH4" s="3">
        <f>AH3+1</f>
        <v>2</v>
      </c>
      <c r="AT4">
        <v>2</v>
      </c>
      <c r="AU4">
        <f t="shared" ref="AU4:AU67" si="2">1/AT4</f>
        <v>0.5</v>
      </c>
      <c r="AV4">
        <f t="shared" ref="AV4:AV67" si="3">AU4*LN(AU4)</f>
        <v>-0.34657359027997264</v>
      </c>
      <c r="AW4">
        <f t="shared" si="1"/>
        <v>-1.7173220464342647</v>
      </c>
    </row>
    <row r="5" spans="1:49" ht="15" customHeight="1" x14ac:dyDescent="0.2">
      <c r="A5" s="160"/>
      <c r="B5" s="162"/>
      <c r="C5" s="162"/>
      <c r="D5" s="459" t="s">
        <v>81</v>
      </c>
      <c r="E5" s="459"/>
      <c r="F5" s="459"/>
      <c r="G5" s="459"/>
      <c r="H5" s="160"/>
      <c r="I5" s="160"/>
      <c r="K5" s="341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C5" s="341"/>
      <c r="AF5" s="3">
        <f t="shared" ref="AF5:AF68" si="4">AF4+0.0001</f>
        <v>1.1099999999999999E-2</v>
      </c>
      <c r="AG5" s="3">
        <f t="shared" si="0"/>
        <v>-0.12377700194328688</v>
      </c>
      <c r="AH5" s="3">
        <f t="shared" ref="AH5:AH68" si="5">AH4+1</f>
        <v>3</v>
      </c>
      <c r="AT5">
        <v>3</v>
      </c>
      <c r="AU5">
        <f t="shared" si="2"/>
        <v>0.33333333333333331</v>
      </c>
      <c r="AV5">
        <f t="shared" si="3"/>
        <v>-0.36620409622270322</v>
      </c>
      <c r="AW5">
        <f t="shared" si="1"/>
        <v>-2.7218910452600253</v>
      </c>
    </row>
    <row r="6" spans="1:49" ht="15" customHeight="1" x14ac:dyDescent="0.2">
      <c r="A6" s="160"/>
      <c r="B6" s="457" t="s">
        <v>4</v>
      </c>
      <c r="C6" s="3"/>
      <c r="D6" s="189" t="s">
        <v>352</v>
      </c>
      <c r="E6" s="189" t="s">
        <v>186</v>
      </c>
      <c r="F6" s="189" t="s">
        <v>175</v>
      </c>
      <c r="G6" s="189" t="s">
        <v>342</v>
      </c>
      <c r="H6" s="160"/>
      <c r="I6" s="160"/>
      <c r="K6" s="341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C6" s="341"/>
      <c r="AF6" s="3">
        <f t="shared" si="4"/>
        <v>1.1199999999999998E-2</v>
      </c>
      <c r="AG6" s="3">
        <f t="shared" si="0"/>
        <v>-0.12464324018188498</v>
      </c>
      <c r="AH6" s="3">
        <f t="shared" si="5"/>
        <v>4</v>
      </c>
      <c r="AT6">
        <v>4</v>
      </c>
      <c r="AU6">
        <f t="shared" si="2"/>
        <v>0.25</v>
      </c>
      <c r="AV6">
        <f t="shared" si="3"/>
        <v>-0.34657359027997264</v>
      </c>
      <c r="AW6">
        <f t="shared" si="1"/>
        <v>-3.4346440928685293</v>
      </c>
    </row>
    <row r="7" spans="1:49" ht="16" customHeight="1" x14ac:dyDescent="0.2">
      <c r="A7" s="160"/>
      <c r="B7" s="457"/>
      <c r="C7" s="144" t="s">
        <v>333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0"/>
      <c r="I7" s="160"/>
      <c r="K7" s="341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C7" s="341"/>
      <c r="AF7" s="3">
        <f t="shared" si="4"/>
        <v>1.1299999999999998E-2</v>
      </c>
      <c r="AG7" s="3">
        <f t="shared" si="0"/>
        <v>-0.12550726627323353</v>
      </c>
      <c r="AH7" s="3">
        <f t="shared" si="5"/>
        <v>5</v>
      </c>
      <c r="AT7">
        <v>5</v>
      </c>
      <c r="AU7">
        <f t="shared" si="2"/>
        <v>0.2</v>
      </c>
      <c r="AV7">
        <f t="shared" si="3"/>
        <v>-0.32188758248682009</v>
      </c>
      <c r="AW7">
        <f t="shared" si="1"/>
        <v>-3.9874983075851791</v>
      </c>
    </row>
    <row r="8" spans="1:49" ht="15" customHeight="1" x14ac:dyDescent="0.2">
      <c r="A8" s="160"/>
      <c r="B8" s="457"/>
      <c r="C8" s="146" t="s">
        <v>334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0"/>
      <c r="I8" s="160"/>
      <c r="K8" s="341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  <c r="AC8" s="341"/>
      <c r="AF8" s="3">
        <f t="shared" si="4"/>
        <v>1.1399999999999997E-2</v>
      </c>
      <c r="AG8" s="3">
        <f t="shared" si="0"/>
        <v>-0.12636909979437022</v>
      </c>
      <c r="AH8" s="3">
        <f t="shared" si="5"/>
        <v>6</v>
      </c>
      <c r="AT8">
        <v>6</v>
      </c>
      <c r="AU8">
        <f t="shared" si="2"/>
        <v>0.16666666666666666</v>
      </c>
      <c r="AV8">
        <f t="shared" si="3"/>
        <v>-0.29862657820467581</v>
      </c>
      <c r="AW8">
        <f t="shared" si="1"/>
        <v>-4.43921309169429</v>
      </c>
    </row>
    <row r="9" spans="1:49" ht="15" customHeight="1" x14ac:dyDescent="0.2">
      <c r="A9" s="160"/>
      <c r="B9" s="457"/>
      <c r="C9" s="145" t="s">
        <v>385</v>
      </c>
      <c r="D9" s="159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0"/>
      <c r="I9" s="160"/>
      <c r="K9" s="341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C9" s="341"/>
      <c r="AF9" s="3">
        <f t="shared" si="4"/>
        <v>1.1499999999999996E-2</v>
      </c>
      <c r="AG9" s="3">
        <f t="shared" si="0"/>
        <v>-0.12722875997886265</v>
      </c>
      <c r="AH9" s="3">
        <f t="shared" si="5"/>
        <v>7</v>
      </c>
      <c r="AT9">
        <v>7</v>
      </c>
      <c r="AU9">
        <f t="shared" si="2"/>
        <v>0.14285714285714285</v>
      </c>
      <c r="AV9">
        <f t="shared" si="3"/>
        <v>-0.27798716415075903</v>
      </c>
      <c r="AW9">
        <f t="shared" si="1"/>
        <v>-4.8211324998152705</v>
      </c>
    </row>
    <row r="10" spans="1:49" ht="15" customHeight="1" x14ac:dyDescent="0.2">
      <c r="A10" s="160"/>
      <c r="C10" s="131"/>
      <c r="D10" s="160"/>
      <c r="E10" s="195"/>
      <c r="F10" s="195"/>
      <c r="G10" s="195"/>
      <c r="H10" s="162"/>
      <c r="I10" s="160"/>
      <c r="K10" s="341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C10" s="341"/>
      <c r="AF10" s="3">
        <f t="shared" si="4"/>
        <v>1.1599999999999996E-2</v>
      </c>
      <c r="AG10" s="3">
        <f t="shared" si="0"/>
        <v>-0.1280862657257687</v>
      </c>
      <c r="AH10" s="3">
        <f t="shared" si="5"/>
        <v>8</v>
      </c>
      <c r="AT10">
        <v>8</v>
      </c>
      <c r="AU10">
        <f t="shared" si="2"/>
        <v>0.125</v>
      </c>
      <c r="AV10">
        <f t="shared" si="3"/>
        <v>-0.25993019270997947</v>
      </c>
      <c r="AW10">
        <f t="shared" si="1"/>
        <v>-5.151966139302794</v>
      </c>
    </row>
    <row r="11" spans="1:49" ht="15" customHeight="1" x14ac:dyDescent="0.2">
      <c r="A11" s="160"/>
      <c r="B11" s="160"/>
      <c r="C11" s="160"/>
      <c r="D11" s="160"/>
      <c r="E11" s="162"/>
      <c r="F11" s="162"/>
      <c r="G11" s="162"/>
      <c r="H11" s="162"/>
      <c r="I11" s="160"/>
      <c r="K11" s="341"/>
      <c r="M11" s="160"/>
      <c r="N11" s="160"/>
      <c r="O11" s="160"/>
      <c r="P11" s="469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C11" s="341"/>
      <c r="AF11" s="3">
        <f t="shared" si="4"/>
        <v>1.1699999999999995E-2</v>
      </c>
      <c r="AG11" s="3">
        <f t="shared" si="0"/>
        <v>-0.12894163560828839</v>
      </c>
      <c r="AH11" s="3">
        <f t="shared" si="5"/>
        <v>9</v>
      </c>
      <c r="AT11">
        <v>9</v>
      </c>
      <c r="AU11">
        <f t="shared" si="2"/>
        <v>0.1111111111111111</v>
      </c>
      <c r="AV11">
        <f t="shared" si="3"/>
        <v>-0.24413606414846883</v>
      </c>
      <c r="AW11">
        <f t="shared" si="1"/>
        <v>-5.4437820905200516</v>
      </c>
    </row>
    <row r="12" spans="1:49" ht="15" customHeight="1" x14ac:dyDescent="0.2">
      <c r="A12" s="160"/>
      <c r="B12" s="160"/>
      <c r="C12" s="160"/>
      <c r="D12" s="160"/>
      <c r="E12" s="160"/>
      <c r="F12" s="160"/>
      <c r="G12" s="160"/>
      <c r="H12" s="160"/>
      <c r="I12" s="160"/>
      <c r="K12" s="341"/>
      <c r="M12" s="160"/>
      <c r="N12" s="160"/>
      <c r="O12" s="160"/>
      <c r="P12" s="469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C12" s="341"/>
      <c r="AF12" s="3">
        <f t="shared" si="4"/>
        <v>1.1799999999999995E-2</v>
      </c>
      <c r="AG12" s="3">
        <f t="shared" si="0"/>
        <v>-0.12979488788211926</v>
      </c>
      <c r="AH12" s="3">
        <f t="shared" si="5"/>
        <v>10</v>
      </c>
      <c r="AT12">
        <v>10</v>
      </c>
      <c r="AU12">
        <f t="shared" si="2"/>
        <v>0.1</v>
      </c>
      <c r="AV12">
        <f t="shared" si="3"/>
        <v>-0.23025850929940456</v>
      </c>
      <c r="AW12">
        <f t="shared" si="1"/>
        <v>-5.7048203540194438</v>
      </c>
    </row>
    <row r="13" spans="1:49" ht="15" customHeight="1" x14ac:dyDescent="0.2">
      <c r="A13" s="160"/>
      <c r="B13" s="162"/>
      <c r="C13" s="162"/>
      <c r="D13" s="368" t="s">
        <v>311</v>
      </c>
      <c r="E13" s="368"/>
      <c r="F13" s="368"/>
      <c r="G13" s="368"/>
      <c r="H13" s="368"/>
      <c r="I13" s="160"/>
      <c r="K13" s="341"/>
      <c r="M13" s="160"/>
      <c r="N13" s="160"/>
      <c r="O13" s="160"/>
      <c r="P13" s="160"/>
      <c r="Q13" s="160"/>
      <c r="R13" s="160"/>
      <c r="S13" s="160"/>
      <c r="T13" s="469" t="s">
        <v>232</v>
      </c>
      <c r="U13" s="160"/>
      <c r="V13" s="160"/>
      <c r="W13" s="160"/>
      <c r="X13" s="160"/>
      <c r="Y13" s="160"/>
      <c r="Z13" s="160"/>
      <c r="AA13" s="160"/>
      <c r="AC13" s="341"/>
      <c r="AF13" s="3">
        <f t="shared" si="4"/>
        <v>1.1899999999999994E-2</v>
      </c>
      <c r="AG13" s="3">
        <f t="shared" si="0"/>
        <v>-0.13064604049352918</v>
      </c>
      <c r="AH13" s="3">
        <f t="shared" si="5"/>
        <v>11</v>
      </c>
      <c r="AT13">
        <v>11</v>
      </c>
      <c r="AU13">
        <f t="shared" si="2"/>
        <v>9.0909090909090912E-2</v>
      </c>
      <c r="AV13">
        <f t="shared" si="3"/>
        <v>-0.21799047934530644</v>
      </c>
      <c r="AW13">
        <f t="shared" si="1"/>
        <v>-5.9409581868176051</v>
      </c>
    </row>
    <row r="14" spans="1:49" ht="15" customHeight="1" x14ac:dyDescent="0.2">
      <c r="A14" s="160"/>
      <c r="B14" s="162"/>
      <c r="C14" s="162"/>
      <c r="D14" s="459" t="s">
        <v>81</v>
      </c>
      <c r="E14" s="459"/>
      <c r="F14" s="459"/>
      <c r="G14" s="459"/>
      <c r="H14" s="459"/>
      <c r="I14" s="160"/>
      <c r="K14" s="341"/>
      <c r="M14" s="160"/>
      <c r="N14" s="160"/>
      <c r="O14" s="160"/>
      <c r="P14" s="160"/>
      <c r="Q14" s="160"/>
      <c r="R14" s="160"/>
      <c r="S14" s="160"/>
      <c r="T14" s="469"/>
      <c r="U14" s="160"/>
      <c r="V14" s="160"/>
      <c r="W14" s="160"/>
      <c r="X14" s="160"/>
      <c r="Y14" s="160"/>
      <c r="Z14" s="160"/>
      <c r="AA14" s="160"/>
      <c r="AC14" s="341"/>
      <c r="AF14" s="3">
        <f t="shared" si="4"/>
        <v>1.1999999999999993E-2</v>
      </c>
      <c r="AG14" s="3">
        <f t="shared" si="0"/>
        <v>-0.13149511108715722</v>
      </c>
      <c r="AH14" s="3">
        <f t="shared" si="5"/>
        <v>12</v>
      </c>
      <c r="AT14">
        <v>12</v>
      </c>
      <c r="AU14">
        <f t="shared" si="2"/>
        <v>8.3333333333333329E-2</v>
      </c>
      <c r="AV14">
        <f t="shared" si="3"/>
        <v>-0.20707555414900003</v>
      </c>
      <c r="AW14">
        <f t="shared" si="1"/>
        <v>-6.1565351381285547</v>
      </c>
    </row>
    <row r="15" spans="1:49" ht="16" customHeight="1" x14ac:dyDescent="0.2">
      <c r="A15" s="160"/>
      <c r="B15" s="456" t="s">
        <v>19</v>
      </c>
      <c r="C15" s="3"/>
      <c r="D15" s="190" t="s">
        <v>352</v>
      </c>
      <c r="E15" s="190" t="s">
        <v>186</v>
      </c>
      <c r="F15" s="190" t="s">
        <v>175</v>
      </c>
      <c r="G15" s="190" t="s">
        <v>342</v>
      </c>
      <c r="H15" s="190" t="s">
        <v>343</v>
      </c>
      <c r="I15" s="160"/>
      <c r="K15" s="341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C15" s="341"/>
      <c r="AF15" s="3">
        <f t="shared" si="4"/>
        <v>1.2099999999999993E-2</v>
      </c>
      <c r="AG15" s="3">
        <f t="shared" si="0"/>
        <v>-0.13234211701355497</v>
      </c>
      <c r="AH15" s="3">
        <f t="shared" si="5"/>
        <v>13</v>
      </c>
      <c r="AT15">
        <v>13</v>
      </c>
      <c r="AU15">
        <f t="shared" si="2"/>
        <v>7.6923076923076927E-2</v>
      </c>
      <c r="AV15">
        <f t="shared" si="3"/>
        <v>-0.19730379672781054</v>
      </c>
      <c r="AW15">
        <f t="shared" si="1"/>
        <v>-6.3548467094646952</v>
      </c>
    </row>
    <row r="16" spans="1:49" x14ac:dyDescent="0.2">
      <c r="A16" s="160"/>
      <c r="B16" s="456"/>
      <c r="C16" s="144" t="s">
        <v>333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97</v>
      </c>
      <c r="I16" s="160"/>
      <c r="K16" s="341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C16" s="341"/>
      <c r="AF16" s="3">
        <f t="shared" si="4"/>
        <v>1.2199999999999992E-2</v>
      </c>
      <c r="AG16" s="3">
        <f t="shared" si="0"/>
        <v>-0.13318707533647806</v>
      </c>
      <c r="AH16" s="3">
        <f t="shared" si="5"/>
        <v>14</v>
      </c>
      <c r="AT16">
        <v>14</v>
      </c>
      <c r="AU16">
        <f t="shared" si="2"/>
        <v>7.1428571428571425E-2</v>
      </c>
      <c r="AV16">
        <f t="shared" si="3"/>
        <v>-0.18850409497251847</v>
      </c>
      <c r="AW16">
        <f t="shared" si="1"/>
        <v>-6.5384545462495351</v>
      </c>
    </row>
    <row r="17" spans="1:49" x14ac:dyDescent="0.2">
      <c r="A17" s="160"/>
      <c r="B17" s="456"/>
      <c r="C17" s="146" t="s">
        <v>334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0"/>
      <c r="K17" s="341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C17" s="341"/>
      <c r="AF17" s="3">
        <f t="shared" si="4"/>
        <v>1.2299999999999991E-2</v>
      </c>
      <c r="AG17" s="3">
        <f t="shared" si="0"/>
        <v>-0.13403000283993891</v>
      </c>
      <c r="AH17" s="3">
        <f t="shared" si="5"/>
        <v>15</v>
      </c>
      <c r="AT17">
        <v>15</v>
      </c>
      <c r="AU17">
        <f t="shared" si="2"/>
        <v>6.6666666666666666E-2</v>
      </c>
      <c r="AV17">
        <f t="shared" si="3"/>
        <v>-0.18053668007348067</v>
      </c>
      <c r="AW17">
        <f t="shared" si="1"/>
        <v>-6.7093893528452044</v>
      </c>
    </row>
    <row r="18" spans="1:49" x14ac:dyDescent="0.2">
      <c r="A18" s="160"/>
      <c r="B18" s="456"/>
      <c r="C18" s="145" t="s">
        <v>385</v>
      </c>
      <c r="D18" s="159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0"/>
      <c r="K18" s="341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C18" s="341"/>
      <c r="AF18" s="3">
        <f t="shared" si="4"/>
        <v>1.2399999999999991E-2</v>
      </c>
      <c r="AG18" s="3">
        <f t="shared" si="0"/>
        <v>-0.13487091603503021</v>
      </c>
      <c r="AH18" s="3">
        <f t="shared" si="5"/>
        <v>16</v>
      </c>
      <c r="AT18">
        <v>16</v>
      </c>
      <c r="AU18">
        <f t="shared" si="2"/>
        <v>6.25E-2</v>
      </c>
      <c r="AV18">
        <f t="shared" si="3"/>
        <v>-0.17328679513998632</v>
      </c>
      <c r="AW18">
        <f t="shared" si="1"/>
        <v>-6.8692881857370587</v>
      </c>
    </row>
    <row r="19" spans="1:49" ht="15" customHeight="1" x14ac:dyDescent="0.2">
      <c r="A19" s="160"/>
      <c r="C19" s="131"/>
      <c r="D19" s="160"/>
      <c r="E19" s="195"/>
      <c r="F19" s="195"/>
      <c r="G19" s="195"/>
      <c r="H19" s="195"/>
      <c r="I19" s="160"/>
      <c r="K19" s="341"/>
      <c r="L19" t="s">
        <v>424</v>
      </c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365"/>
      <c r="X19" s="160"/>
      <c r="Y19" s="160"/>
      <c r="Z19" s="160"/>
      <c r="AA19" s="160"/>
      <c r="AC19" s="341"/>
      <c r="AF19" s="3">
        <f t="shared" si="4"/>
        <v>1.249999999999999E-2</v>
      </c>
      <c r="AG19" s="3">
        <f t="shared" si="0"/>
        <v>-0.13570983116652788</v>
      </c>
      <c r="AH19" s="3">
        <f t="shared" si="5"/>
        <v>17</v>
      </c>
      <c r="AT19">
        <v>17</v>
      </c>
      <c r="AU19">
        <f t="shared" si="2"/>
        <v>5.8823529411764705E-2</v>
      </c>
      <c r="AV19">
        <f t="shared" si="3"/>
        <v>-0.16665960847389508</v>
      </c>
      <c r="AW19">
        <f t="shared" si="1"/>
        <v>-7.019490051260048</v>
      </c>
    </row>
    <row r="20" spans="1:49" ht="15" customHeight="1" x14ac:dyDescent="0.2">
      <c r="A20" s="160"/>
      <c r="B20" s="160"/>
      <c r="C20" s="160"/>
      <c r="D20" s="160"/>
      <c r="E20" s="160"/>
      <c r="F20" s="160"/>
      <c r="G20" s="160"/>
      <c r="H20" s="160"/>
      <c r="I20" s="160"/>
      <c r="K20" s="341"/>
      <c r="M20" s="160"/>
      <c r="N20" s="160"/>
      <c r="O20" s="160"/>
      <c r="Q20" s="365"/>
      <c r="R20" s="160"/>
      <c r="S20" s="160"/>
      <c r="T20" s="160"/>
      <c r="U20" s="160"/>
      <c r="V20" s="160"/>
      <c r="X20" s="160"/>
      <c r="Y20" s="160"/>
      <c r="Z20" s="160"/>
      <c r="AA20" s="160"/>
      <c r="AC20" s="341"/>
      <c r="AF20" s="3">
        <f t="shared" si="4"/>
        <v>1.259999999999999E-2</v>
      </c>
      <c r="AG20" s="3">
        <f t="shared" si="0"/>
        <v>-0.13654676421928308</v>
      </c>
      <c r="AH20" s="3">
        <f t="shared" si="5"/>
        <v>18</v>
      </c>
      <c r="AT20">
        <v>18</v>
      </c>
      <c r="AU20">
        <f t="shared" si="2"/>
        <v>5.5555555555555552E-2</v>
      </c>
      <c r="AV20">
        <f t="shared" si="3"/>
        <v>-0.16057620877200915</v>
      </c>
      <c r="AW20">
        <f t="shared" si="1"/>
        <v>-7.1611041369543154</v>
      </c>
    </row>
    <row r="21" spans="1:49" ht="15" customHeight="1" x14ac:dyDescent="0.2">
      <c r="A21" s="160"/>
      <c r="B21" s="162"/>
      <c r="C21" s="162"/>
      <c r="D21" s="368" t="s">
        <v>311</v>
      </c>
      <c r="E21" s="368"/>
      <c r="F21" s="368"/>
      <c r="G21" s="368"/>
      <c r="H21" s="160"/>
      <c r="I21" s="160"/>
      <c r="K21" s="341"/>
      <c r="M21" s="160"/>
      <c r="N21" s="160"/>
      <c r="O21" s="160"/>
      <c r="P21" s="469" t="s">
        <v>56</v>
      </c>
      <c r="Q21" s="365"/>
      <c r="R21" s="160"/>
      <c r="S21" s="470" t="s">
        <v>672</v>
      </c>
      <c r="T21" s="470"/>
      <c r="U21" s="470"/>
      <c r="V21" s="160"/>
      <c r="W21" s="160"/>
      <c r="X21" s="469" t="s">
        <v>180</v>
      </c>
      <c r="Z21" s="160"/>
      <c r="AA21" s="160"/>
      <c r="AC21" s="341"/>
      <c r="AF21" s="3">
        <f t="shared" si="4"/>
        <v>1.2699999999999989E-2</v>
      </c>
      <c r="AG21" s="3">
        <f t="shared" si="0"/>
        <v>-0.13738173092441108</v>
      </c>
      <c r="AH21" s="3">
        <f t="shared" si="5"/>
        <v>19</v>
      </c>
      <c r="AT21">
        <v>19</v>
      </c>
      <c r="AU21">
        <f t="shared" si="2"/>
        <v>5.2631578947368418E-2</v>
      </c>
      <c r="AV21">
        <f t="shared" si="3"/>
        <v>-0.15497047258770741</v>
      </c>
      <c r="AW21">
        <f t="shared" si="1"/>
        <v>-7.2950595704913566</v>
      </c>
    </row>
    <row r="22" spans="1:49" ht="15" customHeight="1" x14ac:dyDescent="0.2">
      <c r="A22" s="160"/>
      <c r="B22" s="162"/>
      <c r="C22" s="162"/>
      <c r="D22" s="459" t="s">
        <v>81</v>
      </c>
      <c r="E22" s="459"/>
      <c r="F22" s="459"/>
      <c r="G22" s="459"/>
      <c r="H22" s="160"/>
      <c r="I22" s="160"/>
      <c r="K22" s="341"/>
      <c r="M22" s="160"/>
      <c r="N22" s="160"/>
      <c r="O22" s="160"/>
      <c r="P22" s="469"/>
      <c r="Q22" s="365"/>
      <c r="R22" s="160"/>
      <c r="S22" s="470"/>
      <c r="T22" s="470"/>
      <c r="U22" s="470"/>
      <c r="V22" s="160"/>
      <c r="X22" s="469"/>
      <c r="Y22" s="160"/>
      <c r="Z22" s="160"/>
      <c r="AA22" s="160"/>
      <c r="AC22" s="341"/>
      <c r="AF22" s="3">
        <f t="shared" si="4"/>
        <v>1.2799999999999988E-2</v>
      </c>
      <c r="AG22" s="3">
        <f t="shared" si="0"/>
        <v>-0.13821474676528531</v>
      </c>
      <c r="AH22" s="3">
        <f t="shared" si="5"/>
        <v>20</v>
      </c>
      <c r="AT22">
        <v>20</v>
      </c>
      <c r="AU22">
        <f t="shared" si="2"/>
        <v>0.05</v>
      </c>
      <c r="AV22">
        <f t="shared" si="3"/>
        <v>-0.14978661367769955</v>
      </c>
      <c r="AW22">
        <f t="shared" si="1"/>
        <v>-7.4221424004537084</v>
      </c>
    </row>
    <row r="23" spans="1:49" ht="15" customHeight="1" x14ac:dyDescent="0.2">
      <c r="A23" s="160"/>
      <c r="B23" s="460" t="s">
        <v>345</v>
      </c>
      <c r="C23" s="3"/>
      <c r="D23" s="153" t="s">
        <v>352</v>
      </c>
      <c r="E23" s="153" t="s">
        <v>186</v>
      </c>
      <c r="F23" s="153" t="s">
        <v>175</v>
      </c>
      <c r="G23" s="153" t="s">
        <v>363</v>
      </c>
      <c r="H23" s="160"/>
      <c r="I23" s="160"/>
      <c r="K23" s="341"/>
      <c r="M23" s="160"/>
      <c r="N23" s="160"/>
      <c r="O23" s="160"/>
      <c r="P23" s="160"/>
      <c r="Q23" s="160"/>
      <c r="R23" s="160"/>
      <c r="S23" s="470"/>
      <c r="T23" s="470"/>
      <c r="U23" s="470"/>
      <c r="V23" s="160"/>
      <c r="W23" s="160"/>
      <c r="X23" s="365"/>
      <c r="Z23" s="160"/>
      <c r="AA23" s="160"/>
      <c r="AC23" s="341"/>
      <c r="AF23" s="3">
        <f t="shared" si="4"/>
        <v>1.2899999999999988E-2</v>
      </c>
      <c r="AG23" s="3">
        <f t="shared" si="0"/>
        <v>-0.13904582698334408</v>
      </c>
      <c r="AH23" s="3">
        <f t="shared" si="5"/>
        <v>21</v>
      </c>
      <c r="AT23">
        <v>21</v>
      </c>
      <c r="AU23">
        <f t="shared" si="2"/>
        <v>4.7619047619047616E-2</v>
      </c>
      <c r="AV23">
        <f t="shared" si="3"/>
        <v>-0.14497725893921062</v>
      </c>
      <c r="AW23">
        <f t="shared" si="1"/>
        <v>-7.5430235450752958</v>
      </c>
    </row>
    <row r="24" spans="1:49" x14ac:dyDescent="0.2">
      <c r="A24" s="160"/>
      <c r="B24" s="460"/>
      <c r="C24" s="144" t="s">
        <v>333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0"/>
      <c r="I24" s="160"/>
      <c r="K24" s="341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C24" s="341"/>
      <c r="AF24" s="3">
        <f t="shared" si="4"/>
        <v>1.2999999999999987E-2</v>
      </c>
      <c r="AG24" s="3">
        <f t="shared" si="0"/>
        <v>-0.13987498658371716</v>
      </c>
      <c r="AH24" s="3">
        <f t="shared" si="5"/>
        <v>22</v>
      </c>
      <c r="AT24">
        <v>22</v>
      </c>
      <c r="AU24">
        <f t="shared" si="2"/>
        <v>4.5454545454545456E-2</v>
      </c>
      <c r="AV24">
        <f t="shared" si="3"/>
        <v>-0.14050192969810527</v>
      </c>
      <c r="AW24">
        <f t="shared" si="1"/>
        <v>-7.6582802332518689</v>
      </c>
    </row>
    <row r="25" spans="1:49" x14ac:dyDescent="0.2">
      <c r="A25" s="160"/>
      <c r="B25" s="460"/>
      <c r="C25" s="146" t="s">
        <v>334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0"/>
      <c r="I25" s="160"/>
      <c r="K25" s="341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C25" s="341"/>
      <c r="AF25" s="3">
        <f t="shared" si="4"/>
        <v>1.3099999999999987E-2</v>
      </c>
      <c r="AG25" s="3">
        <f t="shared" si="0"/>
        <v>-0.14070224034067932</v>
      </c>
      <c r="AH25" s="3">
        <f t="shared" si="5"/>
        <v>23</v>
      </c>
      <c r="AT25">
        <v>23</v>
      </c>
      <c r="AU25">
        <f t="shared" si="2"/>
        <v>4.3478260869565216E-2</v>
      </c>
      <c r="AV25">
        <f t="shared" si="3"/>
        <v>-0.13632583547518043</v>
      </c>
      <c r="AW25">
        <f t="shared" si="1"/>
        <v>-7.7684126755480154</v>
      </c>
    </row>
    <row r="26" spans="1:49" x14ac:dyDescent="0.2">
      <c r="A26" s="160"/>
      <c r="B26" s="460"/>
      <c r="C26" s="145" t="s">
        <v>385</v>
      </c>
      <c r="D26" s="159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0"/>
      <c r="K26" s="341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C26" s="341"/>
      <c r="AF26" s="3">
        <f t="shared" si="4"/>
        <v>1.3199999999999986E-2</v>
      </c>
      <c r="AG26" s="3">
        <f t="shared" si="0"/>
        <v>-0.14152760280293722</v>
      </c>
      <c r="AH26" s="3">
        <f t="shared" si="5"/>
        <v>24</v>
      </c>
      <c r="AT26">
        <v>24</v>
      </c>
      <c r="AU26">
        <f t="shared" si="2"/>
        <v>4.1666666666666664E-2</v>
      </c>
      <c r="AV26">
        <f t="shared" si="3"/>
        <v>-0.13241890959783106</v>
      </c>
      <c r="AW26">
        <f t="shared" si="1"/>
        <v>-7.8738571845628194</v>
      </c>
    </row>
    <row r="27" spans="1:49" x14ac:dyDescent="0.2">
      <c r="A27" s="160"/>
      <c r="B27" s="160"/>
      <c r="C27" s="196"/>
      <c r="D27" s="160"/>
      <c r="E27" s="195"/>
      <c r="F27" s="195"/>
      <c r="G27" s="195"/>
      <c r="H27" s="162"/>
      <c r="I27" s="160"/>
      <c r="K27" s="341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C27" s="341"/>
      <c r="AF27" s="3">
        <f t="shared" si="4"/>
        <v>1.3299999999999985E-2</v>
      </c>
      <c r="AG27" s="3">
        <f t="shared" si="0"/>
        <v>-0.14235108829875615</v>
      </c>
      <c r="AH27" s="3">
        <f t="shared" si="5"/>
        <v>25</v>
      </c>
      <c r="AT27">
        <v>25</v>
      </c>
      <c r="AU27">
        <f t="shared" si="2"/>
        <v>0.04</v>
      </c>
      <c r="AV27">
        <f t="shared" si="3"/>
        <v>-0.12875503299472801</v>
      </c>
      <c r="AW27">
        <f t="shared" si="1"/>
        <v>-7.9749966151703564</v>
      </c>
    </row>
    <row r="28" spans="1:49" x14ac:dyDescent="0.2">
      <c r="A28" s="160"/>
      <c r="B28" s="160"/>
      <c r="C28" s="160"/>
      <c r="D28" s="160"/>
      <c r="E28" s="160"/>
      <c r="F28" s="160"/>
      <c r="G28" s="160"/>
      <c r="H28" s="160"/>
      <c r="I28" s="160"/>
      <c r="K28" s="341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Y28" s="160"/>
      <c r="Z28" s="160"/>
      <c r="AA28" s="160"/>
      <c r="AC28" s="341"/>
      <c r="AF28" s="3">
        <f t="shared" si="4"/>
        <v>1.3399999999999985E-2</v>
      </c>
      <c r="AG28" s="3">
        <f t="shared" si="0"/>
        <v>-0.14317271094093273</v>
      </c>
      <c r="AH28" s="3">
        <f t="shared" si="5"/>
        <v>26</v>
      </c>
      <c r="AT28">
        <v>26</v>
      </c>
      <c r="AU28">
        <f t="shared" si="2"/>
        <v>3.8461538461538464E-2</v>
      </c>
      <c r="AV28">
        <f t="shared" si="3"/>
        <v>-0.12531140530851856</v>
      </c>
      <c r="AW28">
        <f t="shared" si="1"/>
        <v>-8.0721687558989608</v>
      </c>
    </row>
    <row r="29" spans="1:49" ht="15" customHeight="1" x14ac:dyDescent="0.2">
      <c r="A29" s="160"/>
      <c r="B29" s="160"/>
      <c r="C29" s="160"/>
      <c r="D29" s="160"/>
      <c r="E29" s="160"/>
      <c r="F29" s="160"/>
      <c r="G29" s="160"/>
      <c r="H29" s="160"/>
      <c r="I29" s="160"/>
      <c r="K29" s="341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AA29" s="160"/>
      <c r="AC29" s="341"/>
      <c r="AF29" s="3">
        <f t="shared" si="4"/>
        <v>1.3499999999999984E-2</v>
      </c>
      <c r="AG29" s="3">
        <f t="shared" si="0"/>
        <v>-0.14399248463161887</v>
      </c>
      <c r="AH29" s="3">
        <f t="shared" si="5"/>
        <v>27</v>
      </c>
      <c r="AT29">
        <v>27</v>
      </c>
      <c r="AU29">
        <f t="shared" si="2"/>
        <v>3.7037037037037035E-2</v>
      </c>
      <c r="AV29">
        <f t="shared" si="3"/>
        <v>-0.1220680320742344</v>
      </c>
      <c r="AW29">
        <f t="shared" si="1"/>
        <v>-8.1656731357800769</v>
      </c>
    </row>
    <row r="30" spans="1:49" ht="15" customHeight="1" x14ac:dyDescent="0.2">
      <c r="A30" s="160"/>
      <c r="B30" s="160"/>
      <c r="C30" s="160"/>
      <c r="D30" s="160"/>
      <c r="E30" s="160"/>
      <c r="F30" s="160"/>
      <c r="G30" s="160"/>
      <c r="H30" s="160"/>
      <c r="I30" s="160"/>
      <c r="K30" s="341"/>
      <c r="M30" s="160"/>
      <c r="N30" s="160"/>
      <c r="O30" s="160"/>
      <c r="P30" s="469"/>
      <c r="Q30" s="160"/>
      <c r="R30" s="160"/>
      <c r="S30" s="160"/>
      <c r="T30" s="469" t="s">
        <v>689</v>
      </c>
      <c r="U30" s="160"/>
      <c r="V30" s="160"/>
      <c r="W30" s="160"/>
      <c r="X30" s="160"/>
      <c r="Y30" s="160"/>
      <c r="Z30" s="160"/>
      <c r="AA30" s="160"/>
      <c r="AC30" s="341"/>
      <c r="AF30" s="3">
        <f t="shared" si="4"/>
        <v>1.3599999999999984E-2</v>
      </c>
      <c r="AG30" s="3">
        <f t="shared" si="0"/>
        <v>-0.14481042306700298</v>
      </c>
      <c r="AH30" s="3">
        <f t="shared" si="5"/>
        <v>28</v>
      </c>
      <c r="AT30">
        <v>28</v>
      </c>
      <c r="AU30">
        <f t="shared" si="2"/>
        <v>3.5714285714285712E-2</v>
      </c>
      <c r="AV30">
        <f t="shared" si="3"/>
        <v>-0.1190073039348287</v>
      </c>
      <c r="AW30">
        <f t="shared" si="1"/>
        <v>-8.2557765926837998</v>
      </c>
    </row>
    <row r="31" spans="1:49" x14ac:dyDescent="0.2">
      <c r="A31" s="160"/>
      <c r="B31" s="160"/>
      <c r="C31" s="160"/>
      <c r="D31" s="160"/>
      <c r="E31" s="160"/>
      <c r="F31" s="160"/>
      <c r="G31" s="160"/>
      <c r="H31" s="160"/>
      <c r="I31" s="160"/>
      <c r="K31" s="341"/>
      <c r="M31" s="160"/>
      <c r="N31" s="160"/>
      <c r="O31" s="160"/>
      <c r="P31" s="469"/>
      <c r="Q31" s="160"/>
      <c r="R31" s="160"/>
      <c r="S31" s="160"/>
      <c r="T31" s="469"/>
      <c r="U31" s="160"/>
      <c r="V31" s="160"/>
      <c r="W31" s="160"/>
      <c r="X31" s="160"/>
      <c r="Y31" s="160"/>
      <c r="Z31" s="160"/>
      <c r="AA31" s="160"/>
      <c r="AC31" s="341"/>
      <c r="AF31" s="3">
        <f t="shared" si="4"/>
        <v>1.3699999999999983E-2</v>
      </c>
      <c r="AG31" s="3">
        <f t="shared" si="0"/>
        <v>-0.14562653974185338</v>
      </c>
      <c r="AH31" s="3">
        <f t="shared" si="5"/>
        <v>29</v>
      </c>
      <c r="AT31">
        <v>29</v>
      </c>
      <c r="AU31">
        <f t="shared" si="2"/>
        <v>3.4482758620689655E-2</v>
      </c>
      <c r="AV31">
        <f t="shared" si="3"/>
        <v>-0.11611364930987841</v>
      </c>
      <c r="AW31">
        <f t="shared" si="1"/>
        <v>-8.3427178640912487</v>
      </c>
    </row>
    <row r="32" spans="1:49" x14ac:dyDescent="0.2">
      <c r="A32" s="160"/>
      <c r="B32" s="458" t="s">
        <v>382</v>
      </c>
      <c r="D32" s="188" t="s">
        <v>80</v>
      </c>
      <c r="E32" s="188" t="s">
        <v>344</v>
      </c>
      <c r="F32" s="160"/>
      <c r="G32" s="160"/>
      <c r="H32" s="160"/>
      <c r="I32" s="160"/>
      <c r="K32" s="341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C32" s="341"/>
      <c r="AF32" s="3">
        <f t="shared" si="4"/>
        <v>1.3799999999999982E-2</v>
      </c>
      <c r="AG32" s="3">
        <f t="shared" si="0"/>
        <v>-0.14644084795392934</v>
      </c>
      <c r="AH32" s="3">
        <f t="shared" si="5"/>
        <v>30</v>
      </c>
      <c r="AT32">
        <v>30</v>
      </c>
      <c r="AU32">
        <f t="shared" si="2"/>
        <v>3.3333333333333333E-2</v>
      </c>
      <c r="AV32">
        <f t="shared" si="3"/>
        <v>-0.11337324605540518</v>
      </c>
      <c r="AW32">
        <f t="shared" si="1"/>
        <v>-8.4267113992794691</v>
      </c>
    </row>
    <row r="33" spans="1:49" x14ac:dyDescent="0.2">
      <c r="A33" s="160"/>
      <c r="B33" s="458"/>
      <c r="C33" s="144" t="s">
        <v>333</v>
      </c>
      <c r="D33" s="3" t="s">
        <v>97</v>
      </c>
      <c r="E33" s="3" t="str">
        <f>Bejan_BF</f>
        <v>[-]</v>
      </c>
      <c r="F33" s="160"/>
      <c r="G33" s="160"/>
      <c r="H33" s="160"/>
      <c r="I33" s="160"/>
      <c r="K33" s="341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C33" s="341"/>
      <c r="AF33" s="3">
        <f t="shared" si="4"/>
        <v>1.3899999999999982E-2</v>
      </c>
      <c r="AG33" s="3">
        <f t="shared" si="0"/>
        <v>-0.14725336080826371</v>
      </c>
      <c r="AH33" s="3">
        <f t="shared" si="5"/>
        <v>31</v>
      </c>
      <c r="AT33">
        <v>31</v>
      </c>
      <c r="AU33">
        <f t="shared" si="2"/>
        <v>3.2258064516129031E-2</v>
      </c>
      <c r="AV33">
        <f t="shared" si="3"/>
        <v>-0.11077378078984343</v>
      </c>
      <c r="AW33">
        <f t="shared" si="1"/>
        <v>-8.5079505461906724</v>
      </c>
    </row>
    <row r="34" spans="1:49" x14ac:dyDescent="0.2">
      <c r="A34" s="160"/>
      <c r="B34" s="458"/>
      <c r="C34" s="146" t="s">
        <v>334</v>
      </c>
      <c r="D34" s="3">
        <f>Rational_mixer</f>
        <v>0.99174963463121601</v>
      </c>
      <c r="E34" s="3">
        <f>Rational_BF</f>
        <v>0.37943022424115741</v>
      </c>
      <c r="F34" s="160"/>
      <c r="G34" s="160"/>
      <c r="H34" s="160"/>
      <c r="I34" s="160"/>
      <c r="K34" s="341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C34" s="341"/>
      <c r="AF34" s="3">
        <f t="shared" si="4"/>
        <v>1.3999999999999981E-2</v>
      </c>
      <c r="AG34" s="3">
        <f t="shared" si="0"/>
        <v>-0.14806409122132297</v>
      </c>
      <c r="AH34" s="3">
        <f t="shared" si="5"/>
        <v>32</v>
      </c>
      <c r="AT34">
        <v>32</v>
      </c>
      <c r="AU34">
        <f t="shared" si="2"/>
        <v>3.125E-2</v>
      </c>
      <c r="AV34">
        <f t="shared" si="3"/>
        <v>-0.10830424696249145</v>
      </c>
      <c r="AW34">
        <f t="shared" si="1"/>
        <v>-8.5866102321713242</v>
      </c>
    </row>
    <row r="35" spans="1:49" x14ac:dyDescent="0.2">
      <c r="A35" s="160"/>
      <c r="B35" s="458"/>
      <c r="C35" s="145" t="s">
        <v>385</v>
      </c>
      <c r="D35" s="3">
        <f>Resource_Mixer</f>
        <v>1.0976920273227081E-2</v>
      </c>
      <c r="E35" s="3">
        <f>Resource_BF</f>
        <v>0.34074255379728524</v>
      </c>
      <c r="F35" s="160"/>
      <c r="G35" s="160"/>
      <c r="H35" s="160"/>
      <c r="I35" s="160"/>
      <c r="K35" s="341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C35" s="341"/>
      <c r="AF35" s="3">
        <f t="shared" si="4"/>
        <v>1.4099999999999981E-2</v>
      </c>
      <c r="AG35" s="3">
        <f t="shared" si="0"/>
        <v>-0.14887305192504782</v>
      </c>
      <c r="AH35" s="3">
        <f t="shared" si="5"/>
        <v>33</v>
      </c>
      <c r="AT35">
        <v>33</v>
      </c>
      <c r="AU35">
        <f t="shared" si="2"/>
        <v>3.0303030303030304E-2</v>
      </c>
      <c r="AV35">
        <f t="shared" si="3"/>
        <v>-0.10595477458989334</v>
      </c>
      <c r="AW35">
        <f t="shared" ref="AW35:AW66" si="6">AT35*RT0*AV35</f>
        <v>-8.6628492320776296</v>
      </c>
    </row>
    <row r="36" spans="1:49" x14ac:dyDescent="0.2">
      <c r="A36" s="160"/>
      <c r="B36" s="160"/>
      <c r="C36" s="196"/>
      <c r="D36" s="162"/>
      <c r="E36" s="162"/>
      <c r="F36" s="160"/>
      <c r="G36" s="160"/>
      <c r="H36" s="160"/>
      <c r="I36" s="160"/>
      <c r="K36" s="341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C36" s="341"/>
      <c r="AF36" s="3">
        <f t="shared" si="4"/>
        <v>1.419999999999998E-2</v>
      </c>
      <c r="AG36" s="3">
        <f t="shared" si="0"/>
        <v>-0.1496802554707794</v>
      </c>
      <c r="AH36" s="3">
        <f t="shared" si="5"/>
        <v>34</v>
      </c>
      <c r="AT36">
        <v>34</v>
      </c>
      <c r="AU36">
        <f t="shared" si="2"/>
        <v>2.9411764705882353E-2</v>
      </c>
      <c r="AV36">
        <f t="shared" si="3"/>
        <v>-0.1037164860181224</v>
      </c>
      <c r="AW36">
        <f t="shared" si="6"/>
        <v>-8.7368120976943136</v>
      </c>
    </row>
    <row r="37" spans="1:49" x14ac:dyDescent="0.2">
      <c r="A37" s="160"/>
      <c r="B37" s="160"/>
      <c r="C37" s="160"/>
      <c r="D37" s="160"/>
      <c r="E37" s="160"/>
      <c r="F37" s="160"/>
      <c r="G37" s="160"/>
      <c r="H37" s="160"/>
      <c r="I37" s="160"/>
      <c r="K37" s="341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C37" s="341"/>
      <c r="AF37" s="3">
        <f t="shared" si="4"/>
        <v>1.4299999999999979E-2</v>
      </c>
      <c r="AG37" s="3">
        <f t="shared" si="0"/>
        <v>-0.15048571423307514</v>
      </c>
      <c r="AH37" s="3">
        <f t="shared" si="5"/>
        <v>35</v>
      </c>
      <c r="AT37">
        <v>35</v>
      </c>
      <c r="AU37">
        <f t="shared" si="2"/>
        <v>2.8571428571428571E-2</v>
      </c>
      <c r="AV37">
        <f t="shared" si="3"/>
        <v>-0.10158137318541181</v>
      </c>
      <c r="AW37">
        <f t="shared" si="6"/>
        <v>-8.8086308074004478</v>
      </c>
    </row>
    <row r="38" spans="1:49" x14ac:dyDescent="0.2">
      <c r="A38" s="160"/>
      <c r="B38" s="160"/>
      <c r="C38" s="160"/>
      <c r="D38" s="160"/>
      <c r="E38" s="160"/>
      <c r="F38" s="160"/>
      <c r="G38" s="160"/>
      <c r="H38" s="160"/>
      <c r="I38" s="160"/>
      <c r="K38" s="341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C38" s="341"/>
      <c r="AF38" s="3">
        <f t="shared" si="4"/>
        <v>1.4399999999999979E-2</v>
      </c>
      <c r="AG38" s="3">
        <f t="shared" si="0"/>
        <v>-0.15128944041341738</v>
      </c>
      <c r="AH38" s="3">
        <f t="shared" si="5"/>
        <v>36</v>
      </c>
      <c r="AT38">
        <v>36</v>
      </c>
      <c r="AU38">
        <f t="shared" si="2"/>
        <v>2.7777777777777776E-2</v>
      </c>
      <c r="AV38">
        <f t="shared" si="3"/>
        <v>-9.9542192734891941E-2</v>
      </c>
      <c r="AW38">
        <f t="shared" si="6"/>
        <v>-8.87842618338858</v>
      </c>
    </row>
    <row r="39" spans="1:49" x14ac:dyDescent="0.2">
      <c r="K39" s="341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C39" s="341"/>
      <c r="AF39" s="3">
        <f t="shared" si="4"/>
        <v>1.4499999999999978E-2</v>
      </c>
      <c r="AG39" s="3">
        <f t="shared" si="0"/>
        <v>-0.15209144604381936</v>
      </c>
      <c r="AH39" s="3">
        <f t="shared" si="5"/>
        <v>37</v>
      </c>
      <c r="AT39">
        <v>37</v>
      </c>
      <c r="AU39">
        <f t="shared" si="2"/>
        <v>2.7027027027027029E-2</v>
      </c>
      <c r="AV39">
        <f t="shared" si="3"/>
        <v>-9.759237601741147E-2</v>
      </c>
      <c r="AW39">
        <f t="shared" si="6"/>
        <v>-8.9463091146657767</v>
      </c>
    </row>
    <row r="40" spans="1:49" x14ac:dyDescent="0.2">
      <c r="K40" s="341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C40" s="341"/>
      <c r="AF40" s="3">
        <f t="shared" si="4"/>
        <v>1.4599999999999978E-2</v>
      </c>
      <c r="AG40" s="3">
        <f t="shared" si="0"/>
        <v>-0.15289174299033151</v>
      </c>
      <c r="AH40" s="3">
        <f t="shared" si="5"/>
        <v>38</v>
      </c>
      <c r="AT40">
        <v>38</v>
      </c>
      <c r="AU40">
        <f t="shared" si="2"/>
        <v>2.6315789473684209E-2</v>
      </c>
      <c r="AV40">
        <f t="shared" si="3"/>
        <v>-9.5725951571746987E-2</v>
      </c>
      <c r="AW40">
        <f t="shared" si="6"/>
        <v>-9.0123816169256195</v>
      </c>
    </row>
    <row r="41" spans="1:49" x14ac:dyDescent="0.2">
      <c r="K41" s="341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C41" s="341"/>
      <c r="AF41" s="3">
        <f t="shared" si="4"/>
        <v>1.4699999999999977E-2</v>
      </c>
      <c r="AG41" s="3">
        <f t="shared" si="0"/>
        <v>-0.15369034295645176</v>
      </c>
      <c r="AH41" s="3">
        <f t="shared" si="5"/>
        <v>39</v>
      </c>
      <c r="AT41">
        <v>39</v>
      </c>
      <c r="AU41">
        <f t="shared" si="2"/>
        <v>2.564102564102564E-2</v>
      </c>
      <c r="AV41">
        <f t="shared" si="3"/>
        <v>-9.3937478105888358E-2</v>
      </c>
      <c r="AW41">
        <f t="shared" si="6"/>
        <v>-9.0767377547247179</v>
      </c>
    </row>
    <row r="42" spans="1:49" x14ac:dyDescent="0.2">
      <c r="K42" s="341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C42" s="341"/>
      <c r="AF42" s="3">
        <f t="shared" si="4"/>
        <v>1.4799999999999976E-2</v>
      </c>
      <c r="AG42" s="3">
        <f t="shared" si="0"/>
        <v>-0.15448725748644312</v>
      </c>
      <c r="AH42" s="3">
        <f t="shared" si="5"/>
        <v>40</v>
      </c>
      <c r="AT42">
        <v>40</v>
      </c>
      <c r="AU42">
        <f t="shared" si="2"/>
        <v>2.5000000000000001E-2</v>
      </c>
      <c r="AV42">
        <f t="shared" si="3"/>
        <v>-9.2221986352848409E-2</v>
      </c>
      <c r="AW42">
        <f t="shared" si="6"/>
        <v>-9.139464446887974</v>
      </c>
    </row>
    <row r="43" spans="1:49" x14ac:dyDescent="0.2">
      <c r="K43" s="341"/>
      <c r="AC43" s="341"/>
      <c r="AF43" s="3">
        <f t="shared" si="4"/>
        <v>1.4899999999999976E-2</v>
      </c>
      <c r="AG43" s="3">
        <f t="shared" si="0"/>
        <v>-0.15528249796856147</v>
      </c>
      <c r="AH43" s="3">
        <f t="shared" si="5"/>
        <v>41</v>
      </c>
      <c r="AT43">
        <v>41</v>
      </c>
      <c r="AU43">
        <f t="shared" si="2"/>
        <v>2.4390243902439025E-2</v>
      </c>
      <c r="AV43">
        <f t="shared" si="3"/>
        <v>-9.057492845620263E-2</v>
      </c>
      <c r="AW43">
        <f t="shared" si="6"/>
        <v>-9.200642172448724</v>
      </c>
    </row>
    <row r="44" spans="1:49" x14ac:dyDescent="0.2">
      <c r="K44" s="341"/>
      <c r="AC44" s="341"/>
      <c r="AF44" s="3">
        <f t="shared" si="4"/>
        <v>1.4999999999999975E-2</v>
      </c>
      <c r="AG44" s="3">
        <f t="shared" si="0"/>
        <v>-0.15607607563819673</v>
      </c>
      <c r="AH44" s="3">
        <f t="shared" si="5"/>
        <v>42</v>
      </c>
      <c r="AT44">
        <v>42</v>
      </c>
      <c r="AU44">
        <f t="shared" si="2"/>
        <v>2.3809523809523808E-2</v>
      </c>
      <c r="AV44">
        <f t="shared" si="3"/>
        <v>-8.8992133768651629E-2</v>
      </c>
      <c r="AW44">
        <f t="shared" si="6"/>
        <v>-9.2603455915095605</v>
      </c>
    </row>
    <row r="45" spans="1:49" x14ac:dyDescent="0.2">
      <c r="K45" s="471"/>
      <c r="L45" s="472"/>
      <c r="M45" s="472"/>
      <c r="N45" s="472"/>
      <c r="O45" s="472"/>
      <c r="P45" s="472"/>
      <c r="Q45" s="472"/>
      <c r="R45" s="472"/>
      <c r="S45" s="472"/>
      <c r="T45" s="472"/>
      <c r="U45" s="472"/>
      <c r="V45" s="472"/>
      <c r="W45" s="472"/>
      <c r="X45" s="472"/>
      <c r="Y45" s="472"/>
      <c r="Z45" s="472"/>
      <c r="AA45" s="472"/>
      <c r="AB45" s="473"/>
      <c r="AC45" s="341"/>
      <c r="AF45" s="3">
        <f t="shared" si="4"/>
        <v>1.5099999999999975E-2</v>
      </c>
      <c r="AG45" s="3">
        <f t="shared" si="0"/>
        <v>-0.15686800158093009</v>
      </c>
      <c r="AH45" s="3">
        <f t="shared" si="5"/>
        <v>43</v>
      </c>
      <c r="AT45">
        <v>43</v>
      </c>
      <c r="AU45">
        <f t="shared" si="2"/>
        <v>2.3255813953488372E-2</v>
      </c>
      <c r="AV45">
        <f t="shared" si="3"/>
        <v>-8.746977013240842E-2</v>
      </c>
      <c r="AW45">
        <f t="shared" si="6"/>
        <v>-9.3186440930391292</v>
      </c>
    </row>
    <row r="46" spans="1:49" x14ac:dyDescent="0.2">
      <c r="K46" s="341"/>
      <c r="AC46" s="341"/>
      <c r="AF46" s="3">
        <f t="shared" si="4"/>
        <v>1.5199999999999974E-2</v>
      </c>
      <c r="AG46" s="3">
        <f t="shared" si="0"/>
        <v>-0.15765828673551088</v>
      </c>
      <c r="AH46" s="3">
        <f t="shared" si="5"/>
        <v>44</v>
      </c>
      <c r="AT46">
        <v>44</v>
      </c>
      <c r="AU46">
        <f t="shared" si="2"/>
        <v>2.2727272727272728E-2</v>
      </c>
      <c r="AV46">
        <f t="shared" si="3"/>
        <v>-8.6004309861778663E-2</v>
      </c>
      <c r="AW46">
        <f t="shared" si="6"/>
        <v>-9.3756022796861345</v>
      </c>
    </row>
    <row r="47" spans="1:49" x14ac:dyDescent="0.2">
      <c r="K47" s="341"/>
      <c r="AC47" s="341"/>
      <c r="AF47" s="3">
        <f t="shared" si="4"/>
        <v>1.5299999999999973E-2</v>
      </c>
      <c r="AG47" s="3">
        <f t="shared" si="0"/>
        <v>-0.15844694189675423</v>
      </c>
      <c r="AH47" s="3">
        <f t="shared" si="5"/>
        <v>45</v>
      </c>
      <c r="AT47">
        <v>45</v>
      </c>
      <c r="AU47">
        <f t="shared" si="2"/>
        <v>2.2222222222222223E-2</v>
      </c>
      <c r="AV47">
        <f t="shared" si="3"/>
        <v>-8.4592499772673774E-2</v>
      </c>
      <c r="AW47">
        <f t="shared" si="6"/>
        <v>-9.4312803981052298</v>
      </c>
    </row>
    <row r="48" spans="1:49" x14ac:dyDescent="0.2">
      <c r="K48" s="341"/>
      <c r="AC48" s="341"/>
      <c r="AF48" s="3">
        <f t="shared" si="4"/>
        <v>1.5399999999999973E-2</v>
      </c>
      <c r="AG48" s="3">
        <f t="shared" si="0"/>
        <v>-0.15923397771836356</v>
      </c>
      <c r="AH48" s="3">
        <f t="shared" si="5"/>
        <v>46</v>
      </c>
      <c r="AT48">
        <v>46</v>
      </c>
      <c r="AU48">
        <f t="shared" si="2"/>
        <v>2.1739130434782608E-2</v>
      </c>
      <c r="AV48">
        <f t="shared" si="3"/>
        <v>-8.3231334706284674E-2</v>
      </c>
      <c r="AW48">
        <f t="shared" si="6"/>
        <v>-9.4857347219822792</v>
      </c>
    </row>
    <row r="49" spans="2:49" x14ac:dyDescent="0.2">
      <c r="D49" s="280"/>
      <c r="E49" s="280"/>
      <c r="K49" s="341"/>
      <c r="AC49" s="341"/>
      <c r="AF49" s="3">
        <f t="shared" si="4"/>
        <v>1.5499999999999972E-2</v>
      </c>
      <c r="AG49" s="3">
        <f t="shared" si="0"/>
        <v>-0.16001940471567958</v>
      </c>
      <c r="AH49" s="3">
        <f t="shared" si="5"/>
        <v>47</v>
      </c>
      <c r="AT49">
        <v>47</v>
      </c>
      <c r="AU49">
        <f t="shared" si="2"/>
        <v>2.1276595744680851E-2</v>
      </c>
      <c r="AV49">
        <f t="shared" si="3"/>
        <v>-8.1918034078937413E-2</v>
      </c>
      <c r="AW49">
        <f t="shared" si="6"/>
        <v>-9.539017893863992</v>
      </c>
    </row>
    <row r="50" spans="2:49" x14ac:dyDescent="0.2">
      <c r="C50" s="197" t="s">
        <v>652</v>
      </c>
      <c r="D50" s="197" t="s">
        <v>653</v>
      </c>
      <c r="E50" s="197" t="s">
        <v>654</v>
      </c>
      <c r="K50" s="341"/>
      <c r="M50" s="165" t="s">
        <v>446</v>
      </c>
      <c r="N50" s="3" t="s">
        <v>692</v>
      </c>
      <c r="AC50" s="341"/>
      <c r="AF50" s="3">
        <f t="shared" si="4"/>
        <v>1.5599999999999972E-2</v>
      </c>
      <c r="AG50" s="3">
        <f t="shared" si="0"/>
        <v>-0.16080323326835835</v>
      </c>
      <c r="AH50" s="3">
        <f t="shared" si="5"/>
        <v>48</v>
      </c>
      <c r="AT50">
        <v>48</v>
      </c>
      <c r="AU50">
        <f t="shared" si="2"/>
        <v>2.0833333333333332E-2</v>
      </c>
      <c r="AV50">
        <f t="shared" si="3"/>
        <v>-8.0650021060581056E-2</v>
      </c>
      <c r="AW50">
        <f t="shared" si="6"/>
        <v>-9.5911792309970831</v>
      </c>
    </row>
    <row r="51" spans="2:49" x14ac:dyDescent="0.2">
      <c r="B51" s="197" t="s">
        <v>392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  <c r="K51" s="341"/>
      <c r="L51" s="197" t="s">
        <v>392</v>
      </c>
      <c r="M51" s="3">
        <f>MCC_B_RUVY_matrices_mat_level!J216</f>
        <v>92026.437429115918</v>
      </c>
      <c r="N51" s="3">
        <f>'MCC_hM_RUVY_matrices_mat_level '!L145</f>
        <v>123590.55458095018</v>
      </c>
      <c r="AC51" s="341"/>
      <c r="AF51" s="3">
        <f t="shared" si="4"/>
        <v>1.5699999999999971E-2</v>
      </c>
      <c r="AG51" s="3">
        <f t="shared" si="0"/>
        <v>-0.16158547362298067</v>
      </c>
      <c r="AH51" s="3">
        <f t="shared" si="5"/>
        <v>49</v>
      </c>
      <c r="AT51">
        <v>49</v>
      </c>
      <c r="AU51">
        <f t="shared" si="2"/>
        <v>2.0408163265306121E-2</v>
      </c>
      <c r="AV51">
        <f t="shared" si="3"/>
        <v>-7.9424904043074007E-2</v>
      </c>
      <c r="AW51">
        <f t="shared" si="6"/>
        <v>-9.642264999630541</v>
      </c>
    </row>
    <row r="52" spans="2:49" x14ac:dyDescent="0.2">
      <c r="B52" s="197" t="s">
        <v>393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  <c r="K52" s="341"/>
      <c r="L52" s="197" t="s">
        <v>393</v>
      </c>
      <c r="M52" s="3">
        <f>MCC_B_RUVY_matrices_mat_level!J217</f>
        <v>275.72728743553671</v>
      </c>
      <c r="N52" s="3">
        <f>'MCC_hM_RUVY_matrices_mat_level '!L146</f>
        <v>346.48689939477481</v>
      </c>
      <c r="AC52" s="341"/>
      <c r="AF52" s="3">
        <f t="shared" si="4"/>
        <v>1.579999999999997E-2</v>
      </c>
      <c r="AG52" s="3">
        <f t="shared" si="0"/>
        <v>-0.1623661358955949</v>
      </c>
      <c r="AH52" s="3">
        <f t="shared" si="5"/>
        <v>50</v>
      </c>
      <c r="AT52">
        <v>50</v>
      </c>
      <c r="AU52">
        <f t="shared" si="2"/>
        <v>0.02</v>
      </c>
      <c r="AV52">
        <f t="shared" si="3"/>
        <v>-7.824046010856292E-2</v>
      </c>
      <c r="AW52">
        <f t="shared" si="6"/>
        <v>-9.692318661604622</v>
      </c>
    </row>
    <row r="53" spans="2:49" x14ac:dyDescent="0.2">
      <c r="B53" s="197" t="s">
        <v>394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  <c r="K53" s="341"/>
      <c r="L53" s="197" t="s">
        <v>394</v>
      </c>
      <c r="M53" s="3">
        <f>MCC_B_RUVY_matrices_mat_level!J218</f>
        <v>98587.635320095345</v>
      </c>
      <c r="N53" s="3">
        <f>'MCC_hM_RUVY_matrices_mat_level '!L147</f>
        <v>9237898.3170683328</v>
      </c>
      <c r="AC53" s="341"/>
      <c r="AF53" s="3">
        <f t="shared" si="4"/>
        <v>1.589999999999997E-2</v>
      </c>
      <c r="AG53" s="3">
        <f t="shared" si="0"/>
        <v>-0.16314523007419576</v>
      </c>
      <c r="AH53" s="3">
        <f t="shared" si="5"/>
        <v>51</v>
      </c>
      <c r="AT53">
        <v>51</v>
      </c>
      <c r="AU53">
        <f t="shared" si="2"/>
        <v>1.9607843137254902E-2</v>
      </c>
      <c r="AV53">
        <f t="shared" si="3"/>
        <v>-7.7094620249496579E-2</v>
      </c>
      <c r="AW53">
        <f t="shared" si="6"/>
        <v>-9.7413810965200724</v>
      </c>
    </row>
    <row r="54" spans="2:49" x14ac:dyDescent="0.2">
      <c r="B54" s="197" t="s">
        <v>522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  <c r="K54" s="341"/>
      <c r="L54" s="197" t="s">
        <v>522</v>
      </c>
      <c r="M54" s="3">
        <f>MCC_B_RUVY_matrices_mat_level!J219</f>
        <v>609792.2517593482</v>
      </c>
      <c r="N54" s="3">
        <f>'MCC_hM_RUVY_matrices_mat_level '!L148</f>
        <v>609792.2517593482</v>
      </c>
      <c r="AC54" s="341"/>
      <c r="AF54" s="3">
        <f t="shared" si="4"/>
        <v>1.5999999999999969E-2</v>
      </c>
      <c r="AG54" s="3">
        <f t="shared" si="0"/>
        <v>-0.16392276602114011</v>
      </c>
      <c r="AH54" s="3">
        <f t="shared" si="5"/>
        <v>52</v>
      </c>
      <c r="AT54">
        <v>52</v>
      </c>
      <c r="AU54">
        <f t="shared" si="2"/>
        <v>1.9230769230769232E-2</v>
      </c>
      <c r="AV54">
        <f t="shared" si="3"/>
        <v>-7.5985456126565903E-2</v>
      </c>
      <c r="AW54">
        <f t="shared" si="6"/>
        <v>-9.7894908023332228</v>
      </c>
    </row>
    <row r="55" spans="2:49" x14ac:dyDescent="0.2">
      <c r="B55" s="197" t="s">
        <v>502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  <c r="K55" s="341"/>
      <c r="L55" s="197" t="s">
        <v>502</v>
      </c>
      <c r="M55" s="3">
        <f>MCC_B_RUVY_matrices_mat_level!J220</f>
        <v>2824.885647744919</v>
      </c>
      <c r="N55" s="3">
        <f>'MCC_hM_RUVY_matrices_mat_level '!L149</f>
        <v>2824.8856477448717</v>
      </c>
      <c r="AC55" s="341"/>
      <c r="AF55" s="3">
        <f t="shared" si="4"/>
        <v>1.6099999999999969E-2</v>
      </c>
      <c r="AG55" s="3">
        <f t="shared" si="0"/>
        <v>-0.164698753475503</v>
      </c>
      <c r="AH55" s="3">
        <f t="shared" si="5"/>
        <v>53</v>
      </c>
      <c r="AT55">
        <v>53</v>
      </c>
      <c r="AU55">
        <f t="shared" si="2"/>
        <v>1.8867924528301886E-2</v>
      </c>
      <c r="AV55">
        <f t="shared" si="3"/>
        <v>-7.4911168180228707E-2</v>
      </c>
      <c r="AW55">
        <f t="shared" si="6"/>
        <v>-9.8366840768431576</v>
      </c>
    </row>
    <row r="56" spans="2:49" x14ac:dyDescent="0.2">
      <c r="B56" s="197" t="s">
        <v>501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  <c r="K56" s="341"/>
      <c r="L56" s="197" t="s">
        <v>501</v>
      </c>
      <c r="M56" s="3">
        <f>MCC_B_RUVY_matrices_mat_level!J221</f>
        <v>282.12877103127539</v>
      </c>
      <c r="N56" s="3">
        <f>'MCC_hM_RUVY_matrices_mat_level '!L150</f>
        <v>282.1287710315147</v>
      </c>
      <c r="AC56" s="341"/>
      <c r="AF56" s="3">
        <f t="shared" si="4"/>
        <v>1.6199999999999968E-2</v>
      </c>
      <c r="AG56" s="3">
        <f t="shared" si="0"/>
        <v>-0.16547320205537494</v>
      </c>
      <c r="AH56" s="3">
        <f t="shared" si="5"/>
        <v>54</v>
      </c>
      <c r="AT56">
        <v>54</v>
      </c>
      <c r="AU56">
        <f t="shared" si="2"/>
        <v>1.8518518518518517E-2</v>
      </c>
      <c r="AV56">
        <f t="shared" si="3"/>
        <v>-7.3870074936375443E-2</v>
      </c>
      <c r="AW56">
        <f t="shared" si="6"/>
        <v>-9.8829951822143407</v>
      </c>
    </row>
    <row r="57" spans="2:49" x14ac:dyDescent="0.2">
      <c r="B57" s="197" t="s">
        <v>418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  <c r="K57" s="341"/>
      <c r="L57" s="197" t="s">
        <v>418</v>
      </c>
      <c r="M57" s="3">
        <f>MCC_B_RUVY_matrices_mat_level!J222</f>
        <v>11016.359928324207</v>
      </c>
      <c r="N57" s="3">
        <f>'MCC_hM_RUVY_matrices_mat_level '!L151</f>
        <v>2097717.26361016</v>
      </c>
      <c r="AC57" s="341"/>
      <c r="AF57" s="3">
        <f t="shared" si="4"/>
        <v>1.6299999999999967E-2</v>
      </c>
      <c r="AG57" s="3">
        <f t="shared" si="0"/>
        <v>-0.16624612126010213</v>
      </c>
      <c r="AH57" s="3">
        <f t="shared" si="5"/>
        <v>55</v>
      </c>
      <c r="AT57">
        <v>55</v>
      </c>
      <c r="AU57">
        <f t="shared" si="2"/>
        <v>1.8181818181818181E-2</v>
      </c>
      <c r="AV57">
        <f t="shared" si="3"/>
        <v>-7.2860603367863111E-2</v>
      </c>
      <c r="AW57">
        <f t="shared" si="6"/>
        <v>-9.9284564944027842</v>
      </c>
    </row>
    <row r="58" spans="2:49" x14ac:dyDescent="0.2">
      <c r="B58" s="197" t="s">
        <v>415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  <c r="K58" s="341"/>
      <c r="L58" s="197" t="s">
        <v>415</v>
      </c>
      <c r="M58" s="3">
        <f>MCC_B_RUVY_matrices_mat_level!J223</f>
        <v>34.678095164115803</v>
      </c>
      <c r="N58" s="3">
        <f>'MCC_hM_RUVY_matrices_mat_level '!L152</f>
        <v>34.678095164010301</v>
      </c>
      <c r="AC58" s="341"/>
      <c r="AF58" s="3">
        <f t="shared" si="4"/>
        <v>1.6399999999999967E-2</v>
      </c>
      <c r="AG58" s="3">
        <f t="shared" si="0"/>
        <v>-0.16701752047247229</v>
      </c>
      <c r="AH58" s="3">
        <f t="shared" si="5"/>
        <v>56</v>
      </c>
      <c r="AT58">
        <v>56</v>
      </c>
      <c r="AU58">
        <f t="shared" si="2"/>
        <v>1.7857142857142856E-2</v>
      </c>
      <c r="AV58">
        <f t="shared" si="3"/>
        <v>-7.1881280191699093E-2</v>
      </c>
      <c r="AW58">
        <f t="shared" si="6"/>
        <v>-9.9730986391180654</v>
      </c>
    </row>
    <row r="59" spans="2:49" x14ac:dyDescent="0.2">
      <c r="B59" s="197" t="s">
        <v>429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  <c r="K59" s="341"/>
      <c r="L59" s="197" t="s">
        <v>429</v>
      </c>
      <c r="M59" s="3">
        <f>MCC_B_RUVY_matrices_mat_level!J224</f>
        <v>50.35808415338397</v>
      </c>
      <c r="N59" s="3">
        <f>'MCC_hM_RUVY_matrices_mat_level '!L153</f>
        <v>50.358084153937838</v>
      </c>
      <c r="AC59" s="341"/>
      <c r="AF59" s="3">
        <f t="shared" si="4"/>
        <v>1.6499999999999966E-2</v>
      </c>
      <c r="AG59" s="3">
        <f t="shared" si="0"/>
        <v>-0.16778740896084668</v>
      </c>
      <c r="AH59" s="3">
        <f t="shared" si="5"/>
        <v>57</v>
      </c>
      <c r="AT59">
        <v>57</v>
      </c>
      <c r="AU59">
        <f t="shared" si="2"/>
        <v>1.7543859649122806E-2</v>
      </c>
      <c r="AV59">
        <f t="shared" si="3"/>
        <v>-7.0930723997097364E-2</v>
      </c>
      <c r="AW59">
        <f t="shared" si="6"/>
        <v>-10.01695061575138</v>
      </c>
    </row>
    <row r="60" spans="2:49" x14ac:dyDescent="0.2">
      <c r="B60" s="197" t="s">
        <v>416</v>
      </c>
      <c r="C60" s="3"/>
      <c r="D60" s="3">
        <f>Rational_Kiln</f>
        <v>0.17027276068302746</v>
      </c>
      <c r="E60" s="3">
        <f>Resource_Kiln</f>
        <v>0.1222893219234706</v>
      </c>
      <c r="K60" s="341"/>
      <c r="L60" s="197" t="s">
        <v>416</v>
      </c>
      <c r="M60" s="3">
        <f>MCC_B_RUVY_matrices_mat_level!J225</f>
        <v>1642067.5780806448</v>
      </c>
      <c r="N60" s="3">
        <f>'MCC_hM_RUVY_matrices_mat_level '!L154</f>
        <v>879425.91463045357</v>
      </c>
      <c r="AC60" s="341"/>
      <c r="AF60" s="3">
        <f t="shared" si="4"/>
        <v>1.6599999999999965E-2</v>
      </c>
      <c r="AG60" s="3">
        <f t="shared" si="0"/>
        <v>-0.16855579588124078</v>
      </c>
      <c r="AH60" s="3">
        <f t="shared" si="5"/>
        <v>58</v>
      </c>
      <c r="AT60">
        <v>58</v>
      </c>
      <c r="AU60">
        <f t="shared" si="2"/>
        <v>1.7241379310344827E-2</v>
      </c>
      <c r="AV60">
        <f t="shared" si="3"/>
        <v>-7.0007638112869294E-2</v>
      </c>
      <c r="AW60">
        <f t="shared" si="6"/>
        <v>-10.060039910525512</v>
      </c>
    </row>
    <row r="61" spans="2:49" x14ac:dyDescent="0.2">
      <c r="B61" s="197" t="s">
        <v>411</v>
      </c>
      <c r="C61" s="3"/>
      <c r="D61" s="3">
        <f>Rational_Cokeoven</f>
        <v>0.60155306227269634</v>
      </c>
      <c r="E61" s="3">
        <f>Resource_Cokeoven</f>
        <v>0.32940597812032246</v>
      </c>
      <c r="K61" s="341"/>
      <c r="L61" s="197" t="s">
        <v>411</v>
      </c>
      <c r="M61" s="3">
        <f>MCC_B_RUVY_matrices_mat_level!J226</f>
        <v>7751416.6310380641</v>
      </c>
      <c r="N61" s="3">
        <f>'MCC_hM_RUVY_matrices_mat_level '!L155</f>
        <v>-3355551.8018752346</v>
      </c>
      <c r="AC61" s="341"/>
      <c r="AF61" s="3">
        <f t="shared" si="4"/>
        <v>1.6699999999999965E-2</v>
      </c>
      <c r="AG61" s="3">
        <f t="shared" si="0"/>
        <v>-0.16932269027935459</v>
      </c>
      <c r="AH61" s="3">
        <f t="shared" si="5"/>
        <v>59</v>
      </c>
      <c r="AT61">
        <v>59</v>
      </c>
      <c r="AU61">
        <f t="shared" si="2"/>
        <v>1.6949152542372881E-2</v>
      </c>
      <c r="AV61">
        <f t="shared" si="3"/>
        <v>-6.9110804133995243E-2</v>
      </c>
      <c r="AW61">
        <f t="shared" si="6"/>
        <v>-10.102392599972381</v>
      </c>
    </row>
    <row r="62" spans="2:49" x14ac:dyDescent="0.2">
      <c r="B62" s="197" t="s">
        <v>581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  <c r="K62" s="341"/>
      <c r="L62" s="197" t="s">
        <v>581</v>
      </c>
      <c r="M62" s="3">
        <f>MCC_B_RUVY_matrices_mat_level!J227</f>
        <v>16002.672043499071</v>
      </c>
      <c r="N62" s="3">
        <f>'MCC_hM_RUVY_matrices_mat_level '!L156</f>
        <v>32556.293627668325</v>
      </c>
      <c r="AC62" s="341"/>
      <c r="AF62" s="3">
        <f t="shared" si="4"/>
        <v>1.6799999999999964E-2</v>
      </c>
      <c r="AG62" s="3">
        <f t="shared" si="0"/>
        <v>-0.1700881010925544</v>
      </c>
      <c r="AH62" s="3">
        <f t="shared" si="5"/>
        <v>60</v>
      </c>
      <c r="AT62">
        <v>60</v>
      </c>
      <c r="AU62">
        <f t="shared" si="2"/>
        <v>1.6666666666666666E-2</v>
      </c>
      <c r="AV62">
        <f t="shared" si="3"/>
        <v>-6.823907603703501E-2</v>
      </c>
      <c r="AW62">
        <f t="shared" si="6"/>
        <v>-10.144033445713733</v>
      </c>
    </row>
    <row r="63" spans="2:49" x14ac:dyDescent="0.2">
      <c r="B63" s="197" t="s">
        <v>583</v>
      </c>
      <c r="C63" s="3"/>
      <c r="D63" s="3">
        <f>Rational_COGdistribution</f>
        <v>1</v>
      </c>
      <c r="E63" s="3">
        <f>Resource_COGdistribution</f>
        <v>1</v>
      </c>
      <c r="K63" s="341"/>
      <c r="L63" s="197" t="s">
        <v>583</v>
      </c>
      <c r="M63" s="3">
        <f>MCC_B_RUVY_matrices_mat_level!J228</f>
        <v>0</v>
      </c>
      <c r="N63" s="3">
        <f>'MCC_hM_RUVY_matrices_mat_level '!L157</f>
        <v>0</v>
      </c>
      <c r="AC63" s="341"/>
      <c r="AF63" s="3">
        <f t="shared" si="4"/>
        <v>1.6899999999999964E-2</v>
      </c>
      <c r="AG63" s="3">
        <f t="shared" si="0"/>
        <v>-0.17085203715180744</v>
      </c>
      <c r="AH63" s="3">
        <f t="shared" si="5"/>
        <v>61</v>
      </c>
      <c r="AT63">
        <v>61</v>
      </c>
      <c r="AU63">
        <f t="shared" si="2"/>
        <v>1.6393442622950821E-2</v>
      </c>
      <c r="AV63">
        <f t="shared" si="3"/>
        <v>-6.7391374822513297E-2</v>
      </c>
      <c r="AW63">
        <f t="shared" si="6"/>
        <v>-10.184985981407598</v>
      </c>
    </row>
    <row r="64" spans="2:49" x14ac:dyDescent="0.2">
      <c r="B64" s="197" t="s">
        <v>80</v>
      </c>
      <c r="C64" s="3"/>
      <c r="D64" s="3">
        <f>Rational_mixer</f>
        <v>0.99174963463121601</v>
      </c>
      <c r="E64" s="3">
        <f>Resource_Mixer</f>
        <v>1.0976920273227081E-2</v>
      </c>
      <c r="K64" s="341"/>
      <c r="L64" s="197" t="s">
        <v>80</v>
      </c>
      <c r="M64" s="3">
        <f>MCC_B_RUVY_matrices_mat_level!J229</f>
        <v>55594.067320963368</v>
      </c>
      <c r="N64" s="3">
        <f>'MCC_hM_RUVY_matrices_mat_level '!L158</f>
        <v>1036876.2120101087</v>
      </c>
      <c r="AC64" s="341"/>
      <c r="AF64" s="3">
        <f t="shared" si="4"/>
        <v>1.6999999999999963E-2</v>
      </c>
      <c r="AG64" s="3">
        <f t="shared" si="0"/>
        <v>-0.17161450718357055</v>
      </c>
      <c r="AH64" s="3">
        <f t="shared" si="5"/>
        <v>62</v>
      </c>
      <c r="AT64">
        <v>62</v>
      </c>
      <c r="AU64">
        <f t="shared" si="2"/>
        <v>1.6129032258064516E-2</v>
      </c>
      <c r="AV64">
        <f t="shared" si="3"/>
        <v>-6.6566683629759538E-2</v>
      </c>
      <c r="AW64">
        <f t="shared" si="6"/>
        <v>-10.225272592624938</v>
      </c>
    </row>
    <row r="65" spans="2:49" x14ac:dyDescent="0.2">
      <c r="B65" s="197" t="s">
        <v>404</v>
      </c>
      <c r="C65" s="3"/>
      <c r="D65" s="3">
        <f>Rational_BF</f>
        <v>0.37943022424115741</v>
      </c>
      <c r="E65" s="3">
        <f>Resource_BF</f>
        <v>0.34074255379728524</v>
      </c>
      <c r="K65" s="341"/>
      <c r="L65" s="197" t="s">
        <v>404</v>
      </c>
      <c r="M65" s="3">
        <f>MCC_B_RUVY_matrices_mat_level!J230</f>
        <v>7572474.0694727181</v>
      </c>
      <c r="N65" s="3">
        <f>'MCC_hM_RUVY_matrices_mat_level '!L159</f>
        <v>3284780.9724226054</v>
      </c>
      <c r="AC65" s="341"/>
      <c r="AF65" s="3">
        <f t="shared" si="4"/>
        <v>1.7099999999999962E-2</v>
      </c>
      <c r="AG65" s="3">
        <f t="shared" si="0"/>
        <v>-0.17237551981163457</v>
      </c>
      <c r="AH65" s="3">
        <f t="shared" si="5"/>
        <v>63</v>
      </c>
      <c r="AT65">
        <v>63</v>
      </c>
      <c r="AU65">
        <f t="shared" si="2"/>
        <v>1.5873015873015872E-2</v>
      </c>
      <c r="AV65">
        <f t="shared" si="3"/>
        <v>-6.5764043276056075E-2</v>
      </c>
      <c r="AW65">
        <f t="shared" si="6"/>
        <v>-10.264914590335321</v>
      </c>
    </row>
    <row r="66" spans="2:49" x14ac:dyDescent="0.2">
      <c r="K66" s="341"/>
      <c r="AC66" s="341"/>
      <c r="AF66" s="3">
        <f t="shared" si="4"/>
        <v>1.7199999999999962E-2</v>
      </c>
      <c r="AG66" s="3">
        <f t="shared" si="0"/>
        <v>-0.17313508355892568</v>
      </c>
      <c r="AH66" s="3">
        <f t="shared" si="5"/>
        <v>64</v>
      </c>
      <c r="AT66">
        <v>64</v>
      </c>
      <c r="AU66">
        <f t="shared" si="2"/>
        <v>1.5625E-2</v>
      </c>
      <c r="AV66">
        <f t="shared" si="3"/>
        <v>-6.4982548177494867E-2</v>
      </c>
      <c r="AW66">
        <f t="shared" si="6"/>
        <v>-10.303932278605588</v>
      </c>
    </row>
    <row r="67" spans="2:49" x14ac:dyDescent="0.2">
      <c r="K67" s="341"/>
      <c r="AC67" s="341"/>
      <c r="AF67" s="3">
        <f t="shared" si="4"/>
        <v>1.7299999999999961E-2</v>
      </c>
      <c r="AG67" s="3">
        <f t="shared" ref="AG67:AG130" si="7">RT0*AF67*LN(AF67)</f>
        <v>-0.17389320684926443</v>
      </c>
      <c r="AH67" s="3">
        <f t="shared" si="5"/>
        <v>65</v>
      </c>
      <c r="AT67">
        <v>65</v>
      </c>
      <c r="AU67">
        <f t="shared" si="2"/>
        <v>1.5384615384615385E-2</v>
      </c>
      <c r="AV67">
        <f t="shared" si="3"/>
        <v>-6.4221342613779028E-2</v>
      </c>
      <c r="AW67">
        <f t="shared" ref="AW67:AW98" si="8">AT67*RT0*AV67</f>
        <v>-10.342345017049873</v>
      </c>
    </row>
    <row r="68" spans="2:49" x14ac:dyDescent="0.2">
      <c r="K68" s="341"/>
      <c r="AC68" s="341"/>
      <c r="AF68" s="3">
        <f t="shared" si="4"/>
        <v>1.7399999999999961E-2</v>
      </c>
      <c r="AG68" s="3">
        <f t="shared" si="7"/>
        <v>-0.17464989800908462</v>
      </c>
      <c r="AH68" s="3">
        <f t="shared" si="5"/>
        <v>66</v>
      </c>
      <c r="AT68">
        <v>66</v>
      </c>
      <c r="AU68">
        <f t="shared" ref="AU68:AU111" si="9">1/AT68</f>
        <v>1.5151515151515152E-2</v>
      </c>
      <c r="AV68">
        <f t="shared" ref="AV68:AV111" si="10">AU68*LN(AU68)</f>
        <v>-6.3479617303430685E-2</v>
      </c>
      <c r="AW68">
        <f t="shared" si="8"/>
        <v>-10.380171278511893</v>
      </c>
    </row>
    <row r="69" spans="2:49" x14ac:dyDescent="0.2">
      <c r="AC69" s="341"/>
      <c r="AF69" s="3">
        <f t="shared" ref="AF69:AF132" si="11">AF68+0.0001</f>
        <v>1.749999999999996E-2</v>
      </c>
      <c r="AG69" s="3">
        <f t="shared" si="7"/>
        <v>-0.17540516526911223</v>
      </c>
      <c r="AH69" s="3">
        <f t="shared" ref="AH69:AH132" si="12">AH68+1</f>
        <v>67</v>
      </c>
      <c r="AT69">
        <v>67</v>
      </c>
      <c r="AU69">
        <f t="shared" si="9"/>
        <v>1.4925373134328358E-2</v>
      </c>
      <c r="AV69">
        <f t="shared" si="10"/>
        <v>-6.2756606259566652E-2</v>
      </c>
      <c r="AW69">
        <f t="shared" si="8"/>
        <v>-10.417428702409714</v>
      </c>
    </row>
    <row r="70" spans="2:49" x14ac:dyDescent="0.2">
      <c r="AC70" s="341"/>
      <c r="AF70" s="3">
        <f t="shared" si="11"/>
        <v>1.7599999999999959E-2</v>
      </c>
      <c r="AG70" s="3">
        <f t="shared" si="7"/>
        <v>-0.17615901676600643</v>
      </c>
      <c r="AH70" s="3">
        <f t="shared" si="12"/>
        <v>68</v>
      </c>
      <c r="AT70">
        <v>68</v>
      </c>
      <c r="AU70">
        <f t="shared" si="9"/>
        <v>1.4705882352941176E-2</v>
      </c>
      <c r="AV70">
        <f t="shared" si="10"/>
        <v>-6.2051583899648634E-2</v>
      </c>
      <c r="AW70">
        <f t="shared" si="8"/>
        <v>-10.454134144128577</v>
      </c>
    </row>
    <row r="71" spans="2:49" x14ac:dyDescent="0.2">
      <c r="AC71" s="341"/>
      <c r="AF71" s="3">
        <f t="shared" si="11"/>
        <v>1.7699999999999959E-2</v>
      </c>
      <c r="AG71" s="3">
        <f t="shared" si="7"/>
        <v>-0.1769114605439627</v>
      </c>
      <c r="AH71" s="3">
        <f t="shared" si="12"/>
        <v>69</v>
      </c>
      <c r="AT71">
        <v>69</v>
      </c>
      <c r="AU71">
        <f t="shared" si="9"/>
        <v>1.4492753623188406E-2</v>
      </c>
      <c r="AV71">
        <f t="shared" si="10"/>
        <v>-6.1363862385467531E-2</v>
      </c>
      <c r="AW71">
        <f t="shared" si="8"/>
        <v>-10.49030372080804</v>
      </c>
    </row>
    <row r="72" spans="2:49" x14ac:dyDescent="0.2">
      <c r="AC72" s="341"/>
      <c r="AF72" s="3">
        <f t="shared" si="11"/>
        <v>1.7799999999999958E-2</v>
      </c>
      <c r="AG72" s="3">
        <f t="shared" si="7"/>
        <v>-0.17766250455628024</v>
      </c>
      <c r="AH72" s="3">
        <f t="shared" si="12"/>
        <v>70</v>
      </c>
      <c r="AT72">
        <v>70</v>
      </c>
      <c r="AU72">
        <f t="shared" si="9"/>
        <v>1.4285714285714285E-2</v>
      </c>
      <c r="AV72">
        <f t="shared" si="10"/>
        <v>-6.06927891721337E-2</v>
      </c>
      <c r="AW72">
        <f t="shared" si="8"/>
        <v>-10.525952853834713</v>
      </c>
    </row>
    <row r="73" spans="2:49" x14ac:dyDescent="0.2">
      <c r="AF73" s="3">
        <f t="shared" si="11"/>
        <v>1.7899999999999958E-2</v>
      </c>
      <c r="AG73" s="3">
        <f t="shared" si="7"/>
        <v>-0.17841215666689386</v>
      </c>
      <c r="AH73" s="3">
        <f t="shared" si="12"/>
        <v>71</v>
      </c>
      <c r="AT73">
        <v>71</v>
      </c>
      <c r="AU73">
        <f t="shared" si="9"/>
        <v>1.4084507042253521E-2</v>
      </c>
      <c r="AV73">
        <f t="shared" si="10"/>
        <v>-6.0037744747060785E-2</v>
      </c>
      <c r="AW73">
        <f t="shared" si="8"/>
        <v>-10.561096308321007</v>
      </c>
    </row>
    <row r="74" spans="2:49" x14ac:dyDescent="0.2">
      <c r="AF74" s="3">
        <f t="shared" si="11"/>
        <v>1.7999999999999957E-2</v>
      </c>
      <c r="AG74" s="3">
        <f t="shared" si="7"/>
        <v>-0.17916042465187193</v>
      </c>
      <c r="AH74" s="3">
        <f t="shared" si="12"/>
        <v>72</v>
      </c>
      <c r="AT74">
        <v>72</v>
      </c>
      <c r="AU74">
        <f t="shared" si="9"/>
        <v>1.3888888888888888E-2</v>
      </c>
      <c r="AV74">
        <f t="shared" si="10"/>
        <v>-5.9398140541889653E-2</v>
      </c>
      <c r="AW74">
        <f t="shared" si="8"/>
        <v>-10.595748229822844</v>
      </c>
    </row>
    <row r="75" spans="2:49" x14ac:dyDescent="0.2">
      <c r="AF75" s="3">
        <f t="shared" si="11"/>
        <v>1.8099999999999956E-2</v>
      </c>
      <c r="AG75" s="3">
        <f t="shared" si="7"/>
        <v>-0.17990731620088063</v>
      </c>
      <c r="AH75" s="3">
        <f t="shared" si="12"/>
        <v>73</v>
      </c>
      <c r="AT75">
        <v>73</v>
      </c>
      <c r="AU75">
        <f t="shared" si="9"/>
        <v>1.3698630136986301E-2</v>
      </c>
      <c r="AV75">
        <f t="shared" si="10"/>
        <v>-5.877341700203275E-2</v>
      </c>
      <c r="AW75">
        <f t="shared" si="8"/>
        <v>-10.6299221785249</v>
      </c>
    </row>
    <row r="76" spans="2:49" x14ac:dyDescent="0.2">
      <c r="AF76" s="3">
        <f t="shared" si="11"/>
        <v>1.8199999999999956E-2</v>
      </c>
      <c r="AG76" s="3">
        <f t="shared" si="7"/>
        <v>-0.18065283891861622</v>
      </c>
      <c r="AH76" s="3">
        <f t="shared" si="12"/>
        <v>74</v>
      </c>
      <c r="AT76">
        <v>74</v>
      </c>
      <c r="AU76">
        <f t="shared" si="9"/>
        <v>1.3513513513513514E-2</v>
      </c>
      <c r="AV76">
        <f t="shared" si="10"/>
        <v>-5.8163041800056346E-2</v>
      </c>
      <c r="AW76">
        <f t="shared" si="8"/>
        <v>-10.663631161100041</v>
      </c>
    </row>
    <row r="77" spans="2:49" x14ac:dyDescent="0.2">
      <c r="AF77" s="3">
        <f t="shared" si="11"/>
        <v>1.8299999999999955E-2</v>
      </c>
      <c r="AG77" s="3">
        <f t="shared" si="7"/>
        <v>-0.1813970003262054</v>
      </c>
      <c r="AH77" s="3">
        <f t="shared" si="12"/>
        <v>75</v>
      </c>
      <c r="AT77">
        <v>75</v>
      </c>
      <c r="AU77">
        <f t="shared" si="9"/>
        <v>1.3333333333333334E-2</v>
      </c>
      <c r="AV77">
        <f t="shared" si="10"/>
        <v>-5.7566508180484137E-2</v>
      </c>
      <c r="AW77">
        <f t="shared" si="8"/>
        <v>-10.696887660430383</v>
      </c>
    </row>
    <row r="78" spans="2:49" x14ac:dyDescent="0.2">
      <c r="AF78" s="3">
        <f t="shared" si="11"/>
        <v>1.8399999999999955E-2</v>
      </c>
      <c r="AG78" s="3">
        <f t="shared" si="7"/>
        <v>-0.1821398078625758</v>
      </c>
      <c r="AH78" s="3">
        <f t="shared" si="12"/>
        <v>76</v>
      </c>
      <c r="AT78">
        <v>76</v>
      </c>
      <c r="AU78">
        <f t="shared" si="9"/>
        <v>1.3157894736842105E-2</v>
      </c>
      <c r="AV78">
        <f t="shared" si="10"/>
        <v>-5.6983333424820141E-2</v>
      </c>
      <c r="AW78">
        <f t="shared" si="8"/>
        <v>-10.729703663359885</v>
      </c>
    </row>
    <row r="79" spans="2:49" x14ac:dyDescent="0.2">
      <c r="AF79" s="3">
        <f t="shared" si="11"/>
        <v>1.8499999999999954E-2</v>
      </c>
      <c r="AG79" s="3">
        <f t="shared" si="7"/>
        <v>-0.18288126888579581</v>
      </c>
      <c r="AH79" s="3">
        <f t="shared" si="12"/>
        <v>77</v>
      </c>
      <c r="AT79">
        <v>77</v>
      </c>
      <c r="AU79">
        <f t="shared" si="9"/>
        <v>1.2987012987012988E-2</v>
      </c>
      <c r="AV79">
        <f t="shared" si="10"/>
        <v>-5.6413057426671229E-2</v>
      </c>
      <c r="AW79">
        <f t="shared" si="8"/>
        <v>-10.762090686632877</v>
      </c>
    </row>
    <row r="80" spans="2:49" x14ac:dyDescent="0.2">
      <c r="AF80" s="3">
        <f t="shared" si="11"/>
        <v>1.8599999999999953E-2</v>
      </c>
      <c r="AG80" s="3">
        <f t="shared" si="7"/>
        <v>-0.18362139067438596</v>
      </c>
      <c r="AH80" s="3">
        <f t="shared" si="12"/>
        <v>78</v>
      </c>
      <c r="AT80">
        <v>78</v>
      </c>
      <c r="AU80">
        <f t="shared" si="9"/>
        <v>1.282051282051282E-2</v>
      </c>
      <c r="AV80">
        <f t="shared" si="10"/>
        <v>-5.5855241367815278E-2</v>
      </c>
      <c r="AW80">
        <f t="shared" si="8"/>
        <v>-10.794059801158983</v>
      </c>
    </row>
    <row r="81" spans="32:49" x14ac:dyDescent="0.2">
      <c r="AF81" s="3">
        <f t="shared" si="11"/>
        <v>1.8699999999999953E-2</v>
      </c>
      <c r="AG81" s="3">
        <f t="shared" si="7"/>
        <v>-0.18436018042860194</v>
      </c>
      <c r="AH81" s="3">
        <f t="shared" si="12"/>
        <v>79</v>
      </c>
      <c r="AT81">
        <v>79</v>
      </c>
      <c r="AU81">
        <f t="shared" si="9"/>
        <v>1.2658227848101266E-2</v>
      </c>
      <c r="AV81">
        <f t="shared" si="10"/>
        <v>-5.5309466486924322E-2</v>
      </c>
      <c r="AW81">
        <f t="shared" si="8"/>
        <v>-10.825621654732423</v>
      </c>
    </row>
    <row r="82" spans="32:49" x14ac:dyDescent="0.2">
      <c r="AF82" s="3">
        <f t="shared" si="11"/>
        <v>1.8799999999999952E-2</v>
      </c>
      <c r="AG82" s="3">
        <f t="shared" si="7"/>
        <v>-0.18509764527169037</v>
      </c>
      <c r="AH82" s="3">
        <f t="shared" si="12"/>
        <v>80</v>
      </c>
      <c r="AT82">
        <v>80</v>
      </c>
      <c r="AU82">
        <f t="shared" si="9"/>
        <v>1.2500000000000001E-2</v>
      </c>
      <c r="AV82">
        <f t="shared" si="10"/>
        <v>-5.4775332933423515E-2</v>
      </c>
      <c r="AW82">
        <f t="shared" si="8"/>
        <v>-10.856786493322238</v>
      </c>
    </row>
    <row r="83" spans="32:49" x14ac:dyDescent="0.2">
      <c r="AF83" s="3">
        <f t="shared" si="11"/>
        <v>1.8899999999999952E-2</v>
      </c>
      <c r="AG83" s="3">
        <f t="shared" si="7"/>
        <v>-0.18583379225111749</v>
      </c>
      <c r="AH83" s="3">
        <f t="shared" si="12"/>
        <v>81</v>
      </c>
      <c r="AT83">
        <v>81</v>
      </c>
      <c r="AU83">
        <f t="shared" si="9"/>
        <v>1.2345679012345678E-2</v>
      </c>
      <c r="AV83">
        <f t="shared" si="10"/>
        <v>-5.4252458699659736E-2</v>
      </c>
      <c r="AW83">
        <f t="shared" si="8"/>
        <v>-10.887564181040101</v>
      </c>
    </row>
    <row r="84" spans="32:49" x14ac:dyDescent="0.2">
      <c r="AF84" s="3">
        <f t="shared" si="11"/>
        <v>1.8999999999999951E-2</v>
      </c>
      <c r="AG84" s="3">
        <f t="shared" si="7"/>
        <v>-0.18656862833977214</v>
      </c>
      <c r="AH84" s="3">
        <f t="shared" si="12"/>
        <v>82</v>
      </c>
      <c r="AT84">
        <v>82</v>
      </c>
      <c r="AU84">
        <f t="shared" si="9"/>
        <v>1.2195121951219513E-2</v>
      </c>
      <c r="AV84">
        <f t="shared" si="10"/>
        <v>-5.3740478625173824E-2</v>
      </c>
      <c r="AW84">
        <f t="shared" si="8"/>
        <v>-10.917964218882991</v>
      </c>
    </row>
    <row r="85" spans="32:49" x14ac:dyDescent="0.2">
      <c r="AF85" s="3">
        <f t="shared" si="11"/>
        <v>1.909999999999995E-2</v>
      </c>
      <c r="AG85" s="3">
        <f t="shared" si="7"/>
        <v>-0.18730216043714334</v>
      </c>
      <c r="AH85" s="3">
        <f t="shared" si="12"/>
        <v>83</v>
      </c>
      <c r="AT85">
        <v>83</v>
      </c>
      <c r="AU85">
        <f t="shared" si="9"/>
        <v>1.2048192771084338E-2</v>
      </c>
      <c r="AV85">
        <f t="shared" si="10"/>
        <v>-5.3239043467428901E-2</v>
      </c>
      <c r="AW85">
        <f t="shared" si="8"/>
        <v>-10.947995762339835</v>
      </c>
    </row>
    <row r="86" spans="32:49" x14ac:dyDescent="0.2">
      <c r="AF86" s="3">
        <f t="shared" si="11"/>
        <v>1.919999999999995E-2</v>
      </c>
      <c r="AG86" s="3">
        <f t="shared" si="7"/>
        <v>-0.18803439537047312</v>
      </c>
      <c r="AH86" s="3">
        <f t="shared" si="12"/>
        <v>84</v>
      </c>
      <c r="AT86">
        <v>84</v>
      </c>
      <c r="AU86">
        <f t="shared" si="9"/>
        <v>1.1904761904761904E-2</v>
      </c>
      <c r="AV86">
        <f t="shared" si="10"/>
        <v>-5.2747819033848967E-2</v>
      </c>
      <c r="AW86">
        <f t="shared" si="8"/>
        <v>-10.977667637943824</v>
      </c>
    </row>
    <row r="87" spans="32:49" x14ac:dyDescent="0.2">
      <c r="AF87" s="3">
        <f t="shared" si="11"/>
        <v>1.9299999999999949E-2</v>
      </c>
      <c r="AG87" s="3">
        <f t="shared" si="7"/>
        <v>-0.1887653398958854</v>
      </c>
      <c r="AH87" s="3">
        <f t="shared" si="12"/>
        <v>85</v>
      </c>
      <c r="AT87">
        <v>85</v>
      </c>
      <c r="AU87">
        <f t="shared" si="9"/>
        <v>1.1764705882352941E-2</v>
      </c>
      <c r="AV87">
        <f t="shared" si="10"/>
        <v>-5.2266485370474312E-2</v>
      </c>
      <c r="AW87">
        <f t="shared" si="8"/>
        <v>-11.006988358845225</v>
      </c>
    </row>
    <row r="88" spans="32:49" x14ac:dyDescent="0.2">
      <c r="AF88" s="3">
        <f t="shared" si="11"/>
        <v>1.9399999999999949E-2</v>
      </c>
      <c r="AG88" s="3">
        <f t="shared" si="7"/>
        <v>-0.18949500069949157</v>
      </c>
      <c r="AH88" s="3">
        <f t="shared" si="12"/>
        <v>86</v>
      </c>
      <c r="AT88">
        <v>86</v>
      </c>
      <c r="AU88">
        <f t="shared" si="9"/>
        <v>1.1627906976744186E-2</v>
      </c>
      <c r="AV88">
        <f t="shared" si="10"/>
        <v>-5.1794736002947761E-2</v>
      </c>
      <c r="AW88">
        <f t="shared" si="8"/>
        <v>-11.035966139473395</v>
      </c>
    </row>
    <row r="89" spans="32:49" x14ac:dyDescent="0.2">
      <c r="AF89" s="3">
        <f t="shared" si="11"/>
        <v>1.9499999999999948E-2</v>
      </c>
      <c r="AG89" s="3">
        <f t="shared" si="7"/>
        <v>-0.19022338439847319</v>
      </c>
      <c r="AH89" s="3">
        <f t="shared" si="12"/>
        <v>87</v>
      </c>
      <c r="AT89">
        <v>87</v>
      </c>
      <c r="AU89">
        <f t="shared" si="9"/>
        <v>1.1494252873563218E-2</v>
      </c>
      <c r="AV89">
        <f t="shared" si="10"/>
        <v>-5.1332277225914755E-2</v>
      </c>
      <c r="AW89">
        <f t="shared" si="8"/>
        <v>-11.064608909351273</v>
      </c>
    </row>
    <row r="90" spans="32:49" x14ac:dyDescent="0.2">
      <c r="AF90" s="3">
        <f t="shared" si="11"/>
        <v>1.9599999999999947E-2</v>
      </c>
      <c r="AG90" s="3">
        <f t="shared" si="7"/>
        <v>-0.19095049754214222</v>
      </c>
      <c r="AH90" s="3">
        <f t="shared" si="12"/>
        <v>88</v>
      </c>
      <c r="AT90">
        <v>88</v>
      </c>
      <c r="AU90">
        <f t="shared" si="9"/>
        <v>1.1363636363636364E-2</v>
      </c>
      <c r="AV90">
        <f t="shared" si="10"/>
        <v>-5.0878827437252354E-2</v>
      </c>
      <c r="AW90">
        <f t="shared" si="8"/>
        <v>-11.0929243261204</v>
      </c>
    </row>
    <row r="91" spans="32:49" x14ac:dyDescent="0.2">
      <c r="AF91" s="3">
        <f t="shared" si="11"/>
        <v>1.9699999999999947E-2</v>
      </c>
      <c r="AG91" s="3">
        <f t="shared" si="7"/>
        <v>-0.19167634661298011</v>
      </c>
      <c r="AH91" s="3">
        <f t="shared" si="12"/>
        <v>89</v>
      </c>
      <c r="AT91">
        <v>89</v>
      </c>
      <c r="AU91">
        <f t="shared" si="9"/>
        <v>1.1235955056179775E-2</v>
      </c>
      <c r="AV91">
        <f t="shared" si="10"/>
        <v>-5.0434116513844267E-2</v>
      </c>
      <c r="AW91">
        <f t="shared" si="8"/>
        <v>-11.120919787829997</v>
      </c>
    </row>
    <row r="92" spans="32:49" x14ac:dyDescent="0.2">
      <c r="AF92" s="3">
        <f t="shared" si="11"/>
        <v>1.9799999999999946E-2</v>
      </c>
      <c r="AG92" s="3">
        <f t="shared" si="7"/>
        <v>-0.19240093802765551</v>
      </c>
      <c r="AH92" s="3">
        <f t="shared" si="12"/>
        <v>90</v>
      </c>
      <c r="AT92">
        <v>90</v>
      </c>
      <c r="AU92">
        <f t="shared" si="9"/>
        <v>1.1111111111111112E-2</v>
      </c>
      <c r="AV92">
        <f t="shared" si="10"/>
        <v>-4.9997885225891839E-2</v>
      </c>
      <c r="AW92">
        <f t="shared" si="8"/>
        <v>-11.148602444539495</v>
      </c>
    </row>
    <row r="93" spans="32:49" x14ac:dyDescent="0.2">
      <c r="AF93" s="3">
        <f t="shared" si="11"/>
        <v>1.9899999999999946E-2</v>
      </c>
      <c r="AG93" s="3">
        <f t="shared" si="7"/>
        <v>-0.19312427813802133</v>
      </c>
      <c r="AH93" s="3">
        <f t="shared" si="12"/>
        <v>91</v>
      </c>
      <c r="AT93">
        <v>91</v>
      </c>
      <c r="AU93">
        <f t="shared" si="9"/>
        <v>1.098901098901099E-2</v>
      </c>
      <c r="AV93">
        <f t="shared" si="10"/>
        <v>-4.9569884686998356E-2</v>
      </c>
      <c r="AW93">
        <f t="shared" si="8"/>
        <v>-11.175979209279966</v>
      </c>
    </row>
    <row r="94" spans="32:49" x14ac:dyDescent="0.2">
      <c r="AF94" s="3">
        <f t="shared" si="11"/>
        <v>1.9999999999999945E-2</v>
      </c>
      <c r="AG94" s="3">
        <f t="shared" si="7"/>
        <v>-0.19384637323209206</v>
      </c>
      <c r="AH94" s="3">
        <f t="shared" si="12"/>
        <v>92</v>
      </c>
      <c r="AT94">
        <v>92</v>
      </c>
      <c r="AU94">
        <f t="shared" si="9"/>
        <v>1.0869565217391304E-2</v>
      </c>
      <c r="AV94">
        <f t="shared" si="10"/>
        <v>-4.9149875837489566E-2</v>
      </c>
      <c r="AW94">
        <f t="shared" si="8"/>
        <v>-11.203056768416545</v>
      </c>
    </row>
    <row r="95" spans="32:49" x14ac:dyDescent="0.2">
      <c r="AF95" s="3">
        <f t="shared" si="11"/>
        <v>2.0099999999999944E-2</v>
      </c>
      <c r="AG95" s="3">
        <f t="shared" si="7"/>
        <v>-0.19456722953500108</v>
      </c>
      <c r="AH95" s="3">
        <f t="shared" si="12"/>
        <v>93</v>
      </c>
      <c r="AT95">
        <v>93</v>
      </c>
      <c r="AU95">
        <f t="shared" si="9"/>
        <v>1.0752688172043012E-2</v>
      </c>
      <c r="AV95">
        <f t="shared" si="10"/>
        <v>-4.8737628958637168E-2</v>
      </c>
      <c r="AW95">
        <f t="shared" si="8"/>
        <v>-11.229841591450699</v>
      </c>
    </row>
    <row r="96" spans="32:49" x14ac:dyDescent="0.2">
      <c r="AF96" s="3">
        <f t="shared" si="11"/>
        <v>2.0199999999999944E-2</v>
      </c>
      <c r="AG96" s="3">
        <f t="shared" si="7"/>
        <v>-0.19528685320993955</v>
      </c>
      <c r="AH96" s="3">
        <f t="shared" si="12"/>
        <v>94</v>
      </c>
      <c r="AT96">
        <v>94</v>
      </c>
      <c r="AU96">
        <f t="shared" si="9"/>
        <v>1.0638297872340425E-2</v>
      </c>
      <c r="AV96">
        <f t="shared" si="10"/>
        <v>-4.833292321563834E-2</v>
      </c>
      <c r="AW96">
        <f t="shared" si="8"/>
        <v>-11.256339940298258</v>
      </c>
    </row>
    <row r="97" spans="32:49" x14ac:dyDescent="0.2">
      <c r="AF97" s="3">
        <f t="shared" si="11"/>
        <v>2.0299999999999943E-2</v>
      </c>
      <c r="AG97" s="3">
        <f t="shared" si="7"/>
        <v>-0.19600525035907607</v>
      </c>
      <c r="AH97" s="3">
        <f t="shared" si="12"/>
        <v>95</v>
      </c>
      <c r="AT97">
        <v>95</v>
      </c>
      <c r="AU97">
        <f t="shared" si="9"/>
        <v>1.0526315789473684E-2</v>
      </c>
      <c r="AV97">
        <f t="shared" si="10"/>
        <v>-4.7935546227374115E-2</v>
      </c>
      <c r="AW97">
        <f t="shared" si="8"/>
        <v>-11.282557878076535</v>
      </c>
    </row>
    <row r="98" spans="32:49" x14ac:dyDescent="0.2">
      <c r="AF98" s="3">
        <f t="shared" si="11"/>
        <v>2.0399999999999942E-2</v>
      </c>
      <c r="AG98" s="3">
        <f t="shared" si="7"/>
        <v>-0.19672242702445872</v>
      </c>
      <c r="AH98" s="3">
        <f t="shared" si="12"/>
        <v>96</v>
      </c>
      <c r="AT98">
        <v>96</v>
      </c>
      <c r="AU98">
        <f t="shared" si="9"/>
        <v>1.0416666666666666E-2</v>
      </c>
      <c r="AV98">
        <f t="shared" si="10"/>
        <v>-4.754529366112329E-2</v>
      </c>
      <c r="AW98">
        <f t="shared" si="8"/>
        <v>-11.308501277431349</v>
      </c>
    </row>
    <row r="99" spans="32:49" x14ac:dyDescent="0.2">
      <c r="AF99" s="3">
        <f t="shared" si="11"/>
        <v>2.0499999999999942E-2</v>
      </c>
      <c r="AG99" s="3">
        <f t="shared" si="7"/>
        <v>-0.19743838918889894</v>
      </c>
      <c r="AH99" s="3">
        <f t="shared" si="12"/>
        <v>97</v>
      </c>
      <c r="AT99">
        <v>97</v>
      </c>
      <c r="AU99">
        <f t="shared" si="9"/>
        <v>1.0309278350515464E-2</v>
      </c>
      <c r="AV99">
        <f t="shared" si="10"/>
        <v>-4.7161968850550337E-2</v>
      </c>
      <c r="AW99">
        <f t="shared" ref="AW99:AW111" si="13">AT99*RT0*AV99</f>
        <v>-11.334175828432581</v>
      </c>
    </row>
    <row r="100" spans="32:49" x14ac:dyDescent="0.2">
      <c r="AF100" s="3">
        <f t="shared" si="11"/>
        <v>2.0599999999999941E-2</v>
      </c>
      <c r="AG100" s="3">
        <f t="shared" si="7"/>
        <v>-0.19815314277683874</v>
      </c>
      <c r="AH100" s="3">
        <f t="shared" si="12"/>
        <v>98</v>
      </c>
      <c r="AT100">
        <v>98</v>
      </c>
      <c r="AU100">
        <f t="shared" si="9"/>
        <v>1.020408163265306E-2</v>
      </c>
      <c r="AV100">
        <f t="shared" si="10"/>
        <v>-4.6785382435413997E-2</v>
      </c>
      <c r="AW100">
        <f t="shared" si="13"/>
        <v>-11.359587046064805</v>
      </c>
    </row>
    <row r="101" spans="32:49" x14ac:dyDescent="0.2">
      <c r="AF101" s="3">
        <f t="shared" si="11"/>
        <v>2.0699999999999941E-2</v>
      </c>
      <c r="AG101" s="3">
        <f t="shared" si="7"/>
        <v>-0.19886669365520052</v>
      </c>
      <c r="AH101" s="3">
        <f t="shared" si="12"/>
        <v>99</v>
      </c>
      <c r="AT101">
        <v>99</v>
      </c>
      <c r="AU101">
        <f t="shared" si="9"/>
        <v>1.0101010101010102E-2</v>
      </c>
      <c r="AV101">
        <f t="shared" si="10"/>
        <v>-4.6415352021561516E-2</v>
      </c>
      <c r="AW101">
        <f t="shared" si="13"/>
        <v>-11.384740277337658</v>
      </c>
    </row>
    <row r="102" spans="32:49" x14ac:dyDescent="0.2">
      <c r="AF102" s="3">
        <f t="shared" si="11"/>
        <v>2.079999999999994E-2</v>
      </c>
      <c r="AG102" s="3">
        <f t="shared" si="7"/>
        <v>-0.1995790476342208</v>
      </c>
      <c r="AH102" s="3">
        <f t="shared" si="12"/>
        <v>100</v>
      </c>
      <c r="AT102">
        <v>100</v>
      </c>
      <c r="AU102">
        <f t="shared" si="9"/>
        <v>0.01</v>
      </c>
      <c r="AV102">
        <f t="shared" si="10"/>
        <v>-4.605170185988091E-2</v>
      </c>
      <c r="AW102">
        <f t="shared" si="13"/>
        <v>-11.409640708038886</v>
      </c>
    </row>
    <row r="103" spans="32:49" x14ac:dyDescent="0.2">
      <c r="AF103" s="3">
        <f t="shared" si="11"/>
        <v>2.0899999999999939E-2</v>
      </c>
      <c r="AG103" s="3">
        <f t="shared" si="7"/>
        <v>-0.20029021046826778</v>
      </c>
      <c r="AH103" s="3">
        <f t="shared" si="12"/>
        <v>101</v>
      </c>
      <c r="AT103">
        <v>150</v>
      </c>
      <c r="AU103">
        <f t="shared" si="9"/>
        <v>6.6666666666666671E-3</v>
      </c>
      <c r="AV103">
        <f t="shared" si="10"/>
        <v>-3.3404235293975036E-2</v>
      </c>
      <c r="AW103">
        <f t="shared" si="13"/>
        <v>-12.414209706864646</v>
      </c>
    </row>
    <row r="104" spans="32:49" x14ac:dyDescent="0.2">
      <c r="AF104" s="3">
        <f t="shared" si="11"/>
        <v>2.0999999999999939E-2</v>
      </c>
      <c r="AG104" s="3">
        <f t="shared" si="7"/>
        <v>-0.20100018785664328</v>
      </c>
      <c r="AH104" s="3">
        <f t="shared" si="12"/>
        <v>102</v>
      </c>
      <c r="AT104">
        <v>200</v>
      </c>
      <c r="AU104">
        <f t="shared" si="9"/>
        <v>5.0000000000000001E-3</v>
      </c>
      <c r="AV104">
        <f t="shared" si="10"/>
        <v>-2.6491586832740183E-2</v>
      </c>
      <c r="AW104">
        <f t="shared" si="13"/>
        <v>-13.126962754473151</v>
      </c>
    </row>
    <row r="105" spans="32:49" x14ac:dyDescent="0.2">
      <c r="AF105" s="3">
        <f t="shared" si="11"/>
        <v>2.1099999999999938E-2</v>
      </c>
      <c r="AG105" s="3">
        <f t="shared" si="7"/>
        <v>-0.20170898544436949</v>
      </c>
      <c r="AH105" s="3">
        <f t="shared" si="12"/>
        <v>103</v>
      </c>
      <c r="AT105">
        <v>300</v>
      </c>
      <c r="AU105">
        <f t="shared" si="9"/>
        <v>3.3333333333333335E-3</v>
      </c>
      <c r="AV105">
        <f t="shared" si="10"/>
        <v>-1.9012608248854004E-2</v>
      </c>
      <c r="AW105">
        <f t="shared" si="13"/>
        <v>-14.131531753298912</v>
      </c>
    </row>
    <row r="106" spans="32:49" x14ac:dyDescent="0.2">
      <c r="AF106" s="3">
        <f t="shared" si="11"/>
        <v>2.1199999999999938E-2</v>
      </c>
      <c r="AG106" s="3">
        <f t="shared" si="7"/>
        <v>-0.20241660882296059</v>
      </c>
      <c r="AH106" s="3">
        <f t="shared" si="12"/>
        <v>104</v>
      </c>
      <c r="AT106">
        <v>500</v>
      </c>
      <c r="AU106">
        <f t="shared" si="9"/>
        <v>2E-3</v>
      </c>
      <c r="AV106">
        <f t="shared" si="10"/>
        <v>-1.2429216196844383E-2</v>
      </c>
      <c r="AW106">
        <f t="shared" si="13"/>
        <v>-15.397139015624063</v>
      </c>
    </row>
    <row r="107" spans="32:49" x14ac:dyDescent="0.2">
      <c r="AF107" s="3">
        <f t="shared" si="11"/>
        <v>2.1299999999999937E-2</v>
      </c>
      <c r="AG107" s="3">
        <f t="shared" si="7"/>
        <v>-0.20312306353118018</v>
      </c>
      <c r="AH107" s="3">
        <f t="shared" si="12"/>
        <v>105</v>
      </c>
      <c r="AT107">
        <v>700</v>
      </c>
      <c r="AU107">
        <f t="shared" si="9"/>
        <v>1.4285714285714286E-3</v>
      </c>
      <c r="AV107">
        <f t="shared" si="10"/>
        <v>-9.3586861929191491E-3</v>
      </c>
      <c r="AW107">
        <f t="shared" si="13"/>
        <v>-16.230773207854156</v>
      </c>
    </row>
    <row r="108" spans="32:49" x14ac:dyDescent="0.2">
      <c r="AF108" s="3">
        <f t="shared" si="11"/>
        <v>2.1399999999999936E-2</v>
      </c>
      <c r="AG108" s="3">
        <f t="shared" si="7"/>
        <v>-0.20382835505578395</v>
      </c>
      <c r="AH108" s="3">
        <f t="shared" si="12"/>
        <v>106</v>
      </c>
      <c r="AT108">
        <v>1000</v>
      </c>
      <c r="AU108">
        <f t="shared" si="9"/>
        <v>1E-3</v>
      </c>
      <c r="AV108">
        <f t="shared" si="10"/>
        <v>-6.9077552789821367E-3</v>
      </c>
      <c r="AW108">
        <f t="shared" si="13"/>
        <v>-17.114461062058329</v>
      </c>
    </row>
    <row r="109" spans="32:49" x14ac:dyDescent="0.2">
      <c r="AF109" s="3">
        <f t="shared" si="11"/>
        <v>2.1499999999999936E-2</v>
      </c>
      <c r="AG109" s="3">
        <f t="shared" si="7"/>
        <v>-0.20453248883224903</v>
      </c>
      <c r="AH109" s="3">
        <f t="shared" si="12"/>
        <v>107</v>
      </c>
      <c r="AT109">
        <v>2000</v>
      </c>
      <c r="AU109">
        <f t="shared" si="9"/>
        <v>5.0000000000000001E-4</v>
      </c>
      <c r="AV109">
        <f t="shared" si="10"/>
        <v>-3.800451229771041E-3</v>
      </c>
      <c r="AW109">
        <f t="shared" si="13"/>
        <v>-18.831783108492594</v>
      </c>
    </row>
    <row r="110" spans="32:49" x14ac:dyDescent="0.2">
      <c r="AF110" s="3">
        <f t="shared" si="11"/>
        <v>2.1599999999999935E-2</v>
      </c>
      <c r="AG110" s="3">
        <f t="shared" si="7"/>
        <v>-0.20523547024548944</v>
      </c>
      <c r="AH110" s="3">
        <f t="shared" si="12"/>
        <v>108</v>
      </c>
      <c r="AT110">
        <v>5000</v>
      </c>
      <c r="AU110">
        <f t="shared" si="9"/>
        <v>2.0000000000000001E-4</v>
      </c>
      <c r="AV110">
        <f t="shared" si="10"/>
        <v>-1.7034386382832477E-3</v>
      </c>
      <c r="AW110">
        <f t="shared" si="13"/>
        <v>-21.101959369643509</v>
      </c>
    </row>
    <row r="111" spans="32:49" x14ac:dyDescent="0.2">
      <c r="AF111" s="3">
        <f t="shared" si="11"/>
        <v>2.1699999999999935E-2</v>
      </c>
      <c r="AG111" s="3">
        <f t="shared" si="7"/>
        <v>-0.20593730463055826</v>
      </c>
      <c r="AH111" s="3">
        <f t="shared" si="12"/>
        <v>109</v>
      </c>
      <c r="AT111">
        <v>10000</v>
      </c>
      <c r="AU111">
        <f t="shared" si="9"/>
        <v>1E-4</v>
      </c>
      <c r="AV111">
        <f t="shared" si="10"/>
        <v>-9.2103403719761819E-4</v>
      </c>
      <c r="AW111">
        <f t="shared" si="13"/>
        <v>-22.819281416077771</v>
      </c>
    </row>
    <row r="112" spans="32:49" x14ac:dyDescent="0.2">
      <c r="AF112" s="3">
        <f t="shared" si="11"/>
        <v>2.1799999999999934E-2</v>
      </c>
      <c r="AG112" s="3">
        <f t="shared" si="7"/>
        <v>-0.20663799727333718</v>
      </c>
      <c r="AH112" s="3">
        <f t="shared" si="12"/>
        <v>110</v>
      </c>
    </row>
    <row r="113" spans="32:34" x14ac:dyDescent="0.2">
      <c r="AF113" s="3">
        <f t="shared" si="11"/>
        <v>2.1899999999999933E-2</v>
      </c>
      <c r="AG113" s="3">
        <f t="shared" si="7"/>
        <v>-0.20733755341121288</v>
      </c>
      <c r="AH113" s="3">
        <f t="shared" si="12"/>
        <v>111</v>
      </c>
    </row>
    <row r="114" spans="32:34" x14ac:dyDescent="0.2">
      <c r="AF114" s="3">
        <f t="shared" si="11"/>
        <v>2.1999999999999933E-2</v>
      </c>
      <c r="AG114" s="3">
        <f t="shared" si="7"/>
        <v>-0.20803597823374168</v>
      </c>
      <c r="AH114" s="3">
        <f t="shared" si="12"/>
        <v>112</v>
      </c>
    </row>
    <row r="115" spans="32:34" x14ac:dyDescent="0.2">
      <c r="AF115" s="3">
        <f t="shared" si="11"/>
        <v>2.2099999999999932E-2</v>
      </c>
      <c r="AG115" s="3">
        <f t="shared" si="7"/>
        <v>-0.20873327688330154</v>
      </c>
      <c r="AH115" s="3">
        <f t="shared" si="12"/>
        <v>113</v>
      </c>
    </row>
    <row r="116" spans="32:34" x14ac:dyDescent="0.2">
      <c r="AF116" s="3">
        <f t="shared" si="11"/>
        <v>2.2199999999999932E-2</v>
      </c>
      <c r="AG116" s="3">
        <f t="shared" si="7"/>
        <v>-0.20942945445573266</v>
      </c>
      <c r="AH116" s="3">
        <f t="shared" si="12"/>
        <v>114</v>
      </c>
    </row>
    <row r="117" spans="32:34" x14ac:dyDescent="0.2">
      <c r="AF117" s="3">
        <f t="shared" si="11"/>
        <v>2.2299999999999931E-2</v>
      </c>
      <c r="AG117" s="3">
        <f t="shared" si="7"/>
        <v>-0.21012451600096613</v>
      </c>
      <c r="AH117" s="3">
        <f t="shared" si="12"/>
        <v>115</v>
      </c>
    </row>
    <row r="118" spans="32:34" x14ac:dyDescent="0.2">
      <c r="AF118" s="3">
        <f t="shared" si="11"/>
        <v>2.239999999999993E-2</v>
      </c>
      <c r="AG118" s="3">
        <f t="shared" si="7"/>
        <v>-0.21081846652364195</v>
      </c>
      <c r="AH118" s="3">
        <f t="shared" si="12"/>
        <v>116</v>
      </c>
    </row>
    <row r="119" spans="32:34" x14ac:dyDescent="0.2">
      <c r="AF119" s="3">
        <f t="shared" si="11"/>
        <v>2.249999999999993E-2</v>
      </c>
      <c r="AG119" s="3">
        <f t="shared" si="7"/>
        <v>-0.21151131098371523</v>
      </c>
      <c r="AH119" s="3">
        <f t="shared" si="12"/>
        <v>117</v>
      </c>
    </row>
    <row r="120" spans="32:34" x14ac:dyDescent="0.2">
      <c r="AF120" s="3">
        <f t="shared" si="11"/>
        <v>2.2599999999999929E-2</v>
      </c>
      <c r="AG120" s="3">
        <f t="shared" si="7"/>
        <v>-0.21220305429705219</v>
      </c>
      <c r="AH120" s="3">
        <f t="shared" si="12"/>
        <v>118</v>
      </c>
    </row>
    <row r="121" spans="32:34" x14ac:dyDescent="0.2">
      <c r="AF121" s="3">
        <f t="shared" si="11"/>
        <v>2.2699999999999929E-2</v>
      </c>
      <c r="AG121" s="3">
        <f t="shared" si="7"/>
        <v>-0.21289370133601546</v>
      </c>
      <c r="AH121" s="3">
        <f t="shared" si="12"/>
        <v>119</v>
      </c>
    </row>
    <row r="122" spans="32:34" x14ac:dyDescent="0.2">
      <c r="AF122" s="3">
        <f t="shared" si="11"/>
        <v>2.2799999999999928E-2</v>
      </c>
      <c r="AG122" s="3">
        <f t="shared" si="7"/>
        <v>-0.2135832569300388</v>
      </c>
      <c r="AH122" s="3">
        <f t="shared" si="12"/>
        <v>120</v>
      </c>
    </row>
    <row r="123" spans="32:34" x14ac:dyDescent="0.2">
      <c r="AF123" s="3">
        <f t="shared" si="11"/>
        <v>2.2899999999999927E-2</v>
      </c>
      <c r="AG123" s="3">
        <f t="shared" si="7"/>
        <v>-0.21427172586619217</v>
      </c>
      <c r="AH123" s="3">
        <f t="shared" si="12"/>
        <v>121</v>
      </c>
    </row>
    <row r="124" spans="32:34" x14ac:dyDescent="0.2">
      <c r="AF124" s="3">
        <f t="shared" si="11"/>
        <v>2.2999999999999927E-2</v>
      </c>
      <c r="AG124" s="3">
        <f t="shared" si="7"/>
        <v>-0.21495911288973676</v>
      </c>
      <c r="AH124" s="3">
        <f t="shared" si="12"/>
        <v>122</v>
      </c>
    </row>
    <row r="125" spans="32:34" x14ac:dyDescent="0.2">
      <c r="AF125" s="3">
        <f t="shared" si="11"/>
        <v>2.3099999999999926E-2</v>
      </c>
      <c r="AG125" s="3">
        <f t="shared" si="7"/>
        <v>-0.2156454227046701</v>
      </c>
      <c r="AH125" s="3">
        <f t="shared" si="12"/>
        <v>123</v>
      </c>
    </row>
    <row r="126" spans="32:34" x14ac:dyDescent="0.2">
      <c r="AF126" s="3">
        <f t="shared" si="11"/>
        <v>2.3199999999999926E-2</v>
      </c>
      <c r="AG126" s="3">
        <f t="shared" si="7"/>
        <v>-0.21633065997426207</v>
      </c>
      <c r="AH126" s="3">
        <f t="shared" si="12"/>
        <v>124</v>
      </c>
    </row>
    <row r="127" spans="32:34" x14ac:dyDescent="0.2">
      <c r="AF127" s="3">
        <f t="shared" si="11"/>
        <v>2.3299999999999925E-2</v>
      </c>
      <c r="AG127" s="3">
        <f t="shared" si="7"/>
        <v>-0.21701482932158167</v>
      </c>
      <c r="AH127" s="3">
        <f t="shared" si="12"/>
        <v>125</v>
      </c>
    </row>
    <row r="128" spans="32:34" x14ac:dyDescent="0.2">
      <c r="AF128" s="3">
        <f t="shared" si="11"/>
        <v>2.3399999999999924E-2</v>
      </c>
      <c r="AG128" s="3">
        <f t="shared" si="7"/>
        <v>-0.21769793533001455</v>
      </c>
      <c r="AH128" s="3">
        <f t="shared" si="12"/>
        <v>126</v>
      </c>
    </row>
    <row r="129" spans="32:34" x14ac:dyDescent="0.2">
      <c r="AF129" s="3">
        <f t="shared" si="11"/>
        <v>2.3499999999999924E-2</v>
      </c>
      <c r="AG129" s="3">
        <f t="shared" si="7"/>
        <v>-0.21837998254377161</v>
      </c>
      <c r="AH129" s="3">
        <f t="shared" si="12"/>
        <v>127</v>
      </c>
    </row>
    <row r="130" spans="32:34" x14ac:dyDescent="0.2">
      <c r="AF130" s="3">
        <f t="shared" si="11"/>
        <v>2.3599999999999923E-2</v>
      </c>
      <c r="AG130" s="3">
        <f t="shared" si="7"/>
        <v>-0.21906097546838946</v>
      </c>
      <c r="AH130" s="3">
        <f t="shared" si="12"/>
        <v>128</v>
      </c>
    </row>
    <row r="131" spans="32:34" x14ac:dyDescent="0.2">
      <c r="AF131" s="3">
        <f t="shared" si="11"/>
        <v>2.3699999999999923E-2</v>
      </c>
      <c r="AG131" s="3">
        <f t="shared" ref="AG131:AG194" si="14">RT0*AF131*LN(AF131)</f>
        <v>-0.21974091857122169</v>
      </c>
      <c r="AH131" s="3">
        <f t="shared" si="12"/>
        <v>129</v>
      </c>
    </row>
    <row r="132" spans="32:34" x14ac:dyDescent="0.2">
      <c r="AF132" s="3">
        <f t="shared" si="11"/>
        <v>2.3799999999999922E-2</v>
      </c>
      <c r="AG132" s="3">
        <f t="shared" si="14"/>
        <v>-0.22041981628192242</v>
      </c>
      <c r="AH132" s="3">
        <f t="shared" si="12"/>
        <v>130</v>
      </c>
    </row>
    <row r="133" spans="32:34" x14ac:dyDescent="0.2">
      <c r="AF133" s="3">
        <f t="shared" ref="AF133:AF196" si="15">AF132+0.0001</f>
        <v>2.3899999999999921E-2</v>
      </c>
      <c r="AG133" s="3">
        <f t="shared" si="14"/>
        <v>-0.22109767299292152</v>
      </c>
      <c r="AH133" s="3">
        <f t="shared" ref="AH133:AH196" si="16">AH132+1</f>
        <v>131</v>
      </c>
    </row>
    <row r="134" spans="32:34" x14ac:dyDescent="0.2">
      <c r="AF134" s="3">
        <f t="shared" si="15"/>
        <v>2.3999999999999921E-2</v>
      </c>
      <c r="AG134" s="3">
        <f t="shared" si="14"/>
        <v>-0.22177449305989172</v>
      </c>
      <c r="AH134" s="3">
        <f t="shared" si="16"/>
        <v>132</v>
      </c>
    </row>
    <row r="135" spans="32:34" x14ac:dyDescent="0.2">
      <c r="AF135" s="3">
        <f t="shared" si="15"/>
        <v>2.409999999999992E-2</v>
      </c>
      <c r="AG135" s="3">
        <f t="shared" si="14"/>
        <v>-0.22245028080220819</v>
      </c>
      <c r="AH135" s="3">
        <f t="shared" si="16"/>
        <v>133</v>
      </c>
    </row>
    <row r="136" spans="32:34" x14ac:dyDescent="0.2">
      <c r="AF136" s="3">
        <f t="shared" si="15"/>
        <v>2.4199999999999919E-2</v>
      </c>
      <c r="AG136" s="3">
        <f t="shared" si="14"/>
        <v>-0.22312504050340032</v>
      </c>
      <c r="AH136" s="3">
        <f t="shared" si="16"/>
        <v>134</v>
      </c>
    </row>
    <row r="137" spans="32:34" x14ac:dyDescent="0.2">
      <c r="AF137" s="3">
        <f t="shared" si="15"/>
        <v>2.4299999999999919E-2</v>
      </c>
      <c r="AG137" s="3">
        <f t="shared" si="14"/>
        <v>-0.22379877641159623</v>
      </c>
      <c r="AH137" s="3">
        <f t="shared" si="16"/>
        <v>135</v>
      </c>
    </row>
    <row r="138" spans="32:34" x14ac:dyDescent="0.2">
      <c r="AF138" s="3">
        <f t="shared" si="15"/>
        <v>2.4399999999999918E-2</v>
      </c>
      <c r="AG138" s="3">
        <f t="shared" si="14"/>
        <v>-0.22447149273995959</v>
      </c>
      <c r="AH138" s="3">
        <f t="shared" si="16"/>
        <v>136</v>
      </c>
    </row>
    <row r="139" spans="32:34" x14ac:dyDescent="0.2">
      <c r="AF139" s="3">
        <f t="shared" si="15"/>
        <v>2.4499999999999918E-2</v>
      </c>
      <c r="AG139" s="3">
        <f t="shared" si="14"/>
        <v>-0.2251431936671198</v>
      </c>
      <c r="AH139" s="3">
        <f t="shared" si="16"/>
        <v>137</v>
      </c>
    </row>
    <row r="140" spans="32:34" x14ac:dyDescent="0.2">
      <c r="AF140" s="3">
        <f t="shared" si="15"/>
        <v>2.4599999999999917E-2</v>
      </c>
      <c r="AG140" s="3">
        <f t="shared" si="14"/>
        <v>-0.2258138833375945</v>
      </c>
      <c r="AH140" s="3">
        <f t="shared" si="16"/>
        <v>138</v>
      </c>
    </row>
    <row r="141" spans="32:34" x14ac:dyDescent="0.2">
      <c r="AF141" s="3">
        <f t="shared" si="15"/>
        <v>2.4699999999999916E-2</v>
      </c>
      <c r="AG141" s="3">
        <f t="shared" si="14"/>
        <v>-0.22648356586220603</v>
      </c>
      <c r="AH141" s="3">
        <f t="shared" si="16"/>
        <v>139</v>
      </c>
    </row>
    <row r="142" spans="32:34" x14ac:dyDescent="0.2">
      <c r="AF142" s="3">
        <f t="shared" si="15"/>
        <v>2.4799999999999916E-2</v>
      </c>
      <c r="AG142" s="3">
        <f t="shared" si="14"/>
        <v>-0.22715224531849024</v>
      </c>
      <c r="AH142" s="3">
        <f t="shared" si="16"/>
        <v>140</v>
      </c>
    </row>
    <row r="143" spans="32:34" x14ac:dyDescent="0.2">
      <c r="AF143" s="3">
        <f t="shared" si="15"/>
        <v>2.4899999999999915E-2</v>
      </c>
      <c r="AG143" s="3">
        <f t="shared" si="14"/>
        <v>-0.22781992575109955</v>
      </c>
      <c r="AH143" s="3">
        <f t="shared" si="16"/>
        <v>141</v>
      </c>
    </row>
    <row r="144" spans="32:34" x14ac:dyDescent="0.2">
      <c r="AF144" s="3">
        <f t="shared" si="15"/>
        <v>2.4999999999999915E-2</v>
      </c>
      <c r="AG144" s="3">
        <f t="shared" si="14"/>
        <v>-0.22848661117219876</v>
      </c>
      <c r="AH144" s="3">
        <f t="shared" si="16"/>
        <v>142</v>
      </c>
    </row>
    <row r="145" spans="32:34" x14ac:dyDescent="0.2">
      <c r="AF145" s="3">
        <f t="shared" si="15"/>
        <v>2.5099999999999914E-2</v>
      </c>
      <c r="AG145" s="3">
        <f t="shared" si="14"/>
        <v>-0.2291523055618552</v>
      </c>
      <c r="AH145" s="3">
        <f t="shared" si="16"/>
        <v>143</v>
      </c>
    </row>
    <row r="146" spans="32:34" x14ac:dyDescent="0.2">
      <c r="AF146" s="3">
        <f t="shared" si="15"/>
        <v>2.5199999999999913E-2</v>
      </c>
      <c r="AG146" s="3">
        <f t="shared" si="14"/>
        <v>-0.22981701286842227</v>
      </c>
      <c r="AH146" s="3">
        <f t="shared" si="16"/>
        <v>144</v>
      </c>
    </row>
    <row r="147" spans="32:34" x14ac:dyDescent="0.2">
      <c r="AF147" s="3">
        <f t="shared" si="15"/>
        <v>2.5299999999999913E-2</v>
      </c>
      <c r="AG147" s="3">
        <f t="shared" si="14"/>
        <v>-0.23048073700891694</v>
      </c>
      <c r="AH147" s="3">
        <f t="shared" si="16"/>
        <v>145</v>
      </c>
    </row>
    <row r="148" spans="32:34" x14ac:dyDescent="0.2">
      <c r="AF148" s="3">
        <f t="shared" si="15"/>
        <v>2.5399999999999912E-2</v>
      </c>
      <c r="AG148" s="3">
        <f t="shared" si="14"/>
        <v>-0.2311434818693914</v>
      </c>
      <c r="AH148" s="3">
        <f t="shared" si="16"/>
        <v>146</v>
      </c>
    </row>
    <row r="149" spans="32:34" x14ac:dyDescent="0.2">
      <c r="AF149" s="3">
        <f t="shared" si="15"/>
        <v>2.5499999999999912E-2</v>
      </c>
      <c r="AG149" s="3">
        <f t="shared" si="14"/>
        <v>-0.23180525130529872</v>
      </c>
      <c r="AH149" s="3">
        <f t="shared" si="16"/>
        <v>147</v>
      </c>
    </row>
    <row r="150" spans="32:34" x14ac:dyDescent="0.2">
      <c r="AF150" s="3">
        <f t="shared" si="15"/>
        <v>2.5599999999999911E-2</v>
      </c>
      <c r="AG150" s="3">
        <f t="shared" si="14"/>
        <v>-0.23246604914185298</v>
      </c>
      <c r="AH150" s="3">
        <f t="shared" si="16"/>
        <v>148</v>
      </c>
    </row>
    <row r="151" spans="32:34" x14ac:dyDescent="0.2">
      <c r="AF151" s="3">
        <f t="shared" si="15"/>
        <v>2.569999999999991E-2</v>
      </c>
      <c r="AG151" s="3">
        <f t="shared" si="14"/>
        <v>-0.23312587917438354</v>
      </c>
      <c r="AH151" s="3">
        <f t="shared" si="16"/>
        <v>149</v>
      </c>
    </row>
    <row r="152" spans="32:34" x14ac:dyDescent="0.2">
      <c r="AF152" s="3">
        <f t="shared" si="15"/>
        <v>2.579999999999991E-2</v>
      </c>
      <c r="AG152" s="3">
        <f t="shared" si="14"/>
        <v>-0.23378474516868372</v>
      </c>
      <c r="AH152" s="3">
        <f t="shared" si="16"/>
        <v>150</v>
      </c>
    </row>
    <row r="153" spans="32:34" x14ac:dyDescent="0.2">
      <c r="AF153" s="3">
        <f t="shared" si="15"/>
        <v>2.5899999999999909E-2</v>
      </c>
      <c r="AG153" s="3">
        <f t="shared" si="14"/>
        <v>-0.23444265086135466</v>
      </c>
      <c r="AH153" s="3">
        <f t="shared" si="16"/>
        <v>151</v>
      </c>
    </row>
    <row r="154" spans="32:34" x14ac:dyDescent="0.2">
      <c r="AF154" s="3">
        <f t="shared" si="15"/>
        <v>2.5999999999999909E-2</v>
      </c>
      <c r="AG154" s="3">
        <f t="shared" si="14"/>
        <v>-0.23509959996014304</v>
      </c>
      <c r="AH154" s="3">
        <f t="shared" si="16"/>
        <v>152</v>
      </c>
    </row>
    <row r="155" spans="32:34" x14ac:dyDescent="0.2">
      <c r="AF155" s="3">
        <f t="shared" si="15"/>
        <v>2.6099999999999908E-2</v>
      </c>
      <c r="AG155" s="3">
        <f t="shared" si="14"/>
        <v>-0.23575559614427438</v>
      </c>
      <c r="AH155" s="3">
        <f t="shared" si="16"/>
        <v>153</v>
      </c>
    </row>
    <row r="156" spans="32:34" x14ac:dyDescent="0.2">
      <c r="AF156" s="3">
        <f t="shared" si="15"/>
        <v>2.6199999999999907E-2</v>
      </c>
      <c r="AG156" s="3">
        <f t="shared" si="14"/>
        <v>-0.23641064306478052</v>
      </c>
      <c r="AH156" s="3">
        <f t="shared" si="16"/>
        <v>154</v>
      </c>
    </row>
    <row r="157" spans="32:34" x14ac:dyDescent="0.2">
      <c r="AF157" s="3">
        <f t="shared" si="15"/>
        <v>2.6299999999999907E-2</v>
      </c>
      <c r="AG157" s="3">
        <f t="shared" si="14"/>
        <v>-0.23706474434482266</v>
      </c>
      <c r="AH157" s="3">
        <f t="shared" si="16"/>
        <v>155</v>
      </c>
    </row>
    <row r="158" spans="32:34" x14ac:dyDescent="0.2">
      <c r="AF158" s="3">
        <f t="shared" si="15"/>
        <v>2.6399999999999906E-2</v>
      </c>
      <c r="AG158" s="3">
        <f t="shared" si="14"/>
        <v>-0.23771790358000944</v>
      </c>
      <c r="AH158" s="3">
        <f t="shared" si="16"/>
        <v>156</v>
      </c>
    </row>
    <row r="159" spans="32:34" x14ac:dyDescent="0.2">
      <c r="AF159" s="3">
        <f t="shared" si="15"/>
        <v>2.6499999999999906E-2</v>
      </c>
      <c r="AG159" s="3">
        <f t="shared" si="14"/>
        <v>-0.23837012433870952</v>
      </c>
      <c r="AH159" s="3">
        <f t="shared" si="16"/>
        <v>157</v>
      </c>
    </row>
    <row r="160" spans="32:34" x14ac:dyDescent="0.2">
      <c r="AF160" s="3">
        <f t="shared" si="15"/>
        <v>2.6599999999999905E-2</v>
      </c>
      <c r="AG160" s="3">
        <f t="shared" si="14"/>
        <v>-0.23902141016236045</v>
      </c>
      <c r="AH160" s="3">
        <f t="shared" si="16"/>
        <v>158</v>
      </c>
    </row>
    <row r="161" spans="32:34" x14ac:dyDescent="0.2">
      <c r="AF161" s="3">
        <f t="shared" si="15"/>
        <v>2.6699999999999904E-2</v>
      </c>
      <c r="AG161" s="3">
        <f t="shared" si="14"/>
        <v>-0.23967176456577235</v>
      </c>
      <c r="AH161" s="3">
        <f t="shared" si="16"/>
        <v>159</v>
      </c>
    </row>
    <row r="162" spans="32:34" x14ac:dyDescent="0.2">
      <c r="AF162" s="3">
        <f t="shared" si="15"/>
        <v>2.6799999999999904E-2</v>
      </c>
      <c r="AG162" s="3">
        <f t="shared" si="14"/>
        <v>-0.24032119103742677</v>
      </c>
      <c r="AH162" s="3">
        <f t="shared" si="16"/>
        <v>160</v>
      </c>
    </row>
    <row r="163" spans="32:34" x14ac:dyDescent="0.2">
      <c r="AF163" s="3">
        <f t="shared" si="15"/>
        <v>2.6899999999999903E-2</v>
      </c>
      <c r="AG163" s="3">
        <f t="shared" si="14"/>
        <v>-0.24096969303977184</v>
      </c>
      <c r="AH163" s="3">
        <f t="shared" si="16"/>
        <v>161</v>
      </c>
    </row>
    <row r="164" spans="32:34" x14ac:dyDescent="0.2">
      <c r="AF164" s="3">
        <f t="shared" si="15"/>
        <v>2.6999999999999903E-2</v>
      </c>
      <c r="AG164" s="3">
        <f t="shared" si="14"/>
        <v>-0.24161727400951225</v>
      </c>
      <c r="AH164" s="3">
        <f t="shared" si="16"/>
        <v>162</v>
      </c>
    </row>
    <row r="165" spans="32:34" x14ac:dyDescent="0.2">
      <c r="AF165" s="3">
        <f t="shared" si="15"/>
        <v>2.7099999999999902E-2</v>
      </c>
      <c r="AG165" s="3">
        <f t="shared" si="14"/>
        <v>-0.24226393735789539</v>
      </c>
      <c r="AH165" s="3">
        <f t="shared" si="16"/>
        <v>163</v>
      </c>
    </row>
    <row r="166" spans="32:34" x14ac:dyDescent="0.2">
      <c r="AF166" s="3">
        <f t="shared" si="15"/>
        <v>2.7199999999999901E-2</v>
      </c>
      <c r="AG166" s="3">
        <f t="shared" si="14"/>
        <v>-0.24290968647099354</v>
      </c>
      <c r="AH166" s="3">
        <f t="shared" si="16"/>
        <v>164</v>
      </c>
    </row>
    <row r="167" spans="32:34" x14ac:dyDescent="0.2">
      <c r="AF167" s="3">
        <f t="shared" si="15"/>
        <v>2.7299999999999901E-2</v>
      </c>
      <c r="AG167" s="3">
        <f t="shared" si="14"/>
        <v>-0.24355452470998082</v>
      </c>
      <c r="AH167" s="3">
        <f t="shared" si="16"/>
        <v>165</v>
      </c>
    </row>
    <row r="168" spans="32:34" x14ac:dyDescent="0.2">
      <c r="AF168" s="3">
        <f t="shared" si="15"/>
        <v>2.73999999999999E-2</v>
      </c>
      <c r="AG168" s="3">
        <f t="shared" si="14"/>
        <v>-0.24419845541140753</v>
      </c>
      <c r="AH168" s="3">
        <f t="shared" si="16"/>
        <v>166</v>
      </c>
    </row>
    <row r="169" spans="32:34" x14ac:dyDescent="0.2">
      <c r="AF169" s="3">
        <f t="shared" si="15"/>
        <v>2.74999999999999E-2</v>
      </c>
      <c r="AG169" s="3">
        <f t="shared" si="14"/>
        <v>-0.24484148188746921</v>
      </c>
      <c r="AH169" s="3">
        <f t="shared" si="16"/>
        <v>167</v>
      </c>
    </row>
    <row r="170" spans="32:34" x14ac:dyDescent="0.2">
      <c r="AF170" s="3">
        <f t="shared" si="15"/>
        <v>2.7599999999999899E-2</v>
      </c>
      <c r="AG170" s="3">
        <f t="shared" si="14"/>
        <v>-0.24548360742627257</v>
      </c>
      <c r="AH170" s="3">
        <f t="shared" si="16"/>
        <v>168</v>
      </c>
    </row>
    <row r="171" spans="32:34" x14ac:dyDescent="0.2">
      <c r="AF171" s="3">
        <f t="shared" si="15"/>
        <v>2.7699999999999898E-2</v>
      </c>
      <c r="AG171" s="3">
        <f t="shared" si="14"/>
        <v>-0.24612483529209742</v>
      </c>
      <c r="AH171" s="3">
        <f t="shared" si="16"/>
        <v>169</v>
      </c>
    </row>
    <row r="172" spans="32:34" x14ac:dyDescent="0.2">
      <c r="AF172" s="3">
        <f t="shared" si="15"/>
        <v>2.7799999999999898E-2</v>
      </c>
      <c r="AG172" s="3">
        <f t="shared" si="14"/>
        <v>-0.24676516872565452</v>
      </c>
      <c r="AH172" s="3">
        <f t="shared" si="16"/>
        <v>170</v>
      </c>
    </row>
    <row r="173" spans="32:34" x14ac:dyDescent="0.2">
      <c r="AF173" s="3">
        <f t="shared" si="15"/>
        <v>2.7899999999999897E-2</v>
      </c>
      <c r="AG173" s="3">
        <f t="shared" si="14"/>
        <v>-0.24740461094434005</v>
      </c>
      <c r="AH173" s="3">
        <f t="shared" si="16"/>
        <v>171</v>
      </c>
    </row>
    <row r="174" spans="32:34" x14ac:dyDescent="0.2">
      <c r="AF174" s="3">
        <f t="shared" si="15"/>
        <v>2.7999999999999896E-2</v>
      </c>
      <c r="AG174" s="3">
        <f t="shared" si="14"/>
        <v>-0.24804316514248623</v>
      </c>
      <c r="AH174" s="3">
        <f t="shared" si="16"/>
        <v>172</v>
      </c>
    </row>
    <row r="175" spans="32:34" x14ac:dyDescent="0.2">
      <c r="AF175" s="3">
        <f t="shared" si="15"/>
        <v>2.8099999999999896E-2</v>
      </c>
      <c r="AG175" s="3">
        <f t="shared" si="14"/>
        <v>-0.24868083449160844</v>
      </c>
      <c r="AH175" s="3">
        <f t="shared" si="16"/>
        <v>173</v>
      </c>
    </row>
    <row r="176" spans="32:34" x14ac:dyDescent="0.2">
      <c r="AF176" s="3">
        <f t="shared" si="15"/>
        <v>2.8199999999999895E-2</v>
      </c>
      <c r="AG176" s="3">
        <f t="shared" si="14"/>
        <v>-0.24931762214064898</v>
      </c>
      <c r="AH176" s="3">
        <f t="shared" si="16"/>
        <v>174</v>
      </c>
    </row>
    <row r="177" spans="32:34" x14ac:dyDescent="0.2">
      <c r="AF177" s="3">
        <f t="shared" si="15"/>
        <v>2.8299999999999895E-2</v>
      </c>
      <c r="AG177" s="3">
        <f t="shared" si="14"/>
        <v>-0.24995353121621702</v>
      </c>
      <c r="AH177" s="3">
        <f t="shared" si="16"/>
        <v>175</v>
      </c>
    </row>
    <row r="178" spans="32:34" x14ac:dyDescent="0.2">
      <c r="AF178" s="3">
        <f t="shared" si="15"/>
        <v>2.8399999999999894E-2</v>
      </c>
      <c r="AG178" s="3">
        <f t="shared" si="14"/>
        <v>-0.25058856482282532</v>
      </c>
      <c r="AH178" s="3">
        <f t="shared" si="16"/>
        <v>176</v>
      </c>
    </row>
    <row r="179" spans="32:34" x14ac:dyDescent="0.2">
      <c r="AF179" s="3">
        <f t="shared" si="15"/>
        <v>2.8499999999999893E-2</v>
      </c>
      <c r="AG179" s="3">
        <f t="shared" si="14"/>
        <v>-0.2512227260431239</v>
      </c>
      <c r="AH179" s="3">
        <f t="shared" si="16"/>
        <v>177</v>
      </c>
    </row>
    <row r="180" spans="32:34" x14ac:dyDescent="0.2">
      <c r="AF180" s="3">
        <f t="shared" si="15"/>
        <v>2.8599999999999893E-2</v>
      </c>
      <c r="AG180" s="3">
        <f t="shared" si="14"/>
        <v>-0.25185601793812995</v>
      </c>
      <c r="AH180" s="3">
        <f t="shared" si="16"/>
        <v>178</v>
      </c>
    </row>
    <row r="181" spans="32:34" x14ac:dyDescent="0.2">
      <c r="AF181" s="3">
        <f t="shared" si="15"/>
        <v>2.8699999999999892E-2</v>
      </c>
      <c r="AG181" s="3">
        <f t="shared" si="14"/>
        <v>-0.25248844354745476</v>
      </c>
      <c r="AH181" s="3">
        <f t="shared" si="16"/>
        <v>179</v>
      </c>
    </row>
    <row r="182" spans="32:34" x14ac:dyDescent="0.2">
      <c r="AF182" s="3">
        <f t="shared" si="15"/>
        <v>2.8799999999999892E-2</v>
      </c>
      <c r="AG182" s="3">
        <f t="shared" si="14"/>
        <v>-0.2531200058895276</v>
      </c>
      <c r="AH182" s="3">
        <f t="shared" si="16"/>
        <v>180</v>
      </c>
    </row>
    <row r="183" spans="32:34" x14ac:dyDescent="0.2">
      <c r="AF183" s="3">
        <f t="shared" si="15"/>
        <v>2.8899999999999891E-2</v>
      </c>
      <c r="AG183" s="3">
        <f t="shared" si="14"/>
        <v>-0.25375070796181626</v>
      </c>
      <c r="AH183" s="3">
        <f t="shared" si="16"/>
        <v>181</v>
      </c>
    </row>
    <row r="184" spans="32:34" x14ac:dyDescent="0.2">
      <c r="AF184" s="3">
        <f t="shared" si="15"/>
        <v>2.899999999999989E-2</v>
      </c>
      <c r="AG184" s="3">
        <f t="shared" si="14"/>
        <v>-0.25438055274104471</v>
      </c>
      <c r="AH184" s="3">
        <f t="shared" si="16"/>
        <v>182</v>
      </c>
    </row>
    <row r="185" spans="32:34" x14ac:dyDescent="0.2">
      <c r="AF185" s="3">
        <f t="shared" si="15"/>
        <v>2.909999999999989E-2</v>
      </c>
      <c r="AG185" s="3">
        <f t="shared" si="14"/>
        <v>-0.25500954318340757</v>
      </c>
      <c r="AH185" s="3">
        <f t="shared" si="16"/>
        <v>183</v>
      </c>
    </row>
    <row r="186" spans="32:34" x14ac:dyDescent="0.2">
      <c r="AF186" s="3">
        <f t="shared" si="15"/>
        <v>2.9199999999999889E-2</v>
      </c>
      <c r="AG186" s="3">
        <f t="shared" si="14"/>
        <v>-0.25563768222478211</v>
      </c>
      <c r="AH186" s="3">
        <f t="shared" si="16"/>
        <v>184</v>
      </c>
    </row>
    <row r="187" spans="32:34" x14ac:dyDescent="0.2">
      <c r="AF187" s="3">
        <f t="shared" si="15"/>
        <v>2.9299999999999889E-2</v>
      </c>
      <c r="AG187" s="3">
        <f t="shared" si="14"/>
        <v>-0.25626497278093646</v>
      </c>
      <c r="AH187" s="3">
        <f t="shared" si="16"/>
        <v>185</v>
      </c>
    </row>
    <row r="188" spans="32:34" x14ac:dyDescent="0.2">
      <c r="AF188" s="3">
        <f t="shared" si="15"/>
        <v>2.9399999999999888E-2</v>
      </c>
      <c r="AG188" s="3">
        <f t="shared" si="14"/>
        <v>-0.25689141774773577</v>
      </c>
      <c r="AH188" s="3">
        <f t="shared" si="16"/>
        <v>186</v>
      </c>
    </row>
    <row r="189" spans="32:34" x14ac:dyDescent="0.2">
      <c r="AF189" s="3">
        <f t="shared" si="15"/>
        <v>2.9499999999999887E-2</v>
      </c>
      <c r="AG189" s="3">
        <f t="shared" si="14"/>
        <v>-0.25751702000134563</v>
      </c>
      <c r="AH189" s="3">
        <f t="shared" si="16"/>
        <v>187</v>
      </c>
    </row>
    <row r="190" spans="32:34" x14ac:dyDescent="0.2">
      <c r="AF190" s="3">
        <f t="shared" si="15"/>
        <v>2.9599999999999887E-2</v>
      </c>
      <c r="AG190" s="3">
        <f t="shared" si="14"/>
        <v>-0.25814178239843172</v>
      </c>
      <c r="AH190" s="3">
        <f t="shared" si="16"/>
        <v>188</v>
      </c>
    </row>
    <row r="191" spans="32:34" x14ac:dyDescent="0.2">
      <c r="AF191" s="3">
        <f t="shared" si="15"/>
        <v>2.9699999999999886E-2</v>
      </c>
      <c r="AG191" s="3">
        <f t="shared" si="14"/>
        <v>-0.25876570777635804</v>
      </c>
      <c r="AH191" s="3">
        <f t="shared" si="16"/>
        <v>189</v>
      </c>
    </row>
    <row r="192" spans="32:34" x14ac:dyDescent="0.2">
      <c r="AF192" s="3">
        <f t="shared" si="15"/>
        <v>2.9799999999999886E-2</v>
      </c>
      <c r="AG192" s="3">
        <f t="shared" si="14"/>
        <v>-0.25938879895338157</v>
      </c>
      <c r="AH192" s="3">
        <f t="shared" si="16"/>
        <v>190</v>
      </c>
    </row>
    <row r="193" spans="32:34" x14ac:dyDescent="0.2">
      <c r="AF193" s="3">
        <f t="shared" si="15"/>
        <v>2.9899999999999885E-2</v>
      </c>
      <c r="AG193" s="3">
        <f t="shared" si="14"/>
        <v>-0.26001105872884472</v>
      </c>
      <c r="AH193" s="3">
        <f t="shared" si="16"/>
        <v>191</v>
      </c>
    </row>
    <row r="194" spans="32:34" x14ac:dyDescent="0.2">
      <c r="AF194" s="3">
        <f t="shared" si="15"/>
        <v>2.9999999999999884E-2</v>
      </c>
      <c r="AG194" s="3">
        <f t="shared" si="14"/>
        <v>-0.26063248988336513</v>
      </c>
      <c r="AH194" s="3">
        <f t="shared" si="16"/>
        <v>192</v>
      </c>
    </row>
    <row r="195" spans="32:34" x14ac:dyDescent="0.2">
      <c r="AF195" s="3">
        <f t="shared" si="15"/>
        <v>3.0099999999999884E-2</v>
      </c>
      <c r="AG195" s="3">
        <f t="shared" ref="AG195:AG258" si="17">RT0*AF195*LN(AF195)</f>
        <v>-0.26125309517902279</v>
      </c>
      <c r="AH195" s="3">
        <f t="shared" si="16"/>
        <v>193</v>
      </c>
    </row>
    <row r="196" spans="32:34" x14ac:dyDescent="0.2">
      <c r="AF196" s="3">
        <f t="shared" si="15"/>
        <v>3.0199999999999883E-2</v>
      </c>
      <c r="AG196" s="3">
        <f t="shared" si="17"/>
        <v>-0.26187287735954506</v>
      </c>
      <c r="AH196" s="3">
        <f t="shared" si="16"/>
        <v>194</v>
      </c>
    </row>
    <row r="197" spans="32:34" x14ac:dyDescent="0.2">
      <c r="AF197" s="3">
        <f t="shared" ref="AF197:AF260" si="18">AF196+0.0001</f>
        <v>3.0299999999999883E-2</v>
      </c>
      <c r="AG197" s="3">
        <f t="shared" si="17"/>
        <v>-0.26249183915048868</v>
      </c>
      <c r="AH197" s="3">
        <f t="shared" ref="AH197:AH260" si="19">AH196+1</f>
        <v>195</v>
      </c>
    </row>
    <row r="198" spans="32:34" x14ac:dyDescent="0.2">
      <c r="AF198" s="3">
        <f t="shared" si="18"/>
        <v>3.0399999999999882E-2</v>
      </c>
      <c r="AG198" s="3">
        <f t="shared" si="17"/>
        <v>-0.26310998325941976</v>
      </c>
      <c r="AH198" s="3">
        <f t="shared" si="19"/>
        <v>196</v>
      </c>
    </row>
    <row r="199" spans="32:34" x14ac:dyDescent="0.2">
      <c r="AF199" s="3">
        <f t="shared" si="18"/>
        <v>3.0499999999999881E-2</v>
      </c>
      <c r="AG199" s="3">
        <f t="shared" si="17"/>
        <v>-0.26372731237609165</v>
      </c>
      <c r="AH199" s="3">
        <f t="shared" si="19"/>
        <v>197</v>
      </c>
    </row>
    <row r="200" spans="32:34" x14ac:dyDescent="0.2">
      <c r="AF200" s="3">
        <f t="shared" si="18"/>
        <v>3.0599999999999881E-2</v>
      </c>
      <c r="AG200" s="3">
        <f t="shared" si="17"/>
        <v>-0.26434382917261967</v>
      </c>
      <c r="AH200" s="3">
        <f t="shared" si="19"/>
        <v>198</v>
      </c>
    </row>
    <row r="201" spans="32:34" x14ac:dyDescent="0.2">
      <c r="AF201" s="3">
        <f t="shared" si="18"/>
        <v>3.069999999999988E-2</v>
      </c>
      <c r="AG201" s="3">
        <f t="shared" si="17"/>
        <v>-0.26495953630365415</v>
      </c>
      <c r="AH201" s="3">
        <f t="shared" si="19"/>
        <v>199</v>
      </c>
    </row>
    <row r="202" spans="32:34" x14ac:dyDescent="0.2">
      <c r="AF202" s="3">
        <f t="shared" si="18"/>
        <v>3.079999999999988E-2</v>
      </c>
      <c r="AG202" s="3">
        <f t="shared" si="17"/>
        <v>-0.26557443640655148</v>
      </c>
      <c r="AH202" s="3">
        <f t="shared" si="19"/>
        <v>200</v>
      </c>
    </row>
    <row r="203" spans="32:34" x14ac:dyDescent="0.2">
      <c r="AF203" s="3">
        <f t="shared" si="18"/>
        <v>3.0899999999999879E-2</v>
      </c>
      <c r="AG203" s="3">
        <f t="shared" si="17"/>
        <v>-0.26618853210154197</v>
      </c>
      <c r="AH203" s="3">
        <f t="shared" si="19"/>
        <v>201</v>
      </c>
    </row>
    <row r="204" spans="32:34" x14ac:dyDescent="0.2">
      <c r="AF204" s="3">
        <f t="shared" si="18"/>
        <v>3.0999999999999878E-2</v>
      </c>
      <c r="AG204" s="3">
        <f t="shared" si="17"/>
        <v>-0.26680182599189667</v>
      </c>
      <c r="AH204" s="3">
        <f t="shared" si="19"/>
        <v>202</v>
      </c>
    </row>
    <row r="205" spans="32:34" x14ac:dyDescent="0.2">
      <c r="AF205" s="3">
        <f t="shared" si="18"/>
        <v>3.1099999999999878E-2</v>
      </c>
      <c r="AG205" s="3">
        <f t="shared" si="17"/>
        <v>-0.26741432066409104</v>
      </c>
      <c r="AH205" s="3">
        <f t="shared" si="19"/>
        <v>203</v>
      </c>
    </row>
    <row r="206" spans="32:34" x14ac:dyDescent="0.2">
      <c r="AF206" s="3">
        <f t="shared" si="18"/>
        <v>3.1199999999999877E-2</v>
      </c>
      <c r="AG206" s="3">
        <f t="shared" si="17"/>
        <v>-0.26802601868796733</v>
      </c>
      <c r="AH206" s="3">
        <f t="shared" si="19"/>
        <v>204</v>
      </c>
    </row>
    <row r="207" spans="32:34" x14ac:dyDescent="0.2">
      <c r="AF207" s="3">
        <f t="shared" si="18"/>
        <v>3.1299999999999877E-2</v>
      </c>
      <c r="AG207" s="3">
        <f t="shared" si="17"/>
        <v>-0.26863692261689431</v>
      </c>
      <c r="AH207" s="3">
        <f t="shared" si="19"/>
        <v>205</v>
      </c>
    </row>
    <row r="208" spans="32:34" x14ac:dyDescent="0.2">
      <c r="AF208" s="3">
        <f t="shared" si="18"/>
        <v>3.1399999999999879E-2</v>
      </c>
      <c r="AG208" s="3">
        <f t="shared" si="17"/>
        <v>-0.26924703498792513</v>
      </c>
      <c r="AH208" s="3">
        <f t="shared" si="19"/>
        <v>206</v>
      </c>
    </row>
    <row r="209" spans="32:34" x14ac:dyDescent="0.2">
      <c r="AF209" s="3">
        <f t="shared" si="18"/>
        <v>3.1499999999999882E-2</v>
      </c>
      <c r="AG209" s="3">
        <f t="shared" si="17"/>
        <v>-0.26985635832195337</v>
      </c>
      <c r="AH209" s="3">
        <f t="shared" si="19"/>
        <v>207</v>
      </c>
    </row>
    <row r="210" spans="32:34" x14ac:dyDescent="0.2">
      <c r="AF210" s="3">
        <f t="shared" si="18"/>
        <v>3.1599999999999885E-2</v>
      </c>
      <c r="AG210" s="3">
        <f t="shared" si="17"/>
        <v>-0.2704648951238669</v>
      </c>
      <c r="AH210" s="3">
        <f t="shared" si="19"/>
        <v>208</v>
      </c>
    </row>
    <row r="211" spans="32:34" x14ac:dyDescent="0.2">
      <c r="AF211" s="3">
        <f t="shared" si="18"/>
        <v>3.1699999999999888E-2</v>
      </c>
      <c r="AG211" s="3">
        <f t="shared" si="17"/>
        <v>-0.27107264788269958</v>
      </c>
      <c r="AH211" s="3">
        <f t="shared" si="19"/>
        <v>209</v>
      </c>
    </row>
    <row r="212" spans="32:34" x14ac:dyDescent="0.2">
      <c r="AF212" s="3">
        <f t="shared" si="18"/>
        <v>3.1799999999999891E-2</v>
      </c>
      <c r="AG212" s="3">
        <f t="shared" si="17"/>
        <v>-0.27167961907178173</v>
      </c>
      <c r="AH212" s="3">
        <f t="shared" si="19"/>
        <v>210</v>
      </c>
    </row>
    <row r="213" spans="32:34" x14ac:dyDescent="0.2">
      <c r="AF213" s="3">
        <f t="shared" si="18"/>
        <v>3.1899999999999894E-2</v>
      </c>
      <c r="AG213" s="3">
        <f t="shared" si="17"/>
        <v>-0.27228581114888795</v>
      </c>
      <c r="AH213" s="3">
        <f t="shared" si="19"/>
        <v>211</v>
      </c>
    </row>
    <row r="214" spans="32:34" x14ac:dyDescent="0.2">
      <c r="AF214" s="3">
        <f t="shared" si="18"/>
        <v>3.1999999999999897E-2</v>
      </c>
      <c r="AG214" s="3">
        <f t="shared" si="17"/>
        <v>-0.27289122655638359</v>
      </c>
      <c r="AH214" s="3">
        <f t="shared" si="19"/>
        <v>212</v>
      </c>
    </row>
    <row r="215" spans="32:34" x14ac:dyDescent="0.2">
      <c r="AF215" s="3">
        <f t="shared" si="18"/>
        <v>3.2099999999999899E-2</v>
      </c>
      <c r="AG215" s="3">
        <f t="shared" si="17"/>
        <v>-0.27349586772136908</v>
      </c>
      <c r="AH215" s="3">
        <f t="shared" si="19"/>
        <v>213</v>
      </c>
    </row>
    <row r="216" spans="32:34" x14ac:dyDescent="0.2">
      <c r="AF216" s="3">
        <f t="shared" si="18"/>
        <v>3.2199999999999902E-2</v>
      </c>
      <c r="AG216" s="3">
        <f t="shared" si="17"/>
        <v>-0.27409973705582263</v>
      </c>
      <c r="AH216" s="3">
        <f t="shared" si="19"/>
        <v>214</v>
      </c>
    </row>
    <row r="217" spans="32:34" x14ac:dyDescent="0.2">
      <c r="AF217" s="3">
        <f t="shared" si="18"/>
        <v>3.2299999999999905E-2</v>
      </c>
      <c r="AG217" s="3">
        <f t="shared" si="17"/>
        <v>-0.27470283695674119</v>
      </c>
      <c r="AH217" s="3">
        <f t="shared" si="19"/>
        <v>215</v>
      </c>
    </row>
    <row r="218" spans="32:34" x14ac:dyDescent="0.2">
      <c r="AF218" s="3">
        <f t="shared" si="18"/>
        <v>3.2399999999999908E-2</v>
      </c>
      <c r="AG218" s="3">
        <f t="shared" si="17"/>
        <v>-0.27530516980627961</v>
      </c>
      <c r="AH218" s="3">
        <f t="shared" si="19"/>
        <v>216</v>
      </c>
    </row>
    <row r="219" spans="32:34" x14ac:dyDescent="0.2">
      <c r="AF219" s="3">
        <f t="shared" si="18"/>
        <v>3.2499999999999911E-2</v>
      </c>
      <c r="AG219" s="3">
        <f t="shared" si="17"/>
        <v>-0.27590673797188797</v>
      </c>
      <c r="AH219" s="3">
        <f t="shared" si="19"/>
        <v>217</v>
      </c>
    </row>
    <row r="220" spans="32:34" x14ac:dyDescent="0.2">
      <c r="AF220" s="3">
        <f t="shared" si="18"/>
        <v>3.2599999999999914E-2</v>
      </c>
      <c r="AG220" s="3">
        <f t="shared" si="17"/>
        <v>-0.27650754380644721</v>
      </c>
      <c r="AH220" s="3">
        <f t="shared" si="19"/>
        <v>218</v>
      </c>
    </row>
    <row r="221" spans="32:34" x14ac:dyDescent="0.2">
      <c r="AF221" s="3">
        <f t="shared" si="18"/>
        <v>3.2699999999999917E-2</v>
      </c>
      <c r="AG221" s="3">
        <f t="shared" si="17"/>
        <v>-0.27710758964840354</v>
      </c>
      <c r="AH221" s="3">
        <f t="shared" si="19"/>
        <v>219</v>
      </c>
    </row>
    <row r="222" spans="32:34" x14ac:dyDescent="0.2">
      <c r="AF222" s="3">
        <f t="shared" si="18"/>
        <v>3.2799999999999919E-2</v>
      </c>
      <c r="AG222" s="3">
        <f t="shared" si="17"/>
        <v>-0.27770687782190062</v>
      </c>
      <c r="AH222" s="3">
        <f t="shared" si="19"/>
        <v>220</v>
      </c>
    </row>
    <row r="223" spans="32:34" x14ac:dyDescent="0.2">
      <c r="AF223" s="3">
        <f t="shared" si="18"/>
        <v>3.2899999999999922E-2</v>
      </c>
      <c r="AG223" s="3">
        <f t="shared" si="17"/>
        <v>-0.2783054106369105</v>
      </c>
      <c r="AH223" s="3">
        <f t="shared" si="19"/>
        <v>221</v>
      </c>
    </row>
    <row r="224" spans="32:34" x14ac:dyDescent="0.2">
      <c r="AF224" s="3">
        <f t="shared" si="18"/>
        <v>3.2999999999999925E-2</v>
      </c>
      <c r="AG224" s="3">
        <f t="shared" si="17"/>
        <v>-0.27890319038936268</v>
      </c>
      <c r="AH224" s="3">
        <f t="shared" si="19"/>
        <v>222</v>
      </c>
    </row>
    <row r="225" spans="32:34" x14ac:dyDescent="0.2">
      <c r="AF225" s="3">
        <f t="shared" si="18"/>
        <v>3.3099999999999928E-2</v>
      </c>
      <c r="AG225" s="3">
        <f t="shared" si="17"/>
        <v>-0.27950021936127184</v>
      </c>
      <c r="AH225" s="3">
        <f t="shared" si="19"/>
        <v>223</v>
      </c>
    </row>
    <row r="226" spans="32:34" x14ac:dyDescent="0.2">
      <c r="AF226" s="3">
        <f t="shared" si="18"/>
        <v>3.3199999999999931E-2</v>
      </c>
      <c r="AG226" s="3">
        <f t="shared" si="17"/>
        <v>-0.2800964998208641</v>
      </c>
      <c r="AH226" s="3">
        <f t="shared" si="19"/>
        <v>224</v>
      </c>
    </row>
    <row r="227" spans="32:34" x14ac:dyDescent="0.2">
      <c r="AF227" s="3">
        <f t="shared" si="18"/>
        <v>3.3299999999999934E-2</v>
      </c>
      <c r="AG227" s="3">
        <f t="shared" si="17"/>
        <v>-0.28069203402270143</v>
      </c>
      <c r="AH227" s="3">
        <f t="shared" si="19"/>
        <v>225</v>
      </c>
    </row>
    <row r="228" spans="32:34" x14ac:dyDescent="0.2">
      <c r="AF228" s="3">
        <f t="shared" si="18"/>
        <v>3.3399999999999937E-2</v>
      </c>
      <c r="AG228" s="3">
        <f t="shared" si="17"/>
        <v>-0.28128682420780488</v>
      </c>
      <c r="AH228" s="3">
        <f t="shared" si="19"/>
        <v>226</v>
      </c>
    </row>
    <row r="229" spans="32:34" x14ac:dyDescent="0.2">
      <c r="AF229" s="3">
        <f t="shared" si="18"/>
        <v>3.349999999999994E-2</v>
      </c>
      <c r="AG229" s="3">
        <f t="shared" si="17"/>
        <v>-0.2818808726037762</v>
      </c>
      <c r="AH229" s="3">
        <f t="shared" si="19"/>
        <v>227</v>
      </c>
    </row>
    <row r="230" spans="32:34" x14ac:dyDescent="0.2">
      <c r="AF230" s="3">
        <f t="shared" si="18"/>
        <v>3.3599999999999942E-2</v>
      </c>
      <c r="AG230" s="3">
        <f t="shared" si="17"/>
        <v>-0.28247418142491776</v>
      </c>
      <c r="AH230" s="3">
        <f t="shared" si="19"/>
        <v>228</v>
      </c>
    </row>
    <row r="231" spans="32:34" x14ac:dyDescent="0.2">
      <c r="AF231" s="3">
        <f t="shared" si="18"/>
        <v>3.3699999999999945E-2</v>
      </c>
      <c r="AG231" s="3">
        <f t="shared" si="17"/>
        <v>-0.28306675287235167</v>
      </c>
      <c r="AH231" s="3">
        <f t="shared" si="19"/>
        <v>229</v>
      </c>
    </row>
    <row r="232" spans="32:34" x14ac:dyDescent="0.2">
      <c r="AF232" s="3">
        <f t="shared" si="18"/>
        <v>3.3799999999999948E-2</v>
      </c>
      <c r="AG232" s="3">
        <f t="shared" si="17"/>
        <v>-0.283658589134137</v>
      </c>
      <c r="AH232" s="3">
        <f t="shared" si="19"/>
        <v>230</v>
      </c>
    </row>
    <row r="233" spans="32:34" x14ac:dyDescent="0.2">
      <c r="AF233" s="3">
        <f t="shared" si="18"/>
        <v>3.3899999999999951E-2</v>
      </c>
      <c r="AG233" s="3">
        <f t="shared" si="17"/>
        <v>-0.2842496923853855</v>
      </c>
      <c r="AH233" s="3">
        <f t="shared" si="19"/>
        <v>231</v>
      </c>
    </row>
    <row r="234" spans="32:34" x14ac:dyDescent="0.2">
      <c r="AF234" s="3">
        <f t="shared" si="18"/>
        <v>3.3999999999999954E-2</v>
      </c>
      <c r="AG234" s="3">
        <f t="shared" si="17"/>
        <v>-0.28484006478837637</v>
      </c>
      <c r="AH234" s="3">
        <f t="shared" si="19"/>
        <v>232</v>
      </c>
    </row>
    <row r="235" spans="32:34" x14ac:dyDescent="0.2">
      <c r="AF235" s="3">
        <f t="shared" si="18"/>
        <v>3.4099999999999957E-2</v>
      </c>
      <c r="AG235" s="3">
        <f t="shared" si="17"/>
        <v>-0.28542970849266958</v>
      </c>
      <c r="AH235" s="3">
        <f t="shared" si="19"/>
        <v>233</v>
      </c>
    </row>
    <row r="236" spans="32:34" x14ac:dyDescent="0.2">
      <c r="AF236" s="3">
        <f t="shared" si="18"/>
        <v>3.419999999999996E-2</v>
      </c>
      <c r="AG236" s="3">
        <f t="shared" si="17"/>
        <v>-0.28601862563521763</v>
      </c>
      <c r="AH236" s="3">
        <f t="shared" si="19"/>
        <v>234</v>
      </c>
    </row>
    <row r="237" spans="32:34" x14ac:dyDescent="0.2">
      <c r="AF237" s="3">
        <f t="shared" si="18"/>
        <v>3.4299999999999962E-2</v>
      </c>
      <c r="AG237" s="3">
        <f t="shared" si="17"/>
        <v>-0.28660681834047613</v>
      </c>
      <c r="AH237" s="3">
        <f t="shared" si="19"/>
        <v>235</v>
      </c>
    </row>
    <row r="238" spans="32:34" x14ac:dyDescent="0.2">
      <c r="AF238" s="3">
        <f t="shared" si="18"/>
        <v>3.4399999999999965E-2</v>
      </c>
      <c r="AG238" s="3">
        <f t="shared" si="17"/>
        <v>-0.287194288720513</v>
      </c>
      <c r="AH238" s="3">
        <f t="shared" si="19"/>
        <v>236</v>
      </c>
    </row>
    <row r="239" spans="32:34" x14ac:dyDescent="0.2">
      <c r="AF239" s="3">
        <f t="shared" si="18"/>
        <v>3.4499999999999968E-2</v>
      </c>
      <c r="AG239" s="3">
        <f t="shared" si="17"/>
        <v>-0.28778103887511691</v>
      </c>
      <c r="AH239" s="3">
        <f t="shared" si="19"/>
        <v>237</v>
      </c>
    </row>
    <row r="240" spans="32:34" x14ac:dyDescent="0.2">
      <c r="AF240" s="3">
        <f t="shared" si="18"/>
        <v>3.4599999999999971E-2</v>
      </c>
      <c r="AG240" s="3">
        <f t="shared" si="17"/>
        <v>-0.28836707089190367</v>
      </c>
      <c r="AH240" s="3">
        <f t="shared" si="19"/>
        <v>238</v>
      </c>
    </row>
    <row r="241" spans="32:34" x14ac:dyDescent="0.2">
      <c r="AF241" s="3">
        <f t="shared" si="18"/>
        <v>3.4699999999999974E-2</v>
      </c>
      <c r="AG241" s="3">
        <f t="shared" si="17"/>
        <v>-0.28895238684642188</v>
      </c>
      <c r="AH241" s="3">
        <f t="shared" si="19"/>
        <v>239</v>
      </c>
    </row>
    <row r="242" spans="32:34" x14ac:dyDescent="0.2">
      <c r="AF242" s="3">
        <f t="shared" si="18"/>
        <v>3.4799999999999977E-2</v>
      </c>
      <c r="AG242" s="3">
        <f t="shared" si="17"/>
        <v>-0.28953698880225726</v>
      </c>
      <c r="AH242" s="3">
        <f t="shared" si="19"/>
        <v>240</v>
      </c>
    </row>
    <row r="243" spans="32:34" x14ac:dyDescent="0.2">
      <c r="AF243" s="3">
        <f t="shared" si="18"/>
        <v>3.489999999999998E-2</v>
      </c>
      <c r="AG243" s="3">
        <f t="shared" si="17"/>
        <v>-0.2901208788111358</v>
      </c>
      <c r="AH243" s="3">
        <f t="shared" si="19"/>
        <v>241</v>
      </c>
    </row>
    <row r="244" spans="32:34" x14ac:dyDescent="0.2">
      <c r="AF244" s="3">
        <f t="shared" si="18"/>
        <v>3.4999999999999983E-2</v>
      </c>
      <c r="AG244" s="3">
        <f t="shared" si="17"/>
        <v>-0.2907040589130257</v>
      </c>
      <c r="AH244" s="3">
        <f t="shared" si="19"/>
        <v>242</v>
      </c>
    </row>
    <row r="245" spans="32:34" x14ac:dyDescent="0.2">
      <c r="AF245" s="3">
        <f t="shared" si="18"/>
        <v>3.5099999999999985E-2</v>
      </c>
      <c r="AG245" s="3">
        <f t="shared" si="17"/>
        <v>-0.29128653113623831</v>
      </c>
      <c r="AH245" s="3">
        <f t="shared" si="19"/>
        <v>243</v>
      </c>
    </row>
    <row r="246" spans="32:34" x14ac:dyDescent="0.2">
      <c r="AF246" s="3">
        <f t="shared" si="18"/>
        <v>3.5199999999999988E-2</v>
      </c>
      <c r="AG246" s="3">
        <f t="shared" si="17"/>
        <v>-0.2918682974975273</v>
      </c>
      <c r="AH246" s="3">
        <f t="shared" si="19"/>
        <v>244</v>
      </c>
    </row>
    <row r="247" spans="32:34" x14ac:dyDescent="0.2">
      <c r="AF247" s="3">
        <f t="shared" si="18"/>
        <v>3.5299999999999991E-2</v>
      </c>
      <c r="AG247" s="3">
        <f t="shared" si="17"/>
        <v>-0.29244936000218774</v>
      </c>
      <c r="AH247" s="3">
        <f t="shared" si="19"/>
        <v>245</v>
      </c>
    </row>
    <row r="248" spans="32:34" x14ac:dyDescent="0.2">
      <c r="AF248" s="3">
        <f t="shared" si="18"/>
        <v>3.5399999999999994E-2</v>
      </c>
      <c r="AG248" s="3">
        <f t="shared" si="17"/>
        <v>-0.293029720644153</v>
      </c>
      <c r="AH248" s="3">
        <f t="shared" si="19"/>
        <v>246</v>
      </c>
    </row>
    <row r="249" spans="32:34" x14ac:dyDescent="0.2">
      <c r="AF249" s="3">
        <f t="shared" si="18"/>
        <v>3.5499999999999997E-2</v>
      </c>
      <c r="AG249" s="3">
        <f t="shared" si="17"/>
        <v>-0.29360938140609139</v>
      </c>
      <c r="AH249" s="3">
        <f t="shared" si="19"/>
        <v>247</v>
      </c>
    </row>
    <row r="250" spans="32:34" x14ac:dyDescent="0.2">
      <c r="AF250" s="3">
        <f t="shared" si="18"/>
        <v>3.56E-2</v>
      </c>
      <c r="AG250" s="3">
        <f t="shared" si="17"/>
        <v>-0.29418834425950124</v>
      </c>
      <c r="AH250" s="3">
        <f t="shared" si="19"/>
        <v>248</v>
      </c>
    </row>
    <row r="251" spans="32:34" x14ac:dyDescent="0.2">
      <c r="AF251" s="3">
        <f t="shared" si="18"/>
        <v>3.5700000000000003E-2</v>
      </c>
      <c r="AG251" s="3">
        <f t="shared" si="17"/>
        <v>-0.29476661116480479</v>
      </c>
      <c r="AH251" s="3">
        <f t="shared" si="19"/>
        <v>249</v>
      </c>
    </row>
    <row r="252" spans="32:34" x14ac:dyDescent="0.2">
      <c r="AF252" s="3">
        <f t="shared" si="18"/>
        <v>3.5800000000000005E-2</v>
      </c>
      <c r="AG252" s="3">
        <f t="shared" si="17"/>
        <v>-0.2953441840714417</v>
      </c>
      <c r="AH252" s="3">
        <f t="shared" si="19"/>
        <v>250</v>
      </c>
    </row>
    <row r="253" spans="32:34" x14ac:dyDescent="0.2">
      <c r="AF253" s="3">
        <f t="shared" si="18"/>
        <v>3.5900000000000008E-2</v>
      </c>
      <c r="AG253" s="3">
        <f t="shared" si="17"/>
        <v>-0.29592106491796077</v>
      </c>
      <c r="AH253" s="3">
        <f t="shared" si="19"/>
        <v>251</v>
      </c>
    </row>
    <row r="254" spans="32:34" x14ac:dyDescent="0.2">
      <c r="AF254" s="3">
        <f t="shared" si="18"/>
        <v>3.6000000000000011E-2</v>
      </c>
      <c r="AG254" s="3">
        <f t="shared" si="17"/>
        <v>-0.2964972556321111</v>
      </c>
      <c r="AH254" s="3">
        <f t="shared" si="19"/>
        <v>252</v>
      </c>
    </row>
    <row r="255" spans="32:34" x14ac:dyDescent="0.2">
      <c r="AF255" s="3">
        <f t="shared" si="18"/>
        <v>3.6100000000000014E-2</v>
      </c>
      <c r="AG255" s="3">
        <f t="shared" si="17"/>
        <v>-0.29707275813093181</v>
      </c>
      <c r="AH255" s="3">
        <f t="shared" si="19"/>
        <v>253</v>
      </c>
    </row>
    <row r="256" spans="32:34" x14ac:dyDescent="0.2">
      <c r="AF256" s="3">
        <f t="shared" si="18"/>
        <v>3.6200000000000017E-2</v>
      </c>
      <c r="AG256" s="3">
        <f t="shared" si="17"/>
        <v>-0.29764757432084166</v>
      </c>
      <c r="AH256" s="3">
        <f t="shared" si="19"/>
        <v>254</v>
      </c>
    </row>
    <row r="257" spans="32:34" x14ac:dyDescent="0.2">
      <c r="AF257" s="3">
        <f t="shared" si="18"/>
        <v>3.630000000000002E-2</v>
      </c>
      <c r="AG257" s="3">
        <f t="shared" si="17"/>
        <v>-0.2982217060977263</v>
      </c>
      <c r="AH257" s="3">
        <f t="shared" si="19"/>
        <v>255</v>
      </c>
    </row>
    <row r="258" spans="32:34" x14ac:dyDescent="0.2">
      <c r="AF258" s="3">
        <f t="shared" si="18"/>
        <v>3.6400000000000023E-2</v>
      </c>
      <c r="AG258" s="3">
        <f t="shared" si="17"/>
        <v>-0.29879515534702594</v>
      </c>
      <c r="AH258" s="3">
        <f t="shared" si="19"/>
        <v>256</v>
      </c>
    </row>
    <row r="259" spans="32:34" x14ac:dyDescent="0.2">
      <c r="AF259" s="3">
        <f t="shared" si="18"/>
        <v>3.6500000000000025E-2</v>
      </c>
      <c r="AG259" s="3">
        <f t="shared" ref="AG259:AG322" si="20">RT0*AF259*LN(AF259)</f>
        <v>-0.29936792394382095</v>
      </c>
      <c r="AH259" s="3">
        <f t="shared" si="19"/>
        <v>257</v>
      </c>
    </row>
    <row r="260" spans="32:34" x14ac:dyDescent="0.2">
      <c r="AF260" s="3">
        <f t="shared" si="18"/>
        <v>3.6600000000000028E-2</v>
      </c>
      <c r="AG260" s="3">
        <f t="shared" si="20"/>
        <v>-0.29994001375291751</v>
      </c>
      <c r="AH260" s="3">
        <f t="shared" si="19"/>
        <v>258</v>
      </c>
    </row>
    <row r="261" spans="32:34" x14ac:dyDescent="0.2">
      <c r="AF261" s="3">
        <f t="shared" ref="AF261:AF324" si="21">AF260+0.0001</f>
        <v>3.6700000000000031E-2</v>
      </c>
      <c r="AG261" s="3">
        <f t="shared" si="20"/>
        <v>-0.30051142662893143</v>
      </c>
      <c r="AH261" s="3">
        <f t="shared" ref="AH261:AH324" si="22">AH260+1</f>
        <v>259</v>
      </c>
    </row>
    <row r="262" spans="32:34" x14ac:dyDescent="0.2">
      <c r="AF262" s="3">
        <f t="shared" si="21"/>
        <v>3.6800000000000034E-2</v>
      </c>
      <c r="AG262" s="3">
        <f t="shared" si="20"/>
        <v>-0.30108216441637153</v>
      </c>
      <c r="AH262" s="3">
        <f t="shared" si="22"/>
        <v>260</v>
      </c>
    </row>
    <row r="263" spans="32:34" x14ac:dyDescent="0.2">
      <c r="AF263" s="3">
        <f t="shared" si="21"/>
        <v>3.6900000000000037E-2</v>
      </c>
      <c r="AG263" s="3">
        <f t="shared" si="20"/>
        <v>-0.30165222894972227</v>
      </c>
      <c r="AH263" s="3">
        <f t="shared" si="22"/>
        <v>261</v>
      </c>
    </row>
    <row r="264" spans="32:34" x14ac:dyDescent="0.2">
      <c r="AF264" s="3">
        <f t="shared" si="21"/>
        <v>3.700000000000004E-2</v>
      </c>
      <c r="AG264" s="3">
        <f t="shared" si="20"/>
        <v>-0.30222162205352476</v>
      </c>
      <c r="AH264" s="3">
        <f t="shared" si="22"/>
        <v>262</v>
      </c>
    </row>
    <row r="265" spans="32:34" x14ac:dyDescent="0.2">
      <c r="AF265" s="3">
        <f t="shared" si="21"/>
        <v>3.7100000000000043E-2</v>
      </c>
      <c r="AG265" s="3">
        <f t="shared" si="20"/>
        <v>-0.30279034554245798</v>
      </c>
      <c r="AH265" s="3">
        <f t="shared" si="22"/>
        <v>263</v>
      </c>
    </row>
    <row r="266" spans="32:34" x14ac:dyDescent="0.2">
      <c r="AF266" s="3">
        <f t="shared" si="21"/>
        <v>3.7200000000000046E-2</v>
      </c>
      <c r="AG266" s="3">
        <f t="shared" si="20"/>
        <v>-0.30335840122141816</v>
      </c>
      <c r="AH266" s="3">
        <f t="shared" si="22"/>
        <v>264</v>
      </c>
    </row>
    <row r="267" spans="32:34" x14ac:dyDescent="0.2">
      <c r="AF267" s="3">
        <f t="shared" si="21"/>
        <v>3.7300000000000048E-2</v>
      </c>
      <c r="AG267" s="3">
        <f t="shared" si="20"/>
        <v>-0.30392579088559779</v>
      </c>
      <c r="AH267" s="3">
        <f t="shared" si="22"/>
        <v>265</v>
      </c>
    </row>
    <row r="268" spans="32:34" x14ac:dyDescent="0.2">
      <c r="AF268" s="3">
        <f t="shared" si="21"/>
        <v>3.7400000000000051E-2</v>
      </c>
      <c r="AG268" s="3">
        <f t="shared" si="20"/>
        <v>-0.3044925163205634</v>
      </c>
      <c r="AH268" s="3">
        <f t="shared" si="22"/>
        <v>266</v>
      </c>
    </row>
    <row r="269" spans="32:34" x14ac:dyDescent="0.2">
      <c r="AF269" s="3">
        <f t="shared" si="21"/>
        <v>3.7500000000000054E-2</v>
      </c>
      <c r="AG269" s="3">
        <f t="shared" si="20"/>
        <v>-0.30505857930233321</v>
      </c>
      <c r="AH269" s="3">
        <f t="shared" si="22"/>
        <v>267</v>
      </c>
    </row>
    <row r="270" spans="32:34" x14ac:dyDescent="0.2">
      <c r="AF270" s="3">
        <f t="shared" si="21"/>
        <v>3.7600000000000057E-2</v>
      </c>
      <c r="AG270" s="3">
        <f t="shared" si="20"/>
        <v>-0.30562398159745341</v>
      </c>
      <c r="AH270" s="3">
        <f t="shared" si="22"/>
        <v>268</v>
      </c>
    </row>
    <row r="271" spans="32:34" x14ac:dyDescent="0.2">
      <c r="AF271" s="3">
        <f t="shared" si="21"/>
        <v>3.770000000000006E-2</v>
      </c>
      <c r="AG271" s="3">
        <f t="shared" si="20"/>
        <v>-0.30618872496307342</v>
      </c>
      <c r="AH271" s="3">
        <f t="shared" si="22"/>
        <v>269</v>
      </c>
    </row>
    <row r="272" spans="32:34" x14ac:dyDescent="0.2">
      <c r="AF272" s="3">
        <f t="shared" si="21"/>
        <v>3.7800000000000063E-2</v>
      </c>
      <c r="AG272" s="3">
        <f t="shared" si="20"/>
        <v>-0.30675281114702085</v>
      </c>
      <c r="AH272" s="3">
        <f t="shared" si="22"/>
        <v>270</v>
      </c>
    </row>
    <row r="273" spans="32:34" x14ac:dyDescent="0.2">
      <c r="AF273" s="3">
        <f t="shared" si="21"/>
        <v>3.7900000000000066E-2</v>
      </c>
      <c r="AG273" s="3">
        <f t="shared" si="20"/>
        <v>-0.30731624188787576</v>
      </c>
      <c r="AH273" s="3">
        <f t="shared" si="22"/>
        <v>271</v>
      </c>
    </row>
    <row r="274" spans="32:34" x14ac:dyDescent="0.2">
      <c r="AF274" s="3">
        <f t="shared" si="21"/>
        <v>3.8000000000000068E-2</v>
      </c>
      <c r="AG274" s="3">
        <f t="shared" si="20"/>
        <v>-0.30787901891504332</v>
      </c>
      <c r="AH274" s="3">
        <f t="shared" si="22"/>
        <v>272</v>
      </c>
    </row>
    <row r="275" spans="32:34" x14ac:dyDescent="0.2">
      <c r="AF275" s="3">
        <f t="shared" si="21"/>
        <v>3.8100000000000071E-2</v>
      </c>
      <c r="AG275" s="3">
        <f t="shared" si="20"/>
        <v>-0.30844114394882682</v>
      </c>
      <c r="AH275" s="3">
        <f t="shared" si="22"/>
        <v>273</v>
      </c>
    </row>
    <row r="276" spans="32:34" x14ac:dyDescent="0.2">
      <c r="AF276" s="3">
        <f t="shared" si="21"/>
        <v>3.8200000000000074E-2</v>
      </c>
      <c r="AG276" s="3">
        <f t="shared" si="20"/>
        <v>-0.30900261870049894</v>
      </c>
      <c r="AH276" s="3">
        <f t="shared" si="22"/>
        <v>274</v>
      </c>
    </row>
    <row r="277" spans="32:34" x14ac:dyDescent="0.2">
      <c r="AF277" s="3">
        <f t="shared" si="21"/>
        <v>3.8300000000000077E-2</v>
      </c>
      <c r="AG277" s="3">
        <f t="shared" si="20"/>
        <v>-0.30956344487237264</v>
      </c>
      <c r="AH277" s="3">
        <f t="shared" si="22"/>
        <v>275</v>
      </c>
    </row>
    <row r="278" spans="32:34" x14ac:dyDescent="0.2">
      <c r="AF278" s="3">
        <f t="shared" si="21"/>
        <v>3.840000000000008E-2</v>
      </c>
      <c r="AG278" s="3">
        <f t="shared" si="20"/>
        <v>-0.31012362415787159</v>
      </c>
      <c r="AH278" s="3">
        <f t="shared" si="22"/>
        <v>276</v>
      </c>
    </row>
    <row r="279" spans="32:34" x14ac:dyDescent="0.2">
      <c r="AF279" s="3">
        <f t="shared" si="21"/>
        <v>3.8500000000000083E-2</v>
      </c>
      <c r="AG279" s="3">
        <f t="shared" si="20"/>
        <v>-0.3106831582415997</v>
      </c>
      <c r="AH279" s="3">
        <f t="shared" si="22"/>
        <v>277</v>
      </c>
    </row>
    <row r="280" spans="32:34" x14ac:dyDescent="0.2">
      <c r="AF280" s="3">
        <f t="shared" si="21"/>
        <v>3.8600000000000086E-2</v>
      </c>
      <c r="AG280" s="3">
        <f t="shared" si="20"/>
        <v>-0.31124204879940942</v>
      </c>
      <c r="AH280" s="3">
        <f t="shared" si="22"/>
        <v>278</v>
      </c>
    </row>
    <row r="281" spans="32:34" x14ac:dyDescent="0.2">
      <c r="AF281" s="3">
        <f t="shared" si="21"/>
        <v>3.8700000000000088E-2</v>
      </c>
      <c r="AG281" s="3">
        <f t="shared" si="20"/>
        <v>-0.31180029749846999</v>
      </c>
      <c r="AH281" s="3">
        <f t="shared" si="22"/>
        <v>279</v>
      </c>
    </row>
    <row r="282" spans="32:34" x14ac:dyDescent="0.2">
      <c r="AF282" s="3">
        <f t="shared" si="21"/>
        <v>3.8800000000000091E-2</v>
      </c>
      <c r="AG282" s="3">
        <f t="shared" si="20"/>
        <v>-0.31235790599733498</v>
      </c>
      <c r="AH282" s="3">
        <f t="shared" si="22"/>
        <v>280</v>
      </c>
    </row>
    <row r="283" spans="32:34" x14ac:dyDescent="0.2">
      <c r="AF283" s="3">
        <f t="shared" si="21"/>
        <v>3.8900000000000094E-2</v>
      </c>
      <c r="AG283" s="3">
        <f t="shared" si="20"/>
        <v>-0.31291487594600847</v>
      </c>
      <c r="AH283" s="3">
        <f t="shared" si="22"/>
        <v>281</v>
      </c>
    </row>
    <row r="284" spans="32:34" x14ac:dyDescent="0.2">
      <c r="AF284" s="3">
        <f t="shared" si="21"/>
        <v>3.9000000000000097E-2</v>
      </c>
      <c r="AG284" s="3">
        <f t="shared" si="20"/>
        <v>-0.31347120898601138</v>
      </c>
      <c r="AH284" s="3">
        <f t="shared" si="22"/>
        <v>282</v>
      </c>
    </row>
    <row r="285" spans="32:34" x14ac:dyDescent="0.2">
      <c r="AF285" s="3">
        <f t="shared" si="21"/>
        <v>3.91000000000001E-2</v>
      </c>
      <c r="AG285" s="3">
        <f t="shared" si="20"/>
        <v>-0.31402690675044631</v>
      </c>
      <c r="AH285" s="3">
        <f t="shared" si="22"/>
        <v>283</v>
      </c>
    </row>
    <row r="286" spans="32:34" x14ac:dyDescent="0.2">
      <c r="AF286" s="3">
        <f t="shared" si="21"/>
        <v>3.9200000000000103E-2</v>
      </c>
      <c r="AG286" s="3">
        <f t="shared" si="20"/>
        <v>-0.31458197086406253</v>
      </c>
      <c r="AH286" s="3">
        <f t="shared" si="22"/>
        <v>284</v>
      </c>
    </row>
    <row r="287" spans="32:34" x14ac:dyDescent="0.2">
      <c r="AF287" s="3">
        <f t="shared" si="21"/>
        <v>3.9300000000000106E-2</v>
      </c>
      <c r="AG287" s="3">
        <f t="shared" si="20"/>
        <v>-0.31513640294331985</v>
      </c>
      <c r="AH287" s="3">
        <f t="shared" si="22"/>
        <v>285</v>
      </c>
    </row>
    <row r="288" spans="32:34" x14ac:dyDescent="0.2">
      <c r="AF288" s="3">
        <f t="shared" si="21"/>
        <v>3.9400000000000109E-2</v>
      </c>
      <c r="AG288" s="3">
        <f t="shared" si="20"/>
        <v>-0.31569020459645153</v>
      </c>
      <c r="AH288" s="3">
        <f t="shared" si="22"/>
        <v>286</v>
      </c>
    </row>
    <row r="289" spans="32:34" x14ac:dyDescent="0.2">
      <c r="AF289" s="3">
        <f t="shared" si="21"/>
        <v>3.9500000000000111E-2</v>
      </c>
      <c r="AG289" s="3">
        <f t="shared" si="20"/>
        <v>-0.31624337742352743</v>
      </c>
      <c r="AH289" s="3">
        <f t="shared" si="22"/>
        <v>287</v>
      </c>
    </row>
    <row r="290" spans="32:34" x14ac:dyDescent="0.2">
      <c r="AF290" s="3">
        <f t="shared" si="21"/>
        <v>3.9600000000000114E-2</v>
      </c>
      <c r="AG290" s="3">
        <f t="shared" si="20"/>
        <v>-0.31679592301651555</v>
      </c>
      <c r="AH290" s="3">
        <f t="shared" si="22"/>
        <v>288</v>
      </c>
    </row>
    <row r="291" spans="32:34" x14ac:dyDescent="0.2">
      <c r="AF291" s="3">
        <f t="shared" si="21"/>
        <v>3.9700000000000117E-2</v>
      </c>
      <c r="AG291" s="3">
        <f t="shared" si="20"/>
        <v>-0.31734784295934376</v>
      </c>
      <c r="AH291" s="3">
        <f t="shared" si="22"/>
        <v>289</v>
      </c>
    </row>
    <row r="292" spans="32:34" x14ac:dyDescent="0.2">
      <c r="AF292" s="3">
        <f t="shared" si="21"/>
        <v>3.980000000000012E-2</v>
      </c>
      <c r="AG292" s="3">
        <f t="shared" si="20"/>
        <v>-0.31789913882796039</v>
      </c>
      <c r="AH292" s="3">
        <f t="shared" si="22"/>
        <v>290</v>
      </c>
    </row>
    <row r="293" spans="32:34" x14ac:dyDescent="0.2">
      <c r="AF293" s="3">
        <f t="shared" si="21"/>
        <v>3.9900000000000123E-2</v>
      </c>
      <c r="AG293" s="3">
        <f t="shared" si="20"/>
        <v>-0.31844981219039448</v>
      </c>
      <c r="AH293" s="3">
        <f t="shared" si="22"/>
        <v>291</v>
      </c>
    </row>
    <row r="294" spans="32:34" x14ac:dyDescent="0.2">
      <c r="AF294" s="3">
        <f t="shared" si="21"/>
        <v>4.0000000000000126E-2</v>
      </c>
      <c r="AG294" s="3">
        <f t="shared" si="20"/>
        <v>-0.31899986460681501</v>
      </c>
      <c r="AH294" s="3">
        <f t="shared" si="22"/>
        <v>292</v>
      </c>
    </row>
    <row r="295" spans="32:34" x14ac:dyDescent="0.2">
      <c r="AF295" s="3">
        <f t="shared" si="21"/>
        <v>4.0100000000000129E-2</v>
      </c>
      <c r="AG295" s="3">
        <f t="shared" si="20"/>
        <v>-0.31954929762959033</v>
      </c>
      <c r="AH295" s="3">
        <f t="shared" si="22"/>
        <v>293</v>
      </c>
    </row>
    <row r="296" spans="32:34" x14ac:dyDescent="0.2">
      <c r="AF296" s="3">
        <f t="shared" si="21"/>
        <v>4.0200000000000131E-2</v>
      </c>
      <c r="AG296" s="3">
        <f t="shared" si="20"/>
        <v>-0.32009811280334627</v>
      </c>
      <c r="AH296" s="3">
        <f t="shared" si="22"/>
        <v>294</v>
      </c>
    </row>
    <row r="297" spans="32:34" x14ac:dyDescent="0.2">
      <c r="AF297" s="3">
        <f t="shared" si="21"/>
        <v>4.0300000000000134E-2</v>
      </c>
      <c r="AG297" s="3">
        <f t="shared" si="20"/>
        <v>-0.32064631166502378</v>
      </c>
      <c r="AH297" s="3">
        <f t="shared" si="22"/>
        <v>295</v>
      </c>
    </row>
    <row r="298" spans="32:34" x14ac:dyDescent="0.2">
      <c r="AF298" s="3">
        <f t="shared" si="21"/>
        <v>4.0400000000000137E-2</v>
      </c>
      <c r="AG298" s="3">
        <f t="shared" si="20"/>
        <v>-0.32119389574393636</v>
      </c>
      <c r="AH298" s="3">
        <f t="shared" si="22"/>
        <v>296</v>
      </c>
    </row>
    <row r="299" spans="32:34" x14ac:dyDescent="0.2">
      <c r="AF299" s="3">
        <f t="shared" si="21"/>
        <v>4.050000000000014E-2</v>
      </c>
      <c r="AG299" s="3">
        <f t="shared" si="20"/>
        <v>-0.32174086656182671</v>
      </c>
      <c r="AH299" s="3">
        <f t="shared" si="22"/>
        <v>297</v>
      </c>
    </row>
    <row r="300" spans="32:34" x14ac:dyDescent="0.2">
      <c r="AF300" s="3">
        <f t="shared" si="21"/>
        <v>4.0600000000000143E-2</v>
      </c>
      <c r="AG300" s="3">
        <f t="shared" si="20"/>
        <v>-0.32228722563292261</v>
      </c>
      <c r="AH300" s="3">
        <f t="shared" si="22"/>
        <v>298</v>
      </c>
    </row>
    <row r="301" spans="32:34" x14ac:dyDescent="0.2">
      <c r="AF301" s="3">
        <f t="shared" si="21"/>
        <v>4.0700000000000146E-2</v>
      </c>
      <c r="AG301" s="3">
        <f t="shared" si="20"/>
        <v>-0.32283297446399262</v>
      </c>
      <c r="AH301" s="3">
        <f t="shared" si="22"/>
        <v>299</v>
      </c>
    </row>
    <row r="302" spans="32:34" x14ac:dyDescent="0.2">
      <c r="AF302" s="3">
        <f t="shared" si="21"/>
        <v>4.0800000000000149E-2</v>
      </c>
      <c r="AG302" s="3">
        <f t="shared" si="20"/>
        <v>-0.32337811455440102</v>
      </c>
      <c r="AH302" s="3">
        <f t="shared" si="22"/>
        <v>300</v>
      </c>
    </row>
    <row r="303" spans="32:34" x14ac:dyDescent="0.2">
      <c r="AF303" s="3">
        <f t="shared" si="21"/>
        <v>4.0900000000000152E-2</v>
      </c>
      <c r="AG303" s="3">
        <f t="shared" si="20"/>
        <v>-0.32392264739616222</v>
      </c>
      <c r="AH303" s="3">
        <f t="shared" si="22"/>
        <v>301</v>
      </c>
    </row>
    <row r="304" spans="32:34" x14ac:dyDescent="0.2">
      <c r="AF304" s="3">
        <f t="shared" si="21"/>
        <v>4.1000000000000154E-2</v>
      </c>
      <c r="AG304" s="3">
        <f t="shared" si="20"/>
        <v>-0.32446657447399463</v>
      </c>
      <c r="AH304" s="3">
        <f t="shared" si="22"/>
        <v>302</v>
      </c>
    </row>
    <row r="305" spans="32:34" x14ac:dyDescent="0.2">
      <c r="AF305" s="3">
        <f t="shared" si="21"/>
        <v>4.1100000000000157E-2</v>
      </c>
      <c r="AG305" s="3">
        <f t="shared" si="20"/>
        <v>-0.32500989726537433</v>
      </c>
      <c r="AH305" s="3">
        <f t="shared" si="22"/>
        <v>303</v>
      </c>
    </row>
    <row r="306" spans="32:34" x14ac:dyDescent="0.2">
      <c r="AF306" s="3">
        <f t="shared" si="21"/>
        <v>4.120000000000016E-2</v>
      </c>
      <c r="AG306" s="3">
        <f t="shared" si="20"/>
        <v>-0.32555261724058748</v>
      </c>
      <c r="AH306" s="3">
        <f t="shared" si="22"/>
        <v>304</v>
      </c>
    </row>
    <row r="307" spans="32:34" x14ac:dyDescent="0.2">
      <c r="AF307" s="3">
        <f t="shared" si="21"/>
        <v>4.1300000000000163E-2</v>
      </c>
      <c r="AG307" s="3">
        <f t="shared" si="20"/>
        <v>-0.32609473586278298</v>
      </c>
      <c r="AH307" s="3">
        <f t="shared" si="22"/>
        <v>305</v>
      </c>
    </row>
    <row r="308" spans="32:34" x14ac:dyDescent="0.2">
      <c r="AF308" s="3">
        <f t="shared" si="21"/>
        <v>4.1400000000000166E-2</v>
      </c>
      <c r="AG308" s="3">
        <f t="shared" si="20"/>
        <v>-0.32663625458802426</v>
      </c>
      <c r="AH308" s="3">
        <f t="shared" si="22"/>
        <v>306</v>
      </c>
    </row>
    <row r="309" spans="32:34" x14ac:dyDescent="0.2">
      <c r="AF309" s="3">
        <f t="shared" si="21"/>
        <v>4.1500000000000169E-2</v>
      </c>
      <c r="AG309" s="3">
        <f t="shared" si="20"/>
        <v>-0.32717717486534059</v>
      </c>
      <c r="AH309" s="3">
        <f t="shared" si="22"/>
        <v>307</v>
      </c>
    </row>
    <row r="310" spans="32:34" x14ac:dyDescent="0.2">
      <c r="AF310" s="3">
        <f t="shared" si="21"/>
        <v>4.1600000000000172E-2</v>
      </c>
      <c r="AG310" s="3">
        <f t="shared" si="20"/>
        <v>-0.32771749813677797</v>
      </c>
      <c r="AH310" s="3">
        <f t="shared" si="22"/>
        <v>308</v>
      </c>
    </row>
    <row r="311" spans="32:34" x14ac:dyDescent="0.2">
      <c r="AF311" s="3">
        <f t="shared" si="21"/>
        <v>4.1700000000000174E-2</v>
      </c>
      <c r="AG311" s="3">
        <f t="shared" si="20"/>
        <v>-0.32825722583744954</v>
      </c>
      <c r="AH311" s="3">
        <f t="shared" si="22"/>
        <v>309</v>
      </c>
    </row>
    <row r="312" spans="32:34" x14ac:dyDescent="0.2">
      <c r="AF312" s="3">
        <f t="shared" si="21"/>
        <v>4.1800000000000177E-2</v>
      </c>
      <c r="AG312" s="3">
        <f t="shared" si="20"/>
        <v>-0.32879635939558516</v>
      </c>
      <c r="AH312" s="3">
        <f t="shared" si="22"/>
        <v>310</v>
      </c>
    </row>
    <row r="313" spans="32:34" x14ac:dyDescent="0.2">
      <c r="AF313" s="3">
        <f t="shared" si="21"/>
        <v>4.190000000000018E-2</v>
      </c>
      <c r="AG313" s="3">
        <f t="shared" si="20"/>
        <v>-0.32933490023258116</v>
      </c>
      <c r="AH313" s="3">
        <f t="shared" si="22"/>
        <v>311</v>
      </c>
    </row>
    <row r="314" spans="32:34" x14ac:dyDescent="0.2">
      <c r="AF314" s="3">
        <f t="shared" si="21"/>
        <v>4.2000000000000183E-2</v>
      </c>
      <c r="AG314" s="3">
        <f t="shared" si="20"/>
        <v>-0.32987284976304931</v>
      </c>
      <c r="AH314" s="3">
        <f t="shared" si="22"/>
        <v>312</v>
      </c>
    </row>
    <row r="315" spans="32:34" x14ac:dyDescent="0.2">
      <c r="AF315" s="3">
        <f t="shared" si="21"/>
        <v>4.2100000000000186E-2</v>
      </c>
      <c r="AG315" s="3">
        <f t="shared" si="20"/>
        <v>-0.33041020939486482</v>
      </c>
      <c r="AH315" s="3">
        <f t="shared" si="22"/>
        <v>313</v>
      </c>
    </row>
    <row r="316" spans="32:34" x14ac:dyDescent="0.2">
      <c r="AF316" s="3">
        <f t="shared" si="21"/>
        <v>4.2200000000000189E-2</v>
      </c>
      <c r="AG316" s="3">
        <f t="shared" si="20"/>
        <v>-0.3309469805292149</v>
      </c>
      <c r="AH316" s="3">
        <f t="shared" si="22"/>
        <v>314</v>
      </c>
    </row>
    <row r="317" spans="32:34" x14ac:dyDescent="0.2">
      <c r="AF317" s="3">
        <f t="shared" si="21"/>
        <v>4.2300000000000192E-2</v>
      </c>
      <c r="AG317" s="3">
        <f t="shared" si="20"/>
        <v>-0.3314831645606458</v>
      </c>
      <c r="AH317" s="3">
        <f t="shared" si="22"/>
        <v>315</v>
      </c>
    </row>
    <row r="318" spans="32:34" x14ac:dyDescent="0.2">
      <c r="AF318" s="3">
        <f t="shared" si="21"/>
        <v>4.2400000000000194E-2</v>
      </c>
      <c r="AG318" s="3">
        <f t="shared" si="20"/>
        <v>-0.3320187628771103</v>
      </c>
      <c r="AH318" s="3">
        <f t="shared" si="22"/>
        <v>316</v>
      </c>
    </row>
    <row r="319" spans="32:34" x14ac:dyDescent="0.2">
      <c r="AF319" s="3">
        <f t="shared" si="21"/>
        <v>4.2500000000000197E-2</v>
      </c>
      <c r="AG319" s="3">
        <f t="shared" si="20"/>
        <v>-0.33255377686001425</v>
      </c>
      <c r="AH319" s="3">
        <f t="shared" si="22"/>
        <v>317</v>
      </c>
    </row>
    <row r="320" spans="32:34" x14ac:dyDescent="0.2">
      <c r="AF320" s="3">
        <f t="shared" si="21"/>
        <v>4.26000000000002E-2</v>
      </c>
      <c r="AG320" s="3">
        <f t="shared" si="20"/>
        <v>-0.33308820788426263</v>
      </c>
      <c r="AH320" s="3">
        <f t="shared" si="22"/>
        <v>318</v>
      </c>
    </row>
    <row r="321" spans="32:34" x14ac:dyDescent="0.2">
      <c r="AF321" s="3">
        <f t="shared" si="21"/>
        <v>4.2700000000000203E-2</v>
      </c>
      <c r="AG321" s="3">
        <f t="shared" si="20"/>
        <v>-0.33362205731830552</v>
      </c>
      <c r="AH321" s="3">
        <f t="shared" si="22"/>
        <v>319</v>
      </c>
    </row>
    <row r="322" spans="32:34" x14ac:dyDescent="0.2">
      <c r="AF322" s="3">
        <f t="shared" si="21"/>
        <v>4.2800000000000206E-2</v>
      </c>
      <c r="AG322" s="3">
        <f t="shared" si="20"/>
        <v>-0.33415532652418334</v>
      </c>
      <c r="AH322" s="3">
        <f t="shared" si="22"/>
        <v>320</v>
      </c>
    </row>
    <row r="323" spans="32:34" x14ac:dyDescent="0.2">
      <c r="AF323" s="3">
        <f t="shared" si="21"/>
        <v>4.2900000000000209E-2</v>
      </c>
      <c r="AG323" s="3">
        <f t="shared" ref="AG323:AG386" si="23">RT0*AF323*LN(AF323)</f>
        <v>-0.33468801685757188</v>
      </c>
      <c r="AH323" s="3">
        <f t="shared" si="22"/>
        <v>321</v>
      </c>
    </row>
    <row r="324" spans="32:34" x14ac:dyDescent="0.2">
      <c r="AF324" s="3">
        <f t="shared" si="21"/>
        <v>4.3000000000000212E-2</v>
      </c>
      <c r="AG324" s="3">
        <f t="shared" si="23"/>
        <v>-0.33522012966782672</v>
      </c>
      <c r="AH324" s="3">
        <f t="shared" si="22"/>
        <v>322</v>
      </c>
    </row>
    <row r="325" spans="32:34" x14ac:dyDescent="0.2">
      <c r="AF325" s="3">
        <f t="shared" ref="AF325" si="24">AF324+0.0001</f>
        <v>4.3100000000000215E-2</v>
      </c>
      <c r="AG325" s="3">
        <f t="shared" si="23"/>
        <v>-0.33575166629802733</v>
      </c>
      <c r="AH325" s="3">
        <f t="shared" ref="AH325:AH388" si="25">AH324+1</f>
        <v>323</v>
      </c>
    </row>
    <row r="326" spans="32:34" x14ac:dyDescent="0.2">
      <c r="AF326" s="3">
        <f>AF325+0.0001</f>
        <v>4.3200000000000217E-2</v>
      </c>
      <c r="AG326" s="3">
        <f t="shared" si="23"/>
        <v>-0.33628262808502074</v>
      </c>
      <c r="AH326" s="3">
        <f t="shared" si="25"/>
        <v>324</v>
      </c>
    </row>
    <row r="327" spans="32:34" x14ac:dyDescent="0.2">
      <c r="AF327" s="3">
        <f t="shared" ref="AF327:AF390" si="26">AF326+0.0001</f>
        <v>4.330000000000022E-2</v>
      </c>
      <c r="AG327" s="3">
        <f t="shared" si="23"/>
        <v>-0.33681301635946487</v>
      </c>
      <c r="AH327" s="3">
        <f t="shared" si="25"/>
        <v>325</v>
      </c>
    </row>
    <row r="328" spans="32:34" x14ac:dyDescent="0.2">
      <c r="AF328" s="3">
        <f t="shared" si="26"/>
        <v>4.3400000000000223E-2</v>
      </c>
      <c r="AG328" s="3">
        <f t="shared" si="23"/>
        <v>-0.3373428324458716</v>
      </c>
      <c r="AH328" s="3">
        <f t="shared" si="25"/>
        <v>326</v>
      </c>
    </row>
    <row r="329" spans="32:34" x14ac:dyDescent="0.2">
      <c r="AF329" s="3">
        <f t="shared" si="26"/>
        <v>4.3500000000000226E-2</v>
      </c>
      <c r="AG329" s="3">
        <f t="shared" si="23"/>
        <v>-0.33787207766264871</v>
      </c>
      <c r="AH329" s="3">
        <f t="shared" si="25"/>
        <v>327</v>
      </c>
    </row>
    <row r="330" spans="32:34" x14ac:dyDescent="0.2">
      <c r="AF330" s="3">
        <f t="shared" si="26"/>
        <v>4.3600000000000229E-2</v>
      </c>
      <c r="AG330" s="3">
        <f t="shared" si="23"/>
        <v>-0.33840075332214253</v>
      </c>
      <c r="AH330" s="3">
        <f t="shared" si="25"/>
        <v>328</v>
      </c>
    </row>
    <row r="331" spans="32:34" x14ac:dyDescent="0.2">
      <c r="AF331" s="3">
        <f t="shared" si="26"/>
        <v>4.3700000000000232E-2</v>
      </c>
      <c r="AG331" s="3">
        <f t="shared" si="23"/>
        <v>-0.33892886073067946</v>
      </c>
      <c r="AH331" s="3">
        <f t="shared" si="25"/>
        <v>329</v>
      </c>
    </row>
    <row r="332" spans="32:34" x14ac:dyDescent="0.2">
      <c r="AF332" s="3">
        <f t="shared" si="26"/>
        <v>4.3800000000000235E-2</v>
      </c>
      <c r="AG332" s="3">
        <f t="shared" si="23"/>
        <v>-0.33945640118860715</v>
      </c>
      <c r="AH332" s="3">
        <f t="shared" si="25"/>
        <v>330</v>
      </c>
    </row>
    <row r="333" spans="32:34" x14ac:dyDescent="0.2">
      <c r="AF333" s="3">
        <f t="shared" si="26"/>
        <v>4.3900000000000237E-2</v>
      </c>
      <c r="AG333" s="3">
        <f t="shared" si="23"/>
        <v>-0.33998337599033568</v>
      </c>
      <c r="AH333" s="3">
        <f t="shared" si="25"/>
        <v>331</v>
      </c>
    </row>
    <row r="334" spans="32:34" x14ac:dyDescent="0.2">
      <c r="AF334" s="3">
        <f t="shared" si="26"/>
        <v>4.400000000000024E-2</v>
      </c>
      <c r="AG334" s="3">
        <f t="shared" si="23"/>
        <v>-0.3405097864243779</v>
      </c>
      <c r="AH334" s="3">
        <f t="shared" si="25"/>
        <v>332</v>
      </c>
    </row>
    <row r="335" spans="32:34" x14ac:dyDescent="0.2">
      <c r="AF335" s="3">
        <f t="shared" si="26"/>
        <v>4.4100000000000243E-2</v>
      </c>
      <c r="AG335" s="3">
        <f t="shared" si="23"/>
        <v>-0.34103563377338997</v>
      </c>
      <c r="AH335" s="3">
        <f t="shared" si="25"/>
        <v>333</v>
      </c>
    </row>
    <row r="336" spans="32:34" x14ac:dyDescent="0.2">
      <c r="AF336" s="3">
        <f t="shared" si="26"/>
        <v>4.4200000000000246E-2</v>
      </c>
      <c r="AG336" s="3">
        <f t="shared" si="23"/>
        <v>-0.34156091931421084</v>
      </c>
      <c r="AH336" s="3">
        <f t="shared" si="25"/>
        <v>334</v>
      </c>
    </row>
    <row r="337" spans="32:34" x14ac:dyDescent="0.2">
      <c r="AF337" s="3">
        <f t="shared" si="26"/>
        <v>4.4300000000000249E-2</v>
      </c>
      <c r="AG337" s="3">
        <f t="shared" si="23"/>
        <v>-0.34208564431790189</v>
      </c>
      <c r="AH337" s="3">
        <f t="shared" si="25"/>
        <v>335</v>
      </c>
    </row>
    <row r="338" spans="32:34" x14ac:dyDescent="0.2">
      <c r="AF338" s="3">
        <f t="shared" si="26"/>
        <v>4.4400000000000252E-2</v>
      </c>
      <c r="AG338" s="3">
        <f t="shared" si="23"/>
        <v>-0.34260981004978619</v>
      </c>
      <c r="AH338" s="3">
        <f t="shared" si="25"/>
        <v>336</v>
      </c>
    </row>
    <row r="339" spans="32:34" x14ac:dyDescent="0.2">
      <c r="AF339" s="3">
        <f t="shared" si="26"/>
        <v>4.4500000000000255E-2</v>
      </c>
      <c r="AG339" s="3">
        <f t="shared" si="23"/>
        <v>-0.34313341776948697</v>
      </c>
      <c r="AH339" s="3">
        <f t="shared" si="25"/>
        <v>337</v>
      </c>
    </row>
    <row r="340" spans="32:34" x14ac:dyDescent="0.2">
      <c r="AF340" s="3">
        <f t="shared" si="26"/>
        <v>4.4600000000000257E-2</v>
      </c>
      <c r="AG340" s="3">
        <f t="shared" si="23"/>
        <v>-0.34365646873096634</v>
      </c>
      <c r="AH340" s="3">
        <f t="shared" si="25"/>
        <v>338</v>
      </c>
    </row>
    <row r="341" spans="32:34" x14ac:dyDescent="0.2">
      <c r="AF341" s="3">
        <f t="shared" si="26"/>
        <v>4.470000000000026E-2</v>
      </c>
      <c r="AG341" s="3">
        <f t="shared" si="23"/>
        <v>-0.34417896418256327</v>
      </c>
      <c r="AH341" s="3">
        <f t="shared" si="25"/>
        <v>339</v>
      </c>
    </row>
    <row r="342" spans="32:34" x14ac:dyDescent="0.2">
      <c r="AF342" s="3">
        <f t="shared" si="26"/>
        <v>4.4800000000000263E-2</v>
      </c>
      <c r="AG342" s="3">
        <f t="shared" si="23"/>
        <v>-0.34470090536703119</v>
      </c>
      <c r="AH342" s="3">
        <f t="shared" si="25"/>
        <v>340</v>
      </c>
    </row>
    <row r="343" spans="32:34" x14ac:dyDescent="0.2">
      <c r="AF343" s="3">
        <f t="shared" si="26"/>
        <v>4.4900000000000266E-2</v>
      </c>
      <c r="AG343" s="3">
        <f t="shared" si="23"/>
        <v>-0.34522229352157552</v>
      </c>
      <c r="AH343" s="3">
        <f t="shared" si="25"/>
        <v>341</v>
      </c>
    </row>
    <row r="344" spans="32:34" x14ac:dyDescent="0.2">
      <c r="AF344" s="3">
        <f t="shared" si="26"/>
        <v>4.5000000000000269E-2</v>
      </c>
      <c r="AG344" s="3">
        <f t="shared" si="23"/>
        <v>-0.34574312987789091</v>
      </c>
      <c r="AH344" s="3">
        <f t="shared" si="25"/>
        <v>342</v>
      </c>
    </row>
    <row r="345" spans="32:34" x14ac:dyDescent="0.2">
      <c r="AF345" s="3">
        <f t="shared" si="26"/>
        <v>4.5100000000000272E-2</v>
      </c>
      <c r="AG345" s="3">
        <f t="shared" si="23"/>
        <v>-0.34626341566219759</v>
      </c>
      <c r="AH345" s="3">
        <f t="shared" si="25"/>
        <v>343</v>
      </c>
    </row>
    <row r="346" spans="32:34" x14ac:dyDescent="0.2">
      <c r="AF346" s="3">
        <f t="shared" si="26"/>
        <v>4.5200000000000275E-2</v>
      </c>
      <c r="AG346" s="3">
        <f t="shared" si="23"/>
        <v>-0.34678315209527805</v>
      </c>
      <c r="AH346" s="3">
        <f t="shared" si="25"/>
        <v>344</v>
      </c>
    </row>
    <row r="347" spans="32:34" x14ac:dyDescent="0.2">
      <c r="AF347" s="3">
        <f t="shared" si="26"/>
        <v>4.5300000000000278E-2</v>
      </c>
      <c r="AG347" s="3">
        <f t="shared" si="23"/>
        <v>-0.34730234039251312</v>
      </c>
      <c r="AH347" s="3">
        <f t="shared" si="25"/>
        <v>345</v>
      </c>
    </row>
    <row r="348" spans="32:34" x14ac:dyDescent="0.2">
      <c r="AF348" s="3">
        <f t="shared" si="26"/>
        <v>4.540000000000028E-2</v>
      </c>
      <c r="AG348" s="3">
        <f t="shared" si="23"/>
        <v>-0.34782098176391768</v>
      </c>
      <c r="AH348" s="3">
        <f t="shared" si="25"/>
        <v>346</v>
      </c>
    </row>
    <row r="349" spans="32:34" x14ac:dyDescent="0.2">
      <c r="AF349" s="3">
        <f t="shared" si="26"/>
        <v>4.5500000000000283E-2</v>
      </c>
      <c r="AG349" s="3">
        <f t="shared" si="23"/>
        <v>-0.34833907741417613</v>
      </c>
      <c r="AH349" s="3">
        <f t="shared" si="25"/>
        <v>347</v>
      </c>
    </row>
    <row r="350" spans="32:34" x14ac:dyDescent="0.2">
      <c r="AF350" s="3">
        <f t="shared" si="26"/>
        <v>4.5600000000000286E-2</v>
      </c>
      <c r="AG350" s="3">
        <f t="shared" si="23"/>
        <v>-0.34885662854267757</v>
      </c>
      <c r="AH350" s="3">
        <f t="shared" si="25"/>
        <v>348</v>
      </c>
    </row>
    <row r="351" spans="32:34" x14ac:dyDescent="0.2">
      <c r="AF351" s="3">
        <f t="shared" si="26"/>
        <v>4.5700000000000289E-2</v>
      </c>
      <c r="AG351" s="3">
        <f t="shared" si="23"/>
        <v>-0.34937363634355051</v>
      </c>
      <c r="AH351" s="3">
        <f t="shared" si="25"/>
        <v>349</v>
      </c>
    </row>
    <row r="352" spans="32:34" x14ac:dyDescent="0.2">
      <c r="AF352" s="3">
        <f t="shared" si="26"/>
        <v>4.5800000000000292E-2</v>
      </c>
      <c r="AG352" s="3">
        <f t="shared" si="23"/>
        <v>-0.34989010200569753</v>
      </c>
      <c r="AH352" s="3">
        <f t="shared" si="25"/>
        <v>350</v>
      </c>
    </row>
    <row r="353" spans="32:34" x14ac:dyDescent="0.2">
      <c r="AF353" s="3">
        <f t="shared" si="26"/>
        <v>4.5900000000000295E-2</v>
      </c>
      <c r="AG353" s="3">
        <f t="shared" si="23"/>
        <v>-0.35040602671282961</v>
      </c>
      <c r="AH353" s="3">
        <f t="shared" si="25"/>
        <v>351</v>
      </c>
    </row>
    <row r="354" spans="32:34" x14ac:dyDescent="0.2">
      <c r="AF354" s="3">
        <f t="shared" si="26"/>
        <v>4.6000000000000298E-2</v>
      </c>
      <c r="AG354" s="3">
        <f t="shared" si="23"/>
        <v>-0.35092141164349988</v>
      </c>
      <c r="AH354" s="3">
        <f t="shared" si="25"/>
        <v>352</v>
      </c>
    </row>
    <row r="355" spans="32:34" x14ac:dyDescent="0.2">
      <c r="AF355" s="3">
        <f t="shared" si="26"/>
        <v>4.61000000000003E-2</v>
      </c>
      <c r="AG355" s="3">
        <f t="shared" si="23"/>
        <v>-0.3514362579711372</v>
      </c>
      <c r="AH355" s="3">
        <f t="shared" si="25"/>
        <v>353</v>
      </c>
    </row>
    <row r="356" spans="32:34" x14ac:dyDescent="0.2">
      <c r="AF356" s="3">
        <f t="shared" si="26"/>
        <v>4.6200000000000303E-2</v>
      </c>
      <c r="AG356" s="3">
        <f t="shared" si="23"/>
        <v>-0.35195056686407972</v>
      </c>
      <c r="AH356" s="3">
        <f t="shared" si="25"/>
        <v>354</v>
      </c>
    </row>
    <row r="357" spans="32:34" x14ac:dyDescent="0.2">
      <c r="AF357" s="3">
        <f t="shared" si="26"/>
        <v>4.6300000000000306E-2</v>
      </c>
      <c r="AG357" s="3">
        <f t="shared" si="23"/>
        <v>-0.35246433948560774</v>
      </c>
      <c r="AH357" s="3">
        <f t="shared" si="25"/>
        <v>355</v>
      </c>
    </row>
    <row r="358" spans="32:34" x14ac:dyDescent="0.2">
      <c r="AF358" s="3">
        <f t="shared" si="26"/>
        <v>4.6400000000000309E-2</v>
      </c>
      <c r="AG358" s="3">
        <f t="shared" si="23"/>
        <v>-0.35297757699397686</v>
      </c>
      <c r="AH358" s="3">
        <f t="shared" si="25"/>
        <v>356</v>
      </c>
    </row>
    <row r="359" spans="32:34" x14ac:dyDescent="0.2">
      <c r="AF359" s="3">
        <f t="shared" si="26"/>
        <v>4.6500000000000312E-2</v>
      </c>
      <c r="AG359" s="3">
        <f t="shared" si="23"/>
        <v>-0.35349028054244985</v>
      </c>
      <c r="AH359" s="3">
        <f t="shared" si="25"/>
        <v>357</v>
      </c>
    </row>
    <row r="360" spans="32:34" x14ac:dyDescent="0.2">
      <c r="AF360" s="3">
        <f t="shared" si="26"/>
        <v>4.6600000000000315E-2</v>
      </c>
      <c r="AG360" s="3">
        <f t="shared" si="23"/>
        <v>-0.35400245127932928</v>
      </c>
      <c r="AH360" s="3">
        <f t="shared" si="25"/>
        <v>358</v>
      </c>
    </row>
    <row r="361" spans="32:34" x14ac:dyDescent="0.2">
      <c r="AF361" s="3">
        <f t="shared" si="26"/>
        <v>4.6700000000000318E-2</v>
      </c>
      <c r="AG361" s="3">
        <f t="shared" si="23"/>
        <v>-0.35451409034798953</v>
      </c>
      <c r="AH361" s="3">
        <f t="shared" si="25"/>
        <v>359</v>
      </c>
    </row>
    <row r="362" spans="32:34" x14ac:dyDescent="0.2">
      <c r="AF362" s="3">
        <f t="shared" si="26"/>
        <v>4.6800000000000321E-2</v>
      </c>
      <c r="AG362" s="3">
        <f t="shared" si="23"/>
        <v>-0.35502519888690814</v>
      </c>
      <c r="AH362" s="3">
        <f t="shared" si="25"/>
        <v>360</v>
      </c>
    </row>
    <row r="363" spans="32:34" x14ac:dyDescent="0.2">
      <c r="AF363" s="3">
        <f t="shared" si="26"/>
        <v>4.6900000000000323E-2</v>
      </c>
      <c r="AG363" s="3">
        <f t="shared" si="23"/>
        <v>-0.35553577802969749</v>
      </c>
      <c r="AH363" s="3">
        <f t="shared" si="25"/>
        <v>361</v>
      </c>
    </row>
    <row r="364" spans="32:34" x14ac:dyDescent="0.2">
      <c r="AF364" s="3">
        <f t="shared" si="26"/>
        <v>4.7000000000000326E-2</v>
      </c>
      <c r="AG364" s="3">
        <f t="shared" si="23"/>
        <v>-0.35604582890513559</v>
      </c>
      <c r="AH364" s="3">
        <f t="shared" si="25"/>
        <v>362</v>
      </c>
    </row>
    <row r="365" spans="32:34" x14ac:dyDescent="0.2">
      <c r="AF365" s="3">
        <f t="shared" si="26"/>
        <v>4.7100000000000329E-2</v>
      </c>
      <c r="AG365" s="3">
        <f t="shared" si="23"/>
        <v>-0.35655535263719712</v>
      </c>
      <c r="AH365" s="3">
        <f t="shared" si="25"/>
        <v>363</v>
      </c>
    </row>
    <row r="366" spans="32:34" x14ac:dyDescent="0.2">
      <c r="AF366" s="3">
        <f t="shared" si="26"/>
        <v>4.7200000000000332E-2</v>
      </c>
      <c r="AG366" s="3">
        <f t="shared" si="23"/>
        <v>-0.35706435034508432</v>
      </c>
      <c r="AH366" s="3">
        <f t="shared" si="25"/>
        <v>364</v>
      </c>
    </row>
    <row r="367" spans="32:34" x14ac:dyDescent="0.2">
      <c r="AF367" s="3">
        <f t="shared" si="26"/>
        <v>4.7300000000000335E-2</v>
      </c>
      <c r="AG367" s="3">
        <f t="shared" si="23"/>
        <v>-0.35757282314325689</v>
      </c>
      <c r="AH367" s="3">
        <f t="shared" si="25"/>
        <v>365</v>
      </c>
    </row>
    <row r="368" spans="32:34" x14ac:dyDescent="0.2">
      <c r="AF368" s="3">
        <f t="shared" si="26"/>
        <v>4.7400000000000338E-2</v>
      </c>
      <c r="AG368" s="3">
        <f t="shared" si="23"/>
        <v>-0.358080772141462</v>
      </c>
      <c r="AH368" s="3">
        <f t="shared" si="25"/>
        <v>366</v>
      </c>
    </row>
    <row r="369" spans="32:34" x14ac:dyDescent="0.2">
      <c r="AF369" s="3">
        <f t="shared" si="26"/>
        <v>4.7500000000000341E-2</v>
      </c>
      <c r="AG369" s="3">
        <f t="shared" si="23"/>
        <v>-0.35858819844476458</v>
      </c>
      <c r="AH369" s="3">
        <f t="shared" si="25"/>
        <v>367</v>
      </c>
    </row>
    <row r="370" spans="32:34" x14ac:dyDescent="0.2">
      <c r="AF370" s="3">
        <f t="shared" si="26"/>
        <v>4.7600000000000343E-2</v>
      </c>
      <c r="AG370" s="3">
        <f t="shared" si="23"/>
        <v>-0.35909510315357668</v>
      </c>
      <c r="AH370" s="3">
        <f t="shared" si="25"/>
        <v>368</v>
      </c>
    </row>
    <row r="371" spans="32:34" x14ac:dyDescent="0.2">
      <c r="AF371" s="3">
        <f t="shared" si="26"/>
        <v>4.7700000000000346E-2</v>
      </c>
      <c r="AG371" s="3">
        <f t="shared" si="23"/>
        <v>-0.35960148736368647</v>
      </c>
      <c r="AH371" s="3">
        <f t="shared" si="25"/>
        <v>369</v>
      </c>
    </row>
    <row r="372" spans="32:34" x14ac:dyDescent="0.2">
      <c r="AF372" s="3">
        <f t="shared" si="26"/>
        <v>4.7800000000000349E-2</v>
      </c>
      <c r="AG372" s="3">
        <f t="shared" si="23"/>
        <v>-0.36010735216628803</v>
      </c>
      <c r="AH372" s="3">
        <f t="shared" si="25"/>
        <v>370</v>
      </c>
    </row>
    <row r="373" spans="32:34" x14ac:dyDescent="0.2">
      <c r="AF373" s="3">
        <f t="shared" si="26"/>
        <v>4.7900000000000352E-2</v>
      </c>
      <c r="AG373" s="3">
        <f t="shared" si="23"/>
        <v>-0.36061269864800938</v>
      </c>
      <c r="AH373" s="3">
        <f t="shared" si="25"/>
        <v>371</v>
      </c>
    </row>
    <row r="374" spans="32:34" x14ac:dyDescent="0.2">
      <c r="AF374" s="3">
        <f t="shared" si="26"/>
        <v>4.8000000000000355E-2</v>
      </c>
      <c r="AG374" s="3">
        <f t="shared" si="23"/>
        <v>-0.36111752789094154</v>
      </c>
      <c r="AH374" s="3">
        <f t="shared" si="25"/>
        <v>372</v>
      </c>
    </row>
    <row r="375" spans="32:34" x14ac:dyDescent="0.2">
      <c r="AF375" s="3">
        <f t="shared" si="26"/>
        <v>4.8100000000000358E-2</v>
      </c>
      <c r="AG375" s="3">
        <f t="shared" si="23"/>
        <v>-0.36162184097266709</v>
      </c>
      <c r="AH375" s="3">
        <f t="shared" si="25"/>
        <v>373</v>
      </c>
    </row>
    <row r="376" spans="32:34" x14ac:dyDescent="0.2">
      <c r="AF376" s="3">
        <f t="shared" si="26"/>
        <v>4.8200000000000361E-2</v>
      </c>
      <c r="AG376" s="3">
        <f t="shared" si="23"/>
        <v>-0.36212563896628769</v>
      </c>
      <c r="AH376" s="3">
        <f t="shared" si="25"/>
        <v>374</v>
      </c>
    </row>
    <row r="377" spans="32:34" x14ac:dyDescent="0.2">
      <c r="AF377" s="3">
        <f t="shared" si="26"/>
        <v>4.8300000000000363E-2</v>
      </c>
      <c r="AG377" s="3">
        <f t="shared" si="23"/>
        <v>-0.3626289229404524</v>
      </c>
      <c r="AH377" s="3">
        <f t="shared" si="25"/>
        <v>375</v>
      </c>
    </row>
    <row r="378" spans="32:34" x14ac:dyDescent="0.2">
      <c r="AF378" s="3">
        <f t="shared" si="26"/>
        <v>4.8400000000000366E-2</v>
      </c>
      <c r="AG378" s="3">
        <f t="shared" si="23"/>
        <v>-0.36313169395938516</v>
      </c>
      <c r="AH378" s="3">
        <f t="shared" si="25"/>
        <v>376</v>
      </c>
    </row>
    <row r="379" spans="32:34" x14ac:dyDescent="0.2">
      <c r="AF379" s="3">
        <f t="shared" si="26"/>
        <v>4.8500000000000369E-2</v>
      </c>
      <c r="AG379" s="3">
        <f t="shared" si="23"/>
        <v>-0.36363395308291246</v>
      </c>
      <c r="AH379" s="3">
        <f t="shared" si="25"/>
        <v>377</v>
      </c>
    </row>
    <row r="380" spans="32:34" x14ac:dyDescent="0.2">
      <c r="AF380" s="3">
        <f t="shared" si="26"/>
        <v>4.8600000000000372E-2</v>
      </c>
      <c r="AG380" s="3">
        <f t="shared" si="23"/>
        <v>-0.36413570136649021</v>
      </c>
      <c r="AH380" s="3">
        <f t="shared" si="25"/>
        <v>378</v>
      </c>
    </row>
    <row r="381" spans="32:34" x14ac:dyDescent="0.2">
      <c r="AF381" s="3">
        <f t="shared" si="26"/>
        <v>4.8700000000000375E-2</v>
      </c>
      <c r="AG381" s="3">
        <f t="shared" si="23"/>
        <v>-0.36463693986123075</v>
      </c>
      <c r="AH381" s="3">
        <f t="shared" si="25"/>
        <v>379</v>
      </c>
    </row>
    <row r="382" spans="32:34" x14ac:dyDescent="0.2">
      <c r="AF382" s="3">
        <f t="shared" si="26"/>
        <v>4.8800000000000378E-2</v>
      </c>
      <c r="AG382" s="3">
        <f t="shared" si="23"/>
        <v>-0.36513766961393007</v>
      </c>
      <c r="AH382" s="3">
        <f t="shared" si="25"/>
        <v>380</v>
      </c>
    </row>
    <row r="383" spans="32:34" x14ac:dyDescent="0.2">
      <c r="AF383" s="3">
        <f t="shared" si="26"/>
        <v>4.8900000000000381E-2</v>
      </c>
      <c r="AG383" s="3">
        <f t="shared" si="23"/>
        <v>-0.36563789166709376</v>
      </c>
      <c r="AH383" s="3">
        <f t="shared" si="25"/>
        <v>381</v>
      </c>
    </row>
    <row r="384" spans="32:34" x14ac:dyDescent="0.2">
      <c r="AF384" s="3">
        <f t="shared" si="26"/>
        <v>4.9000000000000384E-2</v>
      </c>
      <c r="AG384" s="3">
        <f t="shared" si="23"/>
        <v>-0.36613760705896359</v>
      </c>
      <c r="AH384" s="3">
        <f t="shared" si="25"/>
        <v>382</v>
      </c>
    </row>
    <row r="385" spans="32:34" x14ac:dyDescent="0.2">
      <c r="AF385" s="3">
        <f t="shared" si="26"/>
        <v>4.9100000000000386E-2</v>
      </c>
      <c r="AG385" s="3">
        <f t="shared" si="23"/>
        <v>-0.36663681682354371</v>
      </c>
      <c r="AH385" s="3">
        <f t="shared" si="25"/>
        <v>383</v>
      </c>
    </row>
    <row r="386" spans="32:34" x14ac:dyDescent="0.2">
      <c r="AF386" s="3">
        <f t="shared" si="26"/>
        <v>4.9200000000000389E-2</v>
      </c>
      <c r="AG386" s="3">
        <f t="shared" si="23"/>
        <v>-0.36713552199062627</v>
      </c>
      <c r="AH386" s="3">
        <f t="shared" si="25"/>
        <v>384</v>
      </c>
    </row>
    <row r="387" spans="32:34" x14ac:dyDescent="0.2">
      <c r="AF387" s="3">
        <f t="shared" si="26"/>
        <v>4.9300000000000392E-2</v>
      </c>
      <c r="AG387" s="3">
        <f t="shared" ref="AG387:AG450" si="27">RT0*AF387*LN(AF387)</f>
        <v>-0.36763372358581736</v>
      </c>
      <c r="AH387" s="3">
        <f t="shared" si="25"/>
        <v>385</v>
      </c>
    </row>
    <row r="388" spans="32:34" x14ac:dyDescent="0.2">
      <c r="AF388" s="3">
        <f t="shared" si="26"/>
        <v>4.9400000000000395E-2</v>
      </c>
      <c r="AG388" s="3">
        <f t="shared" si="27"/>
        <v>-0.36813142263056242</v>
      </c>
      <c r="AH388" s="3">
        <f t="shared" si="25"/>
        <v>386</v>
      </c>
    </row>
    <row r="389" spans="32:34" x14ac:dyDescent="0.2">
      <c r="AF389" s="3">
        <f t="shared" si="26"/>
        <v>4.9500000000000398E-2</v>
      </c>
      <c r="AG389" s="3">
        <f t="shared" si="27"/>
        <v>-0.36862862014217151</v>
      </c>
      <c r="AH389" s="3">
        <f t="shared" ref="AH389:AH452" si="28">AH388+1</f>
        <v>387</v>
      </c>
    </row>
    <row r="390" spans="32:34" x14ac:dyDescent="0.2">
      <c r="AF390" s="3">
        <f t="shared" si="26"/>
        <v>4.9600000000000401E-2</v>
      </c>
      <c r="AG390" s="3">
        <f t="shared" si="27"/>
        <v>-0.36912531713384411</v>
      </c>
      <c r="AH390" s="3">
        <f t="shared" si="28"/>
        <v>388</v>
      </c>
    </row>
    <row r="391" spans="32:34" x14ac:dyDescent="0.2">
      <c r="AF391" s="3">
        <f t="shared" ref="AF391:AF454" si="29">AF390+0.0001</f>
        <v>4.9700000000000404E-2</v>
      </c>
      <c r="AG391" s="3">
        <f t="shared" si="27"/>
        <v>-0.36962151461469445</v>
      </c>
      <c r="AH391" s="3">
        <f t="shared" si="28"/>
        <v>389</v>
      </c>
    </row>
    <row r="392" spans="32:34" x14ac:dyDescent="0.2">
      <c r="AF392" s="3">
        <f t="shared" si="29"/>
        <v>4.9800000000000406E-2</v>
      </c>
      <c r="AG392" s="3">
        <f t="shared" si="27"/>
        <v>-0.37011721358977584</v>
      </c>
      <c r="AH392" s="3">
        <f t="shared" si="28"/>
        <v>390</v>
      </c>
    </row>
    <row r="393" spans="32:34" x14ac:dyDescent="0.2">
      <c r="AF393" s="3">
        <f t="shared" si="29"/>
        <v>4.9900000000000409E-2</v>
      </c>
      <c r="AG393" s="3">
        <f t="shared" si="27"/>
        <v>-0.37061241506010528</v>
      </c>
      <c r="AH393" s="3">
        <f t="shared" si="28"/>
        <v>391</v>
      </c>
    </row>
    <row r="394" spans="32:34" x14ac:dyDescent="0.2">
      <c r="AF394" s="3">
        <f t="shared" si="29"/>
        <v>5.0000000000000412E-2</v>
      </c>
      <c r="AG394" s="3">
        <f t="shared" si="27"/>
        <v>-0.37110712002268748</v>
      </c>
      <c r="AH394" s="3">
        <f t="shared" si="28"/>
        <v>392</v>
      </c>
    </row>
    <row r="395" spans="32:34" x14ac:dyDescent="0.2">
      <c r="AF395" s="3">
        <f t="shared" si="29"/>
        <v>5.0100000000000415E-2</v>
      </c>
      <c r="AG395" s="3">
        <f t="shared" si="27"/>
        <v>-0.37160132947053931</v>
      </c>
      <c r="AH395" s="3">
        <f t="shared" si="28"/>
        <v>393</v>
      </c>
    </row>
    <row r="396" spans="32:34" x14ac:dyDescent="0.2">
      <c r="AF396" s="3">
        <f t="shared" si="29"/>
        <v>5.0200000000000418E-2</v>
      </c>
      <c r="AG396" s="3">
        <f t="shared" si="27"/>
        <v>-0.37209504439271357</v>
      </c>
      <c r="AH396" s="3">
        <f t="shared" si="28"/>
        <v>394</v>
      </c>
    </row>
    <row r="397" spans="32:34" x14ac:dyDescent="0.2">
      <c r="AF397" s="3">
        <f t="shared" si="29"/>
        <v>5.0300000000000421E-2</v>
      </c>
      <c r="AG397" s="3">
        <f t="shared" si="27"/>
        <v>-0.37258826577432225</v>
      </c>
      <c r="AH397" s="3">
        <f t="shared" si="28"/>
        <v>395</v>
      </c>
    </row>
    <row r="398" spans="32:34" x14ac:dyDescent="0.2">
      <c r="AF398" s="3">
        <f t="shared" si="29"/>
        <v>5.0400000000000424E-2</v>
      </c>
      <c r="AG398" s="3">
        <f t="shared" si="27"/>
        <v>-0.3730809945965608</v>
      </c>
      <c r="AH398" s="3">
        <f t="shared" si="28"/>
        <v>396</v>
      </c>
    </row>
    <row r="399" spans="32:34" x14ac:dyDescent="0.2">
      <c r="AF399" s="3">
        <f t="shared" si="29"/>
        <v>5.0500000000000426E-2</v>
      </c>
      <c r="AG399" s="3">
        <f t="shared" si="27"/>
        <v>-0.37357323183673086</v>
      </c>
      <c r="AH399" s="3">
        <f t="shared" si="28"/>
        <v>397</v>
      </c>
    </row>
    <row r="400" spans="32:34" x14ac:dyDescent="0.2">
      <c r="AF400" s="3">
        <f t="shared" si="29"/>
        <v>5.0600000000000429E-2</v>
      </c>
      <c r="AG400" s="3">
        <f t="shared" si="27"/>
        <v>-0.37406497846826331</v>
      </c>
      <c r="AH400" s="3">
        <f t="shared" si="28"/>
        <v>398</v>
      </c>
    </row>
    <row r="401" spans="32:34" x14ac:dyDescent="0.2">
      <c r="AF401" s="3">
        <f t="shared" si="29"/>
        <v>5.0700000000000432E-2</v>
      </c>
      <c r="AG401" s="3">
        <f t="shared" si="27"/>
        <v>-0.37455623546074196</v>
      </c>
      <c r="AH401" s="3">
        <f t="shared" si="28"/>
        <v>399</v>
      </c>
    </row>
    <row r="402" spans="32:34" x14ac:dyDescent="0.2">
      <c r="AF402" s="3">
        <f t="shared" si="29"/>
        <v>5.0800000000000435E-2</v>
      </c>
      <c r="AG402" s="3">
        <f t="shared" si="27"/>
        <v>-0.37504700377992539</v>
      </c>
      <c r="AH402" s="3">
        <f t="shared" si="28"/>
        <v>400</v>
      </c>
    </row>
    <row r="403" spans="32:34" x14ac:dyDescent="0.2">
      <c r="AF403" s="3">
        <f t="shared" si="29"/>
        <v>5.0900000000000438E-2</v>
      </c>
      <c r="AG403" s="3">
        <f t="shared" si="27"/>
        <v>-0.37553728438777023</v>
      </c>
      <c r="AH403" s="3">
        <f t="shared" si="28"/>
        <v>401</v>
      </c>
    </row>
    <row r="404" spans="32:34" x14ac:dyDescent="0.2">
      <c r="AF404" s="3">
        <f t="shared" si="29"/>
        <v>5.1000000000000441E-2</v>
      </c>
      <c r="AG404" s="3">
        <f t="shared" si="27"/>
        <v>-0.37602707824245335</v>
      </c>
      <c r="AH404" s="3">
        <f t="shared" si="28"/>
        <v>402</v>
      </c>
    </row>
    <row r="405" spans="32:34" x14ac:dyDescent="0.2">
      <c r="AF405" s="3">
        <f t="shared" si="29"/>
        <v>5.1100000000000444E-2</v>
      </c>
      <c r="AG405" s="3">
        <f t="shared" si="27"/>
        <v>-0.37651638629839362</v>
      </c>
      <c r="AH405" s="3">
        <f t="shared" si="28"/>
        <v>403</v>
      </c>
    </row>
    <row r="406" spans="32:34" x14ac:dyDescent="0.2">
      <c r="AF406" s="3">
        <f t="shared" si="29"/>
        <v>5.1200000000000447E-2</v>
      </c>
      <c r="AG406" s="3">
        <f t="shared" si="27"/>
        <v>-0.37700520950627503</v>
      </c>
      <c r="AH406" s="3">
        <f t="shared" si="28"/>
        <v>404</v>
      </c>
    </row>
    <row r="407" spans="32:34" x14ac:dyDescent="0.2">
      <c r="AF407" s="3">
        <f t="shared" si="29"/>
        <v>5.1300000000000449E-2</v>
      </c>
      <c r="AG407" s="3">
        <f t="shared" si="27"/>
        <v>-0.37749354881306751</v>
      </c>
      <c r="AH407" s="3">
        <f t="shared" si="28"/>
        <v>405</v>
      </c>
    </row>
    <row r="408" spans="32:34" x14ac:dyDescent="0.2">
      <c r="AF408" s="3">
        <f t="shared" si="29"/>
        <v>5.1400000000000452E-2</v>
      </c>
      <c r="AG408" s="3">
        <f t="shared" si="27"/>
        <v>-0.3779814051620492</v>
      </c>
      <c r="AH408" s="3">
        <f t="shared" si="28"/>
        <v>406</v>
      </c>
    </row>
    <row r="409" spans="32:34" x14ac:dyDescent="0.2">
      <c r="AF409" s="3">
        <f t="shared" si="29"/>
        <v>5.1500000000000455E-2</v>
      </c>
      <c r="AG409" s="3">
        <f t="shared" si="27"/>
        <v>-0.37846877949282803</v>
      </c>
      <c r="AH409" s="3">
        <f t="shared" si="28"/>
        <v>407</v>
      </c>
    </row>
    <row r="410" spans="32:34" x14ac:dyDescent="0.2">
      <c r="AF410" s="3">
        <f t="shared" si="29"/>
        <v>5.1600000000000458E-2</v>
      </c>
      <c r="AG410" s="3">
        <f t="shared" si="27"/>
        <v>-0.37895567274136277</v>
      </c>
      <c r="AH410" s="3">
        <f t="shared" si="28"/>
        <v>408</v>
      </c>
    </row>
    <row r="411" spans="32:34" x14ac:dyDescent="0.2">
      <c r="AF411" s="3">
        <f t="shared" si="29"/>
        <v>5.1700000000000461E-2</v>
      </c>
      <c r="AG411" s="3">
        <f t="shared" si="27"/>
        <v>-0.37944208583998457</v>
      </c>
      <c r="AH411" s="3">
        <f t="shared" si="28"/>
        <v>409</v>
      </c>
    </row>
    <row r="412" spans="32:34" x14ac:dyDescent="0.2">
      <c r="AF412" s="3">
        <f t="shared" si="29"/>
        <v>5.1800000000000464E-2</v>
      </c>
      <c r="AG412" s="3">
        <f t="shared" si="27"/>
        <v>-0.3799280197174178</v>
      </c>
      <c r="AH412" s="3">
        <f t="shared" si="28"/>
        <v>410</v>
      </c>
    </row>
    <row r="413" spans="32:34" x14ac:dyDescent="0.2">
      <c r="AF413" s="3">
        <f t="shared" si="29"/>
        <v>5.1900000000000467E-2</v>
      </c>
      <c r="AG413" s="3">
        <f t="shared" si="27"/>
        <v>-0.3804134752988011</v>
      </c>
      <c r="AH413" s="3">
        <f t="shared" si="28"/>
        <v>411</v>
      </c>
    </row>
    <row r="414" spans="32:34" x14ac:dyDescent="0.2">
      <c r="AF414" s="3">
        <f t="shared" si="29"/>
        <v>5.2000000000000469E-2</v>
      </c>
      <c r="AG414" s="3">
        <f t="shared" si="27"/>
        <v>-0.38089845350570789</v>
      </c>
      <c r="AH414" s="3">
        <f t="shared" si="28"/>
        <v>412</v>
      </c>
    </row>
    <row r="415" spans="32:34" x14ac:dyDescent="0.2">
      <c r="AF415" s="3">
        <f t="shared" si="29"/>
        <v>5.2100000000000472E-2</v>
      </c>
      <c r="AG415" s="3">
        <f t="shared" si="27"/>
        <v>-0.38138295525616711</v>
      </c>
      <c r="AH415" s="3">
        <f t="shared" si="28"/>
        <v>413</v>
      </c>
    </row>
    <row r="416" spans="32:34" x14ac:dyDescent="0.2">
      <c r="AF416" s="3">
        <f t="shared" si="29"/>
        <v>5.2200000000000475E-2</v>
      </c>
      <c r="AG416" s="3">
        <f t="shared" si="27"/>
        <v>-0.38186698146468362</v>
      </c>
      <c r="AH416" s="3">
        <f t="shared" si="28"/>
        <v>414</v>
      </c>
    </row>
    <row r="417" spans="32:34" x14ac:dyDescent="0.2">
      <c r="AF417" s="3">
        <f t="shared" si="29"/>
        <v>5.2300000000000478E-2</v>
      </c>
      <c r="AG417" s="3">
        <f t="shared" si="27"/>
        <v>-0.38235053304225858</v>
      </c>
      <c r="AH417" s="3">
        <f t="shared" si="28"/>
        <v>415</v>
      </c>
    </row>
    <row r="418" spans="32:34" x14ac:dyDescent="0.2">
      <c r="AF418" s="3">
        <f t="shared" si="29"/>
        <v>5.2400000000000481E-2</v>
      </c>
      <c r="AG418" s="3">
        <f t="shared" si="27"/>
        <v>-0.3828336108964091</v>
      </c>
      <c r="AH418" s="3">
        <f t="shared" si="28"/>
        <v>416</v>
      </c>
    </row>
    <row r="419" spans="32:34" x14ac:dyDescent="0.2">
      <c r="AF419" s="3">
        <f t="shared" si="29"/>
        <v>5.2500000000000484E-2</v>
      </c>
      <c r="AG419" s="3">
        <f t="shared" si="27"/>
        <v>-0.38331621593118864</v>
      </c>
      <c r="AH419" s="3">
        <f t="shared" si="28"/>
        <v>417</v>
      </c>
    </row>
    <row r="420" spans="32:34" x14ac:dyDescent="0.2">
      <c r="AF420" s="3">
        <f t="shared" si="29"/>
        <v>5.2600000000000487E-2</v>
      </c>
      <c r="AG420" s="3">
        <f t="shared" si="27"/>
        <v>-0.38379834904720661</v>
      </c>
      <c r="AH420" s="3">
        <f t="shared" si="28"/>
        <v>418</v>
      </c>
    </row>
    <row r="421" spans="32:34" x14ac:dyDescent="0.2">
      <c r="AF421" s="3">
        <f t="shared" si="29"/>
        <v>5.270000000000049E-2</v>
      </c>
      <c r="AG421" s="3">
        <f t="shared" si="27"/>
        <v>-0.38428001114164806</v>
      </c>
      <c r="AH421" s="3">
        <f t="shared" si="28"/>
        <v>419</v>
      </c>
    </row>
    <row r="422" spans="32:34" x14ac:dyDescent="0.2">
      <c r="AF422" s="3">
        <f t="shared" si="29"/>
        <v>5.2800000000000492E-2</v>
      </c>
      <c r="AG422" s="3">
        <f t="shared" si="27"/>
        <v>-0.38476120310829331</v>
      </c>
      <c r="AH422" s="3">
        <f t="shared" si="28"/>
        <v>420</v>
      </c>
    </row>
    <row r="423" spans="32:34" x14ac:dyDescent="0.2">
      <c r="AF423" s="3">
        <f t="shared" si="29"/>
        <v>5.2900000000000495E-2</v>
      </c>
      <c r="AG423" s="3">
        <f t="shared" si="27"/>
        <v>-0.38524192583753669</v>
      </c>
      <c r="AH423" s="3">
        <f t="shared" si="28"/>
        <v>421</v>
      </c>
    </row>
    <row r="424" spans="32:34" x14ac:dyDescent="0.2">
      <c r="AF424" s="3">
        <f t="shared" si="29"/>
        <v>5.3000000000000498E-2</v>
      </c>
      <c r="AG424" s="3">
        <f t="shared" si="27"/>
        <v>-0.38572218021640658</v>
      </c>
      <c r="AH424" s="3">
        <f t="shared" si="28"/>
        <v>422</v>
      </c>
    </row>
    <row r="425" spans="32:34" x14ac:dyDescent="0.2">
      <c r="AF425" s="3">
        <f t="shared" si="29"/>
        <v>5.3100000000000501E-2</v>
      </c>
      <c r="AG425" s="3">
        <f t="shared" si="27"/>
        <v>-0.38620196712858407</v>
      </c>
      <c r="AH425" s="3">
        <f t="shared" si="28"/>
        <v>423</v>
      </c>
    </row>
    <row r="426" spans="32:34" x14ac:dyDescent="0.2">
      <c r="AF426" s="3">
        <f t="shared" si="29"/>
        <v>5.3200000000000504E-2</v>
      </c>
      <c r="AG426" s="3">
        <f t="shared" si="27"/>
        <v>-0.38668128745442171</v>
      </c>
      <c r="AH426" s="3">
        <f t="shared" si="28"/>
        <v>424</v>
      </c>
    </row>
    <row r="427" spans="32:34" x14ac:dyDescent="0.2">
      <c r="AF427" s="3">
        <f t="shared" si="29"/>
        <v>5.3300000000000507E-2</v>
      </c>
      <c r="AG427" s="3">
        <f t="shared" si="27"/>
        <v>-0.38716014207096255</v>
      </c>
      <c r="AH427" s="3">
        <f t="shared" si="28"/>
        <v>425</v>
      </c>
    </row>
    <row r="428" spans="32:34" x14ac:dyDescent="0.2">
      <c r="AF428" s="3">
        <f t="shared" si="29"/>
        <v>5.340000000000051E-2</v>
      </c>
      <c r="AG428" s="3">
        <f t="shared" si="27"/>
        <v>-0.38763853185195862</v>
      </c>
      <c r="AH428" s="3">
        <f t="shared" si="28"/>
        <v>426</v>
      </c>
    </row>
    <row r="429" spans="32:34" x14ac:dyDescent="0.2">
      <c r="AF429" s="3">
        <f t="shared" si="29"/>
        <v>5.3500000000000512E-2</v>
      </c>
      <c r="AG429" s="3">
        <f t="shared" si="27"/>
        <v>-0.38811645766788949</v>
      </c>
      <c r="AH429" s="3">
        <f t="shared" si="28"/>
        <v>427</v>
      </c>
    </row>
    <row r="430" spans="32:34" x14ac:dyDescent="0.2">
      <c r="AF430" s="3">
        <f t="shared" si="29"/>
        <v>5.3600000000000515E-2</v>
      </c>
      <c r="AG430" s="3">
        <f t="shared" si="27"/>
        <v>-0.38859392038598073</v>
      </c>
      <c r="AH430" s="3">
        <f t="shared" si="28"/>
        <v>428</v>
      </c>
    </row>
    <row r="431" spans="32:34" x14ac:dyDescent="0.2">
      <c r="AF431" s="3">
        <f t="shared" si="29"/>
        <v>5.3700000000000518E-2</v>
      </c>
      <c r="AG431" s="3">
        <f t="shared" si="27"/>
        <v>-0.38907092087022166</v>
      </c>
      <c r="AH431" s="3">
        <f t="shared" si="28"/>
        <v>429</v>
      </c>
    </row>
    <row r="432" spans="32:34" x14ac:dyDescent="0.2">
      <c r="AF432" s="3">
        <f t="shared" si="29"/>
        <v>5.3800000000000521E-2</v>
      </c>
      <c r="AG432" s="3">
        <f t="shared" si="27"/>
        <v>-0.38954745998138396</v>
      </c>
      <c r="AH432" s="3">
        <f t="shared" si="28"/>
        <v>430</v>
      </c>
    </row>
    <row r="433" spans="32:34" x14ac:dyDescent="0.2">
      <c r="AF433" s="3">
        <f t="shared" si="29"/>
        <v>5.3900000000000524E-2</v>
      </c>
      <c r="AG433" s="3">
        <f t="shared" si="27"/>
        <v>-0.39002353857703947</v>
      </c>
      <c r="AH433" s="3">
        <f t="shared" si="28"/>
        <v>431</v>
      </c>
    </row>
    <row r="434" spans="32:34" x14ac:dyDescent="0.2">
      <c r="AF434" s="3">
        <f t="shared" si="29"/>
        <v>5.4000000000000527E-2</v>
      </c>
      <c r="AG434" s="3">
        <f t="shared" si="27"/>
        <v>-0.39049915751157788</v>
      </c>
      <c r="AH434" s="3">
        <f t="shared" si="28"/>
        <v>432</v>
      </c>
    </row>
    <row r="435" spans="32:34" x14ac:dyDescent="0.2">
      <c r="AF435" s="3">
        <f t="shared" si="29"/>
        <v>5.410000000000053E-2</v>
      </c>
      <c r="AG435" s="3">
        <f t="shared" si="27"/>
        <v>-0.39097431763622442</v>
      </c>
      <c r="AH435" s="3">
        <f t="shared" si="28"/>
        <v>433</v>
      </c>
    </row>
    <row r="436" spans="32:34" x14ac:dyDescent="0.2">
      <c r="AF436" s="3">
        <f t="shared" si="29"/>
        <v>5.4200000000000532E-2</v>
      </c>
      <c r="AG436" s="3">
        <f t="shared" si="27"/>
        <v>-0.39144901979905744</v>
      </c>
      <c r="AH436" s="3">
        <f t="shared" si="28"/>
        <v>434</v>
      </c>
    </row>
    <row r="437" spans="32:34" x14ac:dyDescent="0.2">
      <c r="AF437" s="3">
        <f t="shared" si="29"/>
        <v>5.4300000000000535E-2</v>
      </c>
      <c r="AG437" s="3">
        <f t="shared" si="27"/>
        <v>-0.39192326484502599</v>
      </c>
      <c r="AH437" s="3">
        <f t="shared" si="28"/>
        <v>435</v>
      </c>
    </row>
    <row r="438" spans="32:34" x14ac:dyDescent="0.2">
      <c r="AF438" s="3">
        <f t="shared" si="29"/>
        <v>5.4400000000000538E-2</v>
      </c>
      <c r="AG438" s="3">
        <f t="shared" si="27"/>
        <v>-0.39239705361596683</v>
      </c>
      <c r="AH438" s="3">
        <f t="shared" si="28"/>
        <v>436</v>
      </c>
    </row>
    <row r="439" spans="32:34" x14ac:dyDescent="0.2">
      <c r="AF439" s="3">
        <f t="shared" si="29"/>
        <v>5.4500000000000541E-2</v>
      </c>
      <c r="AG439" s="3">
        <f t="shared" si="27"/>
        <v>-0.39287038695062182</v>
      </c>
      <c r="AH439" s="3">
        <f t="shared" si="28"/>
        <v>437</v>
      </c>
    </row>
    <row r="440" spans="32:34" x14ac:dyDescent="0.2">
      <c r="AF440" s="3">
        <f t="shared" si="29"/>
        <v>5.4600000000000544E-2</v>
      </c>
      <c r="AG440" s="3">
        <f t="shared" si="27"/>
        <v>-0.39334326568465472</v>
      </c>
      <c r="AH440" s="3">
        <f t="shared" si="28"/>
        <v>438</v>
      </c>
    </row>
    <row r="441" spans="32:34" x14ac:dyDescent="0.2">
      <c r="AF441" s="3">
        <f t="shared" si="29"/>
        <v>5.4700000000000547E-2</v>
      </c>
      <c r="AG441" s="3">
        <f t="shared" si="27"/>
        <v>-0.39381569065066829</v>
      </c>
      <c r="AH441" s="3">
        <f t="shared" si="28"/>
        <v>439</v>
      </c>
    </row>
    <row r="442" spans="32:34" x14ac:dyDescent="0.2">
      <c r="AF442" s="3">
        <f t="shared" si="29"/>
        <v>5.480000000000055E-2</v>
      </c>
      <c r="AG442" s="3">
        <f t="shared" si="27"/>
        <v>-0.39428766267822124</v>
      </c>
      <c r="AH442" s="3">
        <f t="shared" si="28"/>
        <v>440</v>
      </c>
    </row>
    <row r="443" spans="32:34" x14ac:dyDescent="0.2">
      <c r="AF443" s="3">
        <f t="shared" si="29"/>
        <v>5.4900000000000553E-2</v>
      </c>
      <c r="AG443" s="3">
        <f t="shared" si="27"/>
        <v>-0.3947591825938444</v>
      </c>
      <c r="AH443" s="3">
        <f t="shared" si="28"/>
        <v>441</v>
      </c>
    </row>
    <row r="444" spans="32:34" x14ac:dyDescent="0.2">
      <c r="AF444" s="3">
        <f t="shared" si="29"/>
        <v>5.5000000000000555E-2</v>
      </c>
      <c r="AG444" s="3">
        <f t="shared" si="27"/>
        <v>-0.3952302512210577</v>
      </c>
      <c r="AH444" s="3">
        <f t="shared" si="28"/>
        <v>442</v>
      </c>
    </row>
    <row r="445" spans="32:34" x14ac:dyDescent="0.2">
      <c r="AF445" s="3">
        <f t="shared" si="29"/>
        <v>5.5100000000000558E-2</v>
      </c>
      <c r="AG445" s="3">
        <f t="shared" si="27"/>
        <v>-0.39570086938038646</v>
      </c>
      <c r="AH445" s="3">
        <f t="shared" si="28"/>
        <v>443</v>
      </c>
    </row>
    <row r="446" spans="32:34" x14ac:dyDescent="0.2">
      <c r="AF446" s="3">
        <f t="shared" si="29"/>
        <v>5.5200000000000561E-2</v>
      </c>
      <c r="AG446" s="3">
        <f t="shared" si="27"/>
        <v>-0.39617103788937763</v>
      </c>
      <c r="AH446" s="3">
        <f t="shared" si="28"/>
        <v>444</v>
      </c>
    </row>
    <row r="447" spans="32:34" x14ac:dyDescent="0.2">
      <c r="AF447" s="3">
        <f t="shared" si="29"/>
        <v>5.5300000000000564E-2</v>
      </c>
      <c r="AG447" s="3">
        <f t="shared" si="27"/>
        <v>-0.39664075756261602</v>
      </c>
      <c r="AH447" s="3">
        <f t="shared" si="28"/>
        <v>445</v>
      </c>
    </row>
    <row r="448" spans="32:34" x14ac:dyDescent="0.2">
      <c r="AF448" s="3">
        <f t="shared" si="29"/>
        <v>5.5400000000000567E-2</v>
      </c>
      <c r="AG448" s="3">
        <f t="shared" si="27"/>
        <v>-0.3971100292117406</v>
      </c>
      <c r="AH448" s="3">
        <f t="shared" si="28"/>
        <v>446</v>
      </c>
    </row>
    <row r="449" spans="32:34" x14ac:dyDescent="0.2">
      <c r="AF449" s="3">
        <f t="shared" si="29"/>
        <v>5.550000000000057E-2</v>
      </c>
      <c r="AG449" s="3">
        <f t="shared" si="27"/>
        <v>-0.39757885364545975</v>
      </c>
      <c r="AH449" s="3">
        <f t="shared" si="28"/>
        <v>447</v>
      </c>
    </row>
    <row r="450" spans="32:34" x14ac:dyDescent="0.2">
      <c r="AF450" s="3">
        <f t="shared" si="29"/>
        <v>5.5600000000000573E-2</v>
      </c>
      <c r="AG450" s="3">
        <f t="shared" si="27"/>
        <v>-0.39804723166956796</v>
      </c>
      <c r="AH450" s="3">
        <f t="shared" si="28"/>
        <v>448</v>
      </c>
    </row>
    <row r="451" spans="32:34" x14ac:dyDescent="0.2">
      <c r="AF451" s="3">
        <f t="shared" si="29"/>
        <v>5.5700000000000575E-2</v>
      </c>
      <c r="AG451" s="3">
        <f t="shared" ref="AG451:AG514" si="30">RT0*AF451*LN(AF451)</f>
        <v>-0.39851516408696108</v>
      </c>
      <c r="AH451" s="3">
        <f t="shared" si="28"/>
        <v>449</v>
      </c>
    </row>
    <row r="452" spans="32:34" x14ac:dyDescent="0.2">
      <c r="AF452" s="3">
        <f t="shared" si="29"/>
        <v>5.5800000000000578E-2</v>
      </c>
      <c r="AG452" s="3">
        <f t="shared" si="30"/>
        <v>-0.39898265169765212</v>
      </c>
      <c r="AH452" s="3">
        <f t="shared" si="28"/>
        <v>450</v>
      </c>
    </row>
    <row r="453" spans="32:34" x14ac:dyDescent="0.2">
      <c r="AF453" s="3">
        <f t="shared" si="29"/>
        <v>5.5900000000000581E-2</v>
      </c>
      <c r="AG453" s="3">
        <f t="shared" si="30"/>
        <v>-0.39944969529878649</v>
      </c>
      <c r="AH453" s="3">
        <f t="shared" ref="AH453:AH516" si="31">AH452+1</f>
        <v>451</v>
      </c>
    </row>
    <row r="454" spans="32:34" x14ac:dyDescent="0.2">
      <c r="AF454" s="3">
        <f t="shared" si="29"/>
        <v>5.6000000000000584E-2</v>
      </c>
      <c r="AG454" s="3">
        <f t="shared" si="30"/>
        <v>-0.39991629568465759</v>
      </c>
      <c r="AH454" s="3">
        <f t="shared" si="31"/>
        <v>452</v>
      </c>
    </row>
    <row r="455" spans="32:34" x14ac:dyDescent="0.2">
      <c r="AF455" s="3">
        <f t="shared" ref="AF455:AF518" si="32">AF454+0.0001</f>
        <v>5.6100000000000587E-2</v>
      </c>
      <c r="AG455" s="3">
        <f t="shared" si="30"/>
        <v>-0.40038245364672215</v>
      </c>
      <c r="AH455" s="3">
        <f t="shared" si="31"/>
        <v>453</v>
      </c>
    </row>
    <row r="456" spans="32:34" x14ac:dyDescent="0.2">
      <c r="AF456" s="3">
        <f t="shared" si="32"/>
        <v>5.620000000000059E-2</v>
      </c>
      <c r="AG456" s="3">
        <f t="shared" si="30"/>
        <v>-0.40084816997361528</v>
      </c>
      <c r="AH456" s="3">
        <f t="shared" si="31"/>
        <v>454</v>
      </c>
    </row>
    <row r="457" spans="32:34" x14ac:dyDescent="0.2">
      <c r="AF457" s="3">
        <f t="shared" si="32"/>
        <v>5.6300000000000593E-2</v>
      </c>
      <c r="AG457" s="3">
        <f t="shared" si="30"/>
        <v>-0.40131344545116543</v>
      </c>
      <c r="AH457" s="3">
        <f t="shared" si="31"/>
        <v>455</v>
      </c>
    </row>
    <row r="458" spans="32:34" x14ac:dyDescent="0.2">
      <c r="AF458" s="3">
        <f t="shared" si="32"/>
        <v>5.6400000000000595E-2</v>
      </c>
      <c r="AG458" s="3">
        <f t="shared" si="30"/>
        <v>-0.40177828086240952</v>
      </c>
      <c r="AH458" s="3">
        <f t="shared" si="31"/>
        <v>456</v>
      </c>
    </row>
    <row r="459" spans="32:34" x14ac:dyDescent="0.2">
      <c r="AF459" s="3">
        <f t="shared" si="32"/>
        <v>5.6500000000000598E-2</v>
      </c>
      <c r="AG459" s="3">
        <f t="shared" si="30"/>
        <v>-0.40224267698760791</v>
      </c>
      <c r="AH459" s="3">
        <f t="shared" si="31"/>
        <v>457</v>
      </c>
    </row>
    <row r="460" spans="32:34" x14ac:dyDescent="0.2">
      <c r="AF460" s="3">
        <f t="shared" si="32"/>
        <v>5.6600000000000601E-2</v>
      </c>
      <c r="AG460" s="3">
        <f t="shared" si="30"/>
        <v>-0.40270663460425876</v>
      </c>
      <c r="AH460" s="3">
        <f t="shared" si="31"/>
        <v>458</v>
      </c>
    </row>
    <row r="461" spans="32:34" x14ac:dyDescent="0.2">
      <c r="AF461" s="3">
        <f t="shared" si="32"/>
        <v>5.6700000000000604E-2</v>
      </c>
      <c r="AG461" s="3">
        <f t="shared" si="30"/>
        <v>-0.40317015448711291</v>
      </c>
      <c r="AH461" s="3">
        <f t="shared" si="31"/>
        <v>459</v>
      </c>
    </row>
    <row r="462" spans="32:34" x14ac:dyDescent="0.2">
      <c r="AF462" s="3">
        <f t="shared" si="32"/>
        <v>5.6800000000000607E-2</v>
      </c>
      <c r="AG462" s="3">
        <f t="shared" si="30"/>
        <v>-0.40363323740818857</v>
      </c>
      <c r="AH462" s="3">
        <f t="shared" si="31"/>
        <v>460</v>
      </c>
    </row>
    <row r="463" spans="32:34" x14ac:dyDescent="0.2">
      <c r="AF463" s="3">
        <f t="shared" si="32"/>
        <v>5.690000000000061E-2</v>
      </c>
      <c r="AG463" s="3">
        <f t="shared" si="30"/>
        <v>-0.40409588413678532</v>
      </c>
      <c r="AH463" s="3">
        <f t="shared" si="31"/>
        <v>461</v>
      </c>
    </row>
    <row r="464" spans="32:34" x14ac:dyDescent="0.2">
      <c r="AF464" s="3">
        <f t="shared" si="32"/>
        <v>5.7000000000000613E-2</v>
      </c>
      <c r="AG464" s="3">
        <f t="shared" si="30"/>
        <v>-0.40455809543949889</v>
      </c>
      <c r="AH464" s="3">
        <f t="shared" si="31"/>
        <v>462</v>
      </c>
    </row>
    <row r="465" spans="32:34" x14ac:dyDescent="0.2">
      <c r="AF465" s="3">
        <f t="shared" si="32"/>
        <v>5.7100000000000616E-2</v>
      </c>
      <c r="AG465" s="3">
        <f t="shared" si="30"/>
        <v>-0.40501987208023515</v>
      </c>
      <c r="AH465" s="3">
        <f t="shared" si="31"/>
        <v>463</v>
      </c>
    </row>
    <row r="466" spans="32:34" x14ac:dyDescent="0.2">
      <c r="AF466" s="3">
        <f t="shared" si="32"/>
        <v>5.7200000000000618E-2</v>
      </c>
      <c r="AG466" s="3">
        <f t="shared" si="30"/>
        <v>-0.40548121482022415</v>
      </c>
      <c r="AH466" s="3">
        <f t="shared" si="31"/>
        <v>464</v>
      </c>
    </row>
    <row r="467" spans="32:34" x14ac:dyDescent="0.2">
      <c r="AF467" s="3">
        <f t="shared" si="32"/>
        <v>5.7300000000000621E-2</v>
      </c>
      <c r="AG467" s="3">
        <f t="shared" si="30"/>
        <v>-0.40594212441803451</v>
      </c>
      <c r="AH467" s="3">
        <f t="shared" si="31"/>
        <v>465</v>
      </c>
    </row>
    <row r="468" spans="32:34" x14ac:dyDescent="0.2">
      <c r="AF468" s="3">
        <f t="shared" si="32"/>
        <v>5.7400000000000624E-2</v>
      </c>
      <c r="AG468" s="3">
        <f t="shared" si="30"/>
        <v>-0.40640260162958697</v>
      </c>
      <c r="AH468" s="3">
        <f t="shared" si="31"/>
        <v>466</v>
      </c>
    </row>
    <row r="469" spans="32:34" x14ac:dyDescent="0.2">
      <c r="AF469" s="3">
        <f t="shared" si="32"/>
        <v>5.7500000000000627E-2</v>
      </c>
      <c r="AG469" s="3">
        <f t="shared" si="30"/>
        <v>-0.40686264720816845</v>
      </c>
      <c r="AH469" s="3">
        <f t="shared" si="31"/>
        <v>467</v>
      </c>
    </row>
    <row r="470" spans="32:34" x14ac:dyDescent="0.2">
      <c r="AF470" s="3">
        <f t="shared" si="32"/>
        <v>5.760000000000063E-2</v>
      </c>
      <c r="AG470" s="3">
        <f t="shared" si="30"/>
        <v>-0.40732226190444581</v>
      </c>
      <c r="AH470" s="3">
        <f t="shared" si="31"/>
        <v>468</v>
      </c>
    </row>
    <row r="471" spans="32:34" x14ac:dyDescent="0.2">
      <c r="AF471" s="3">
        <f t="shared" si="32"/>
        <v>5.7700000000000633E-2</v>
      </c>
      <c r="AG471" s="3">
        <f t="shared" si="30"/>
        <v>-0.40778144646647929</v>
      </c>
      <c r="AH471" s="3">
        <f t="shared" si="31"/>
        <v>469</v>
      </c>
    </row>
    <row r="472" spans="32:34" x14ac:dyDescent="0.2">
      <c r="AF472" s="3">
        <f t="shared" si="32"/>
        <v>5.7800000000000636E-2</v>
      </c>
      <c r="AG472" s="3">
        <f t="shared" si="30"/>
        <v>-0.40824020163973629</v>
      </c>
      <c r="AH472" s="3">
        <f t="shared" si="31"/>
        <v>470</v>
      </c>
    </row>
    <row r="473" spans="32:34" x14ac:dyDescent="0.2">
      <c r="AF473" s="3">
        <f t="shared" si="32"/>
        <v>5.7900000000000638E-2</v>
      </c>
      <c r="AG473" s="3">
        <f t="shared" si="30"/>
        <v>-0.40869852816710467</v>
      </c>
      <c r="AH473" s="3">
        <f t="shared" si="31"/>
        <v>471</v>
      </c>
    </row>
    <row r="474" spans="32:34" x14ac:dyDescent="0.2">
      <c r="AF474" s="3">
        <f t="shared" si="32"/>
        <v>5.8000000000000641E-2</v>
      </c>
      <c r="AG474" s="3">
        <f t="shared" si="30"/>
        <v>-0.4091564267889064</v>
      </c>
      <c r="AH474" s="3">
        <f t="shared" si="31"/>
        <v>472</v>
      </c>
    </row>
    <row r="475" spans="32:34" x14ac:dyDescent="0.2">
      <c r="AF475" s="3">
        <f t="shared" si="32"/>
        <v>5.8100000000000644E-2</v>
      </c>
      <c r="AG475" s="3">
        <f t="shared" si="30"/>
        <v>-0.40961389824291017</v>
      </c>
      <c r="AH475" s="3">
        <f t="shared" si="31"/>
        <v>473</v>
      </c>
    </row>
    <row r="476" spans="32:34" x14ac:dyDescent="0.2">
      <c r="AF476" s="3">
        <f t="shared" si="32"/>
        <v>5.8200000000000647E-2</v>
      </c>
      <c r="AG476" s="3">
        <f t="shared" si="30"/>
        <v>-0.4100709432643454</v>
      </c>
      <c r="AH476" s="3">
        <f t="shared" si="31"/>
        <v>474</v>
      </c>
    </row>
    <row r="477" spans="32:34" x14ac:dyDescent="0.2">
      <c r="AF477" s="3">
        <f t="shared" si="32"/>
        <v>5.830000000000065E-2</v>
      </c>
      <c r="AG477" s="3">
        <f t="shared" si="30"/>
        <v>-0.41052756258591483</v>
      </c>
      <c r="AH477" s="3">
        <f t="shared" si="31"/>
        <v>475</v>
      </c>
    </row>
    <row r="478" spans="32:34" x14ac:dyDescent="0.2">
      <c r="AF478" s="3">
        <f t="shared" si="32"/>
        <v>5.8400000000000653E-2</v>
      </c>
      <c r="AG478" s="3">
        <f t="shared" si="30"/>
        <v>-0.41098375693780753</v>
      </c>
      <c r="AH478" s="3">
        <f t="shared" si="31"/>
        <v>476</v>
      </c>
    </row>
    <row r="479" spans="32:34" x14ac:dyDescent="0.2">
      <c r="AF479" s="3">
        <f t="shared" si="32"/>
        <v>5.8500000000000656E-2</v>
      </c>
      <c r="AG479" s="3">
        <f t="shared" si="30"/>
        <v>-0.41143952704771219</v>
      </c>
      <c r="AH479" s="3">
        <f t="shared" si="31"/>
        <v>477</v>
      </c>
    </row>
    <row r="480" spans="32:34" x14ac:dyDescent="0.2">
      <c r="AF480" s="3">
        <f t="shared" si="32"/>
        <v>5.8600000000000659E-2</v>
      </c>
      <c r="AG480" s="3">
        <f t="shared" si="30"/>
        <v>-0.41189487364082933</v>
      </c>
      <c r="AH480" s="3">
        <f t="shared" si="31"/>
        <v>478</v>
      </c>
    </row>
    <row r="481" spans="32:34" x14ac:dyDescent="0.2">
      <c r="AF481" s="3">
        <f t="shared" si="32"/>
        <v>5.8700000000000661E-2</v>
      </c>
      <c r="AG481" s="3">
        <f t="shared" si="30"/>
        <v>-0.41234979743988459</v>
      </c>
      <c r="AH481" s="3">
        <f t="shared" si="31"/>
        <v>479</v>
      </c>
    </row>
    <row r="482" spans="32:34" x14ac:dyDescent="0.2">
      <c r="AF482" s="3">
        <f t="shared" si="32"/>
        <v>5.8800000000000664E-2</v>
      </c>
      <c r="AG482" s="3">
        <f t="shared" si="30"/>
        <v>-0.41280429916514128</v>
      </c>
      <c r="AH482" s="3">
        <f t="shared" si="31"/>
        <v>480</v>
      </c>
    </row>
    <row r="483" spans="32:34" x14ac:dyDescent="0.2">
      <c r="AF483" s="3">
        <f t="shared" si="32"/>
        <v>5.8900000000000667E-2</v>
      </c>
      <c r="AG483" s="3">
        <f t="shared" si="30"/>
        <v>-0.41325837953441247</v>
      </c>
      <c r="AH483" s="3">
        <f t="shared" si="31"/>
        <v>481</v>
      </c>
    </row>
    <row r="484" spans="32:34" x14ac:dyDescent="0.2">
      <c r="AF484" s="3">
        <f t="shared" si="32"/>
        <v>5.900000000000067E-2</v>
      </c>
      <c r="AG484" s="3">
        <f t="shared" si="30"/>
        <v>-0.41371203926307415</v>
      </c>
      <c r="AH484" s="3">
        <f t="shared" si="31"/>
        <v>482</v>
      </c>
    </row>
    <row r="485" spans="32:34" x14ac:dyDescent="0.2">
      <c r="AF485" s="3">
        <f t="shared" si="32"/>
        <v>5.9100000000000673E-2</v>
      </c>
      <c r="AG485" s="3">
        <f t="shared" si="30"/>
        <v>-0.41416527906407702</v>
      </c>
      <c r="AH485" s="3">
        <f t="shared" si="31"/>
        <v>483</v>
      </c>
    </row>
    <row r="486" spans="32:34" x14ac:dyDescent="0.2">
      <c r="AF486" s="3">
        <f t="shared" si="32"/>
        <v>5.9200000000000676E-2</v>
      </c>
      <c r="AG486" s="3">
        <f t="shared" si="30"/>
        <v>-0.41461809964795943</v>
      </c>
      <c r="AH486" s="3">
        <f t="shared" si="31"/>
        <v>484</v>
      </c>
    </row>
    <row r="487" spans="32:34" x14ac:dyDescent="0.2">
      <c r="AF487" s="3">
        <f t="shared" si="32"/>
        <v>5.9300000000000679E-2</v>
      </c>
      <c r="AG487" s="3">
        <f t="shared" si="30"/>
        <v>-0.41507050172285903</v>
      </c>
      <c r="AH487" s="3">
        <f t="shared" si="31"/>
        <v>485</v>
      </c>
    </row>
    <row r="488" spans="32:34" x14ac:dyDescent="0.2">
      <c r="AF488" s="3">
        <f t="shared" si="32"/>
        <v>5.9400000000000681E-2</v>
      </c>
      <c r="AG488" s="3">
        <f t="shared" si="30"/>
        <v>-0.41552248599452524</v>
      </c>
      <c r="AH488" s="3">
        <f t="shared" si="31"/>
        <v>486</v>
      </c>
    </row>
    <row r="489" spans="32:34" x14ac:dyDescent="0.2">
      <c r="AF489" s="3">
        <f t="shared" si="32"/>
        <v>5.9500000000000684E-2</v>
      </c>
      <c r="AG489" s="3">
        <f t="shared" si="30"/>
        <v>-0.41597405316633107</v>
      </c>
      <c r="AH489" s="3">
        <f t="shared" si="31"/>
        <v>487</v>
      </c>
    </row>
    <row r="490" spans="32:34" x14ac:dyDescent="0.2">
      <c r="AF490" s="3">
        <f t="shared" si="32"/>
        <v>5.9600000000000687E-2</v>
      </c>
      <c r="AG490" s="3">
        <f t="shared" si="30"/>
        <v>-0.41642520393928545</v>
      </c>
      <c r="AH490" s="3">
        <f t="shared" si="31"/>
        <v>488</v>
      </c>
    </row>
    <row r="491" spans="32:34" x14ac:dyDescent="0.2">
      <c r="AF491" s="3">
        <f t="shared" si="32"/>
        <v>5.970000000000069E-2</v>
      </c>
      <c r="AG491" s="3">
        <f t="shared" si="30"/>
        <v>-0.41687593901204484</v>
      </c>
      <c r="AH491" s="3">
        <f t="shared" si="31"/>
        <v>489</v>
      </c>
    </row>
    <row r="492" spans="32:34" x14ac:dyDescent="0.2">
      <c r="AF492" s="3">
        <f t="shared" si="32"/>
        <v>5.9800000000000693E-2</v>
      </c>
      <c r="AG492" s="3">
        <f t="shared" si="30"/>
        <v>-0.41732625908092497</v>
      </c>
      <c r="AH492" s="3">
        <f t="shared" si="31"/>
        <v>490</v>
      </c>
    </row>
    <row r="493" spans="32:34" x14ac:dyDescent="0.2">
      <c r="AF493" s="3">
        <f t="shared" si="32"/>
        <v>5.9900000000000696E-2</v>
      </c>
      <c r="AG493" s="3">
        <f t="shared" si="30"/>
        <v>-0.41777616483991309</v>
      </c>
      <c r="AH493" s="3">
        <f t="shared" si="31"/>
        <v>491</v>
      </c>
    </row>
    <row r="494" spans="32:34" x14ac:dyDescent="0.2">
      <c r="AF494" s="3">
        <f t="shared" si="32"/>
        <v>6.0000000000000699E-2</v>
      </c>
      <c r="AG494" s="3">
        <f t="shared" si="30"/>
        <v>-0.41822565698067898</v>
      </c>
      <c r="AH494" s="3">
        <f t="shared" si="31"/>
        <v>492</v>
      </c>
    </row>
    <row r="495" spans="32:34" x14ac:dyDescent="0.2">
      <c r="AF495" s="3">
        <f t="shared" si="32"/>
        <v>6.0100000000000701E-2</v>
      </c>
      <c r="AG495" s="3">
        <f t="shared" si="30"/>
        <v>-0.41867473619258699</v>
      </c>
      <c r="AH495" s="3">
        <f t="shared" si="31"/>
        <v>493</v>
      </c>
    </row>
    <row r="496" spans="32:34" x14ac:dyDescent="0.2">
      <c r="AF496" s="3">
        <f t="shared" si="32"/>
        <v>6.0200000000000704E-2</v>
      </c>
      <c r="AG496" s="3">
        <f t="shared" si="30"/>
        <v>-0.41912340316270746</v>
      </c>
      <c r="AH496" s="3">
        <f t="shared" si="31"/>
        <v>494</v>
      </c>
    </row>
    <row r="497" spans="32:34" x14ac:dyDescent="0.2">
      <c r="AF497" s="3">
        <f t="shared" si="32"/>
        <v>6.0300000000000707E-2</v>
      </c>
      <c r="AG497" s="3">
        <f t="shared" si="30"/>
        <v>-0.41957165857582807</v>
      </c>
      <c r="AH497" s="3">
        <f t="shared" si="31"/>
        <v>495</v>
      </c>
    </row>
    <row r="498" spans="32:34" x14ac:dyDescent="0.2">
      <c r="AF498" s="3">
        <f t="shared" si="32"/>
        <v>6.040000000000071E-2</v>
      </c>
      <c r="AG498" s="3">
        <f t="shared" si="30"/>
        <v>-0.42001950311446512</v>
      </c>
      <c r="AH498" s="3">
        <f t="shared" si="31"/>
        <v>496</v>
      </c>
    </row>
    <row r="499" spans="32:34" x14ac:dyDescent="0.2">
      <c r="AF499" s="3">
        <f t="shared" si="32"/>
        <v>6.0500000000000713E-2</v>
      </c>
      <c r="AG499" s="3">
        <f t="shared" si="30"/>
        <v>-0.42046693745887503</v>
      </c>
      <c r="AH499" s="3">
        <f t="shared" si="31"/>
        <v>497</v>
      </c>
    </row>
    <row r="500" spans="32:34" x14ac:dyDescent="0.2">
      <c r="AF500" s="3">
        <f t="shared" si="32"/>
        <v>6.0600000000000716E-2</v>
      </c>
      <c r="AG500" s="3">
        <f t="shared" si="30"/>
        <v>-0.42091396228706551</v>
      </c>
      <c r="AH500" s="3">
        <f t="shared" si="31"/>
        <v>498</v>
      </c>
    </row>
    <row r="501" spans="32:34" x14ac:dyDescent="0.2">
      <c r="AF501" s="3">
        <f t="shared" si="32"/>
        <v>6.0700000000000719E-2</v>
      </c>
      <c r="AG501" s="3">
        <f t="shared" si="30"/>
        <v>-0.42136057827480639</v>
      </c>
      <c r="AH501" s="3">
        <f t="shared" si="31"/>
        <v>499</v>
      </c>
    </row>
    <row r="502" spans="32:34" x14ac:dyDescent="0.2">
      <c r="AF502" s="3">
        <f t="shared" si="32"/>
        <v>6.0800000000000722E-2</v>
      </c>
      <c r="AG502" s="3">
        <f t="shared" si="30"/>
        <v>-0.42180678609564098</v>
      </c>
      <c r="AH502" s="3">
        <f t="shared" si="31"/>
        <v>500</v>
      </c>
    </row>
    <row r="503" spans="32:34" x14ac:dyDescent="0.2">
      <c r="AF503" s="3">
        <f t="shared" si="32"/>
        <v>6.0900000000000724E-2</v>
      </c>
      <c r="AG503" s="3">
        <f t="shared" si="30"/>
        <v>-0.42225258642089714</v>
      </c>
      <c r="AH503" s="3">
        <f t="shared" si="31"/>
        <v>501</v>
      </c>
    </row>
    <row r="504" spans="32:34" x14ac:dyDescent="0.2">
      <c r="AF504" s="3">
        <f t="shared" si="32"/>
        <v>6.1000000000000727E-2</v>
      </c>
      <c r="AG504" s="3">
        <f t="shared" si="30"/>
        <v>-0.42269797991969787</v>
      </c>
      <c r="AH504" s="3">
        <f t="shared" si="31"/>
        <v>502</v>
      </c>
    </row>
    <row r="505" spans="32:34" x14ac:dyDescent="0.2">
      <c r="AF505" s="3">
        <f t="shared" si="32"/>
        <v>6.110000000000073E-2</v>
      </c>
      <c r="AG505" s="3">
        <f t="shared" si="30"/>
        <v>-0.42314296725897244</v>
      </c>
      <c r="AH505" s="3">
        <f t="shared" si="31"/>
        <v>503</v>
      </c>
    </row>
    <row r="506" spans="32:34" x14ac:dyDescent="0.2">
      <c r="AF506" s="3">
        <f t="shared" si="32"/>
        <v>6.1200000000000733E-2</v>
      </c>
      <c r="AG506" s="3">
        <f t="shared" si="30"/>
        <v>-0.42358754910346696</v>
      </c>
      <c r="AH506" s="3">
        <f t="shared" si="31"/>
        <v>504</v>
      </c>
    </row>
    <row r="507" spans="32:34" x14ac:dyDescent="0.2">
      <c r="AF507" s="3">
        <f t="shared" si="32"/>
        <v>6.1300000000000736E-2</v>
      </c>
      <c r="AG507" s="3">
        <f t="shared" si="30"/>
        <v>-0.42403172611575518</v>
      </c>
      <c r="AH507" s="3">
        <f t="shared" si="31"/>
        <v>505</v>
      </c>
    </row>
    <row r="508" spans="32:34" x14ac:dyDescent="0.2">
      <c r="AF508" s="3">
        <f t="shared" si="32"/>
        <v>6.1400000000000739E-2</v>
      </c>
      <c r="AG508" s="3">
        <f t="shared" si="30"/>
        <v>-0.42447549895624914</v>
      </c>
      <c r="AH508" s="3">
        <f t="shared" si="31"/>
        <v>506</v>
      </c>
    </row>
    <row r="509" spans="32:34" x14ac:dyDescent="0.2">
      <c r="AF509" s="3">
        <f t="shared" si="32"/>
        <v>6.1500000000000742E-2</v>
      </c>
      <c r="AG509" s="3">
        <f t="shared" si="30"/>
        <v>-0.42491886828320974</v>
      </c>
      <c r="AH509" s="3">
        <f t="shared" si="31"/>
        <v>507</v>
      </c>
    </row>
    <row r="510" spans="32:34" x14ac:dyDescent="0.2">
      <c r="AF510" s="3">
        <f t="shared" si="32"/>
        <v>6.1600000000000744E-2</v>
      </c>
      <c r="AG510" s="3">
        <f t="shared" si="30"/>
        <v>-0.42536183475275696</v>
      </c>
      <c r="AH510" s="3">
        <f t="shared" si="31"/>
        <v>508</v>
      </c>
    </row>
    <row r="511" spans="32:34" x14ac:dyDescent="0.2">
      <c r="AF511" s="3">
        <f t="shared" si="32"/>
        <v>6.1700000000000747E-2</v>
      </c>
      <c r="AG511" s="3">
        <f t="shared" si="30"/>
        <v>-0.42580439901888079</v>
      </c>
      <c r="AH511" s="3">
        <f t="shared" si="31"/>
        <v>509</v>
      </c>
    </row>
    <row r="512" spans="32:34" x14ac:dyDescent="0.2">
      <c r="AF512" s="3">
        <f t="shared" si="32"/>
        <v>6.180000000000075E-2</v>
      </c>
      <c r="AG512" s="3">
        <f t="shared" si="30"/>
        <v>-0.42624656173345121</v>
      </c>
      <c r="AH512" s="3">
        <f t="shared" si="31"/>
        <v>510</v>
      </c>
    </row>
    <row r="513" spans="32:34" x14ac:dyDescent="0.2">
      <c r="AF513" s="3">
        <f t="shared" si="32"/>
        <v>6.1900000000000753E-2</v>
      </c>
      <c r="AG513" s="3">
        <f t="shared" si="30"/>
        <v>-0.42668832354622849</v>
      </c>
      <c r="AH513" s="3">
        <f t="shared" si="31"/>
        <v>511</v>
      </c>
    </row>
    <row r="514" spans="32:34" x14ac:dyDescent="0.2">
      <c r="AF514" s="3">
        <f t="shared" si="32"/>
        <v>6.2000000000000756E-2</v>
      </c>
      <c r="AG514" s="3">
        <f t="shared" si="30"/>
        <v>-0.4271296851048737</v>
      </c>
      <c r="AH514" s="3">
        <f t="shared" si="31"/>
        <v>512</v>
      </c>
    </row>
    <row r="515" spans="32:34" x14ac:dyDescent="0.2">
      <c r="AF515" s="3">
        <f t="shared" si="32"/>
        <v>6.2100000000000759E-2</v>
      </c>
      <c r="AG515" s="3">
        <f t="shared" ref="AG515:AG578" si="33">RT0*AF515*LN(AF515)</f>
        <v>-0.42757064705495856</v>
      </c>
      <c r="AH515" s="3">
        <f t="shared" si="31"/>
        <v>513</v>
      </c>
    </row>
    <row r="516" spans="32:34" x14ac:dyDescent="0.2">
      <c r="AF516" s="3">
        <f t="shared" si="32"/>
        <v>6.2200000000000762E-2</v>
      </c>
      <c r="AG516" s="3">
        <f t="shared" si="33"/>
        <v>-0.42801121003997566</v>
      </c>
      <c r="AH516" s="3">
        <f t="shared" si="31"/>
        <v>514</v>
      </c>
    </row>
    <row r="517" spans="32:34" x14ac:dyDescent="0.2">
      <c r="AF517" s="3">
        <f t="shared" si="32"/>
        <v>6.2300000000000764E-2</v>
      </c>
      <c r="AG517" s="3">
        <f t="shared" si="33"/>
        <v>-0.42845137470134853</v>
      </c>
      <c r="AH517" s="3">
        <f t="shared" ref="AH517:AH580" si="34">AH516+1</f>
        <v>515</v>
      </c>
    </row>
    <row r="518" spans="32:34" x14ac:dyDescent="0.2">
      <c r="AF518" s="3">
        <f t="shared" si="32"/>
        <v>6.2400000000000767E-2</v>
      </c>
      <c r="AG518" s="3">
        <f t="shared" si="33"/>
        <v>-0.4288911416784415</v>
      </c>
      <c r="AH518" s="3">
        <f t="shared" si="34"/>
        <v>516</v>
      </c>
    </row>
    <row r="519" spans="32:34" x14ac:dyDescent="0.2">
      <c r="AF519" s="3">
        <f t="shared" ref="AF519:AF565" si="35">AF518+0.0001</f>
        <v>6.2500000000000763E-2</v>
      </c>
      <c r="AG519" s="3">
        <f t="shared" si="33"/>
        <v>-0.42933051160856955</v>
      </c>
      <c r="AH519" s="3">
        <f t="shared" si="34"/>
        <v>517</v>
      </c>
    </row>
    <row r="520" spans="32:34" x14ac:dyDescent="0.2">
      <c r="AF520" s="3">
        <f t="shared" si="35"/>
        <v>6.2600000000000766E-2</v>
      </c>
      <c r="AG520" s="3">
        <f t="shared" si="33"/>
        <v>-0.42976948512700847</v>
      </c>
      <c r="AH520" s="3">
        <f t="shared" si="34"/>
        <v>518</v>
      </c>
    </row>
    <row r="521" spans="32:34" x14ac:dyDescent="0.2">
      <c r="AF521" s="3">
        <f t="shared" si="35"/>
        <v>6.2700000000000769E-2</v>
      </c>
      <c r="AG521" s="3">
        <f t="shared" si="33"/>
        <v>-0.43020806286700436</v>
      </c>
      <c r="AH521" s="3">
        <f t="shared" si="34"/>
        <v>519</v>
      </c>
    </row>
    <row r="522" spans="32:34" x14ac:dyDescent="0.2">
      <c r="AF522" s="3">
        <f t="shared" si="35"/>
        <v>6.2800000000000772E-2</v>
      </c>
      <c r="AG522" s="3">
        <f t="shared" si="33"/>
        <v>-0.43064624545978325</v>
      </c>
      <c r="AH522" s="3">
        <f t="shared" si="34"/>
        <v>520</v>
      </c>
    </row>
    <row r="523" spans="32:34" x14ac:dyDescent="0.2">
      <c r="AF523" s="3">
        <f t="shared" si="35"/>
        <v>6.2900000000000775E-2</v>
      </c>
      <c r="AG523" s="3">
        <f t="shared" si="33"/>
        <v>-0.4310840335345611</v>
      </c>
      <c r="AH523" s="3">
        <f t="shared" si="34"/>
        <v>521</v>
      </c>
    </row>
    <row r="524" spans="32:34" x14ac:dyDescent="0.2">
      <c r="AF524" s="3">
        <f t="shared" si="35"/>
        <v>6.3000000000000778E-2</v>
      </c>
      <c r="AG524" s="3">
        <f t="shared" si="33"/>
        <v>-0.43152142771855295</v>
      </c>
      <c r="AH524" s="3">
        <f t="shared" si="34"/>
        <v>522</v>
      </c>
    </row>
    <row r="525" spans="32:34" x14ac:dyDescent="0.2">
      <c r="AF525" s="3">
        <f t="shared" si="35"/>
        <v>6.310000000000078E-2</v>
      </c>
      <c r="AG525" s="3">
        <f t="shared" si="33"/>
        <v>-0.43195842863698281</v>
      </c>
      <c r="AH525" s="3">
        <f t="shared" si="34"/>
        <v>523</v>
      </c>
    </row>
    <row r="526" spans="32:34" x14ac:dyDescent="0.2">
      <c r="AF526" s="3">
        <f t="shared" si="35"/>
        <v>6.3200000000000783E-2</v>
      </c>
      <c r="AG526" s="3">
        <f t="shared" si="33"/>
        <v>-0.43239503691309306</v>
      </c>
      <c r="AH526" s="3">
        <f t="shared" si="34"/>
        <v>524</v>
      </c>
    </row>
    <row r="527" spans="32:34" x14ac:dyDescent="0.2">
      <c r="AF527" s="3">
        <f t="shared" si="35"/>
        <v>6.3300000000000786E-2</v>
      </c>
      <c r="AG527" s="3">
        <f t="shared" si="33"/>
        <v>-0.43283125316815357</v>
      </c>
      <c r="AH527" s="3">
        <f t="shared" si="34"/>
        <v>525</v>
      </c>
    </row>
    <row r="528" spans="32:34" x14ac:dyDescent="0.2">
      <c r="AF528" s="3">
        <f t="shared" si="35"/>
        <v>6.3400000000000789E-2</v>
      </c>
      <c r="AG528" s="3">
        <f t="shared" si="33"/>
        <v>-0.43326707802147157</v>
      </c>
      <c r="AH528" s="3">
        <f t="shared" si="34"/>
        <v>526</v>
      </c>
    </row>
    <row r="529" spans="32:34" x14ac:dyDescent="0.2">
      <c r="AF529" s="3">
        <f t="shared" si="35"/>
        <v>6.3500000000000792E-2</v>
      </c>
      <c r="AG529" s="3">
        <f t="shared" si="33"/>
        <v>-0.43370251209040028</v>
      </c>
      <c r="AH529" s="3">
        <f t="shared" si="34"/>
        <v>527</v>
      </c>
    </row>
    <row r="530" spans="32:34" x14ac:dyDescent="0.2">
      <c r="AF530" s="3">
        <f t="shared" si="35"/>
        <v>6.3600000000000795E-2</v>
      </c>
      <c r="AG530" s="3">
        <f t="shared" si="33"/>
        <v>-0.43413755599034892</v>
      </c>
      <c r="AH530" s="3">
        <f t="shared" si="34"/>
        <v>528</v>
      </c>
    </row>
    <row r="531" spans="32:34" x14ac:dyDescent="0.2">
      <c r="AF531" s="3">
        <f t="shared" si="35"/>
        <v>6.3700000000000798E-2</v>
      </c>
      <c r="AG531" s="3">
        <f t="shared" si="33"/>
        <v>-0.43457221033479126</v>
      </c>
      <c r="AH531" s="3">
        <f t="shared" si="34"/>
        <v>529</v>
      </c>
    </row>
    <row r="532" spans="32:34" x14ac:dyDescent="0.2">
      <c r="AF532" s="3">
        <f t="shared" si="35"/>
        <v>6.3800000000000801E-2</v>
      </c>
      <c r="AG532" s="3">
        <f t="shared" si="33"/>
        <v>-0.43500647573527462</v>
      </c>
      <c r="AH532" s="3">
        <f t="shared" si="34"/>
        <v>530</v>
      </c>
    </row>
    <row r="533" spans="32:34" x14ac:dyDescent="0.2">
      <c r="AF533" s="3">
        <f t="shared" si="35"/>
        <v>6.3900000000000803E-2</v>
      </c>
      <c r="AG533" s="3">
        <f t="shared" si="33"/>
        <v>-0.43544035280142973</v>
      </c>
      <c r="AH533" s="3">
        <f t="shared" si="34"/>
        <v>531</v>
      </c>
    </row>
    <row r="534" spans="32:34" x14ac:dyDescent="0.2">
      <c r="AF534" s="3">
        <f t="shared" si="35"/>
        <v>6.4000000000000806E-2</v>
      </c>
      <c r="AG534" s="3">
        <f t="shared" si="33"/>
        <v>-0.43587384214097896</v>
      </c>
      <c r="AH534" s="3">
        <f t="shared" si="34"/>
        <v>532</v>
      </c>
    </row>
    <row r="535" spans="32:34" x14ac:dyDescent="0.2">
      <c r="AF535" s="3">
        <f t="shared" si="35"/>
        <v>6.4100000000000809E-2</v>
      </c>
      <c r="AG535" s="3">
        <f t="shared" si="33"/>
        <v>-0.43630694435974571</v>
      </c>
      <c r="AH535" s="3">
        <f t="shared" si="34"/>
        <v>533</v>
      </c>
    </row>
    <row r="536" spans="32:34" x14ac:dyDescent="0.2">
      <c r="AF536" s="3">
        <f t="shared" si="35"/>
        <v>6.4200000000000812E-2</v>
      </c>
      <c r="AG536" s="3">
        <f t="shared" si="33"/>
        <v>-0.43673966006166309</v>
      </c>
      <c r="AH536" s="3">
        <f t="shared" si="34"/>
        <v>534</v>
      </c>
    </row>
    <row r="537" spans="32:34" x14ac:dyDescent="0.2">
      <c r="AF537" s="3">
        <f t="shared" si="35"/>
        <v>6.4300000000000815E-2</v>
      </c>
      <c r="AG537" s="3">
        <f t="shared" si="33"/>
        <v>-0.43717198984878258</v>
      </c>
      <c r="AH537" s="3">
        <f t="shared" si="34"/>
        <v>535</v>
      </c>
    </row>
    <row r="538" spans="32:34" x14ac:dyDescent="0.2">
      <c r="AF538" s="3">
        <f t="shared" si="35"/>
        <v>6.4400000000000818E-2</v>
      </c>
      <c r="AG538" s="3">
        <f t="shared" si="33"/>
        <v>-0.43760393432128325</v>
      </c>
      <c r="AH538" s="3">
        <f t="shared" si="34"/>
        <v>536</v>
      </c>
    </row>
    <row r="539" spans="32:34" x14ac:dyDescent="0.2">
      <c r="AF539" s="3">
        <f t="shared" si="35"/>
        <v>6.4500000000000821E-2</v>
      </c>
      <c r="AG539" s="3">
        <f t="shared" si="33"/>
        <v>-0.43803549407748033</v>
      </c>
      <c r="AH539" s="3">
        <f t="shared" si="34"/>
        <v>537</v>
      </c>
    </row>
    <row r="540" spans="32:34" x14ac:dyDescent="0.2">
      <c r="AF540" s="3">
        <f t="shared" si="35"/>
        <v>6.4600000000000823E-2</v>
      </c>
      <c r="AG540" s="3">
        <f t="shared" si="33"/>
        <v>-0.43846666971383363</v>
      </c>
      <c r="AH540" s="3">
        <f t="shared" si="34"/>
        <v>538</v>
      </c>
    </row>
    <row r="541" spans="32:34" x14ac:dyDescent="0.2">
      <c r="AF541" s="3">
        <f t="shared" si="35"/>
        <v>6.4700000000000826E-2</v>
      </c>
      <c r="AG541" s="3">
        <f t="shared" si="33"/>
        <v>-0.43889746182495631</v>
      </c>
      <c r="AH541" s="3">
        <f t="shared" si="34"/>
        <v>539</v>
      </c>
    </row>
    <row r="542" spans="32:34" x14ac:dyDescent="0.2">
      <c r="AF542" s="3">
        <f t="shared" si="35"/>
        <v>6.4800000000000829E-2</v>
      </c>
      <c r="AG542" s="3">
        <f t="shared" si="33"/>
        <v>-0.43932787100362364</v>
      </c>
      <c r="AH542" s="3">
        <f t="shared" si="34"/>
        <v>540</v>
      </c>
    </row>
    <row r="543" spans="32:34" x14ac:dyDescent="0.2">
      <c r="AF543" s="3">
        <f t="shared" si="35"/>
        <v>6.4900000000000832E-2</v>
      </c>
      <c r="AG543" s="3">
        <f t="shared" si="33"/>
        <v>-0.43975789784078106</v>
      </c>
      <c r="AH543" s="3">
        <f t="shared" si="34"/>
        <v>541</v>
      </c>
    </row>
    <row r="544" spans="32:34" x14ac:dyDescent="0.2">
      <c r="AF544" s="3">
        <f t="shared" si="35"/>
        <v>6.5000000000000835E-2</v>
      </c>
      <c r="AG544" s="3">
        <f t="shared" si="33"/>
        <v>-0.44018754292555334</v>
      </c>
      <c r="AH544" s="3">
        <f t="shared" si="34"/>
        <v>542</v>
      </c>
    </row>
    <row r="545" spans="32:34" x14ac:dyDescent="0.2">
      <c r="AF545" s="3">
        <f t="shared" si="35"/>
        <v>6.5100000000000838E-2</v>
      </c>
      <c r="AG545" s="3">
        <f t="shared" si="33"/>
        <v>-0.44061680684525212</v>
      </c>
      <c r="AH545" s="3">
        <f t="shared" si="34"/>
        <v>543</v>
      </c>
    </row>
    <row r="546" spans="32:34" x14ac:dyDescent="0.2">
      <c r="AF546" s="3">
        <f t="shared" si="35"/>
        <v>6.5200000000000841E-2</v>
      </c>
      <c r="AG546" s="3">
        <f t="shared" si="33"/>
        <v>-0.44104569018538492</v>
      </c>
      <c r="AH546" s="3">
        <f t="shared" si="34"/>
        <v>544</v>
      </c>
    </row>
    <row r="547" spans="32:34" x14ac:dyDescent="0.2">
      <c r="AF547" s="3">
        <f t="shared" si="35"/>
        <v>6.5300000000000843E-2</v>
      </c>
      <c r="AG547" s="3">
        <f t="shared" si="33"/>
        <v>-0.44147419352966333</v>
      </c>
      <c r="AH547" s="3">
        <f t="shared" si="34"/>
        <v>545</v>
      </c>
    </row>
    <row r="548" spans="32:34" x14ac:dyDescent="0.2">
      <c r="AF548" s="3">
        <f t="shared" si="35"/>
        <v>6.5400000000000846E-2</v>
      </c>
      <c r="AG548" s="3">
        <f t="shared" si="33"/>
        <v>-0.4419023174600108</v>
      </c>
      <c r="AH548" s="3">
        <f t="shared" si="34"/>
        <v>546</v>
      </c>
    </row>
    <row r="549" spans="32:34" x14ac:dyDescent="0.2">
      <c r="AF549" s="3">
        <f t="shared" si="35"/>
        <v>6.5500000000000849E-2</v>
      </c>
      <c r="AG549" s="3">
        <f t="shared" si="33"/>
        <v>-0.44233006255657159</v>
      </c>
      <c r="AH549" s="3">
        <f t="shared" si="34"/>
        <v>547</v>
      </c>
    </row>
    <row r="550" spans="32:34" x14ac:dyDescent="0.2">
      <c r="AF550" s="3">
        <f t="shared" si="35"/>
        <v>6.5600000000000852E-2</v>
      </c>
      <c r="AG550" s="3">
        <f t="shared" si="33"/>
        <v>-0.44275742939771823</v>
      </c>
      <c r="AH550" s="3">
        <f t="shared" si="34"/>
        <v>548</v>
      </c>
    </row>
    <row r="551" spans="32:34" x14ac:dyDescent="0.2">
      <c r="AF551" s="3">
        <f t="shared" si="35"/>
        <v>6.5700000000000855E-2</v>
      </c>
      <c r="AG551" s="3">
        <f t="shared" si="33"/>
        <v>-0.44318441856006002</v>
      </c>
      <c r="AH551" s="3">
        <f t="shared" si="34"/>
        <v>549</v>
      </c>
    </row>
    <row r="552" spans="32:34" x14ac:dyDescent="0.2">
      <c r="AF552" s="3">
        <f t="shared" si="35"/>
        <v>6.5800000000000858E-2</v>
      </c>
      <c r="AG552" s="3">
        <f t="shared" si="33"/>
        <v>-0.44361103061845103</v>
      </c>
      <c r="AH552" s="3">
        <f t="shared" si="34"/>
        <v>550</v>
      </c>
    </row>
    <row r="553" spans="32:34" x14ac:dyDescent="0.2">
      <c r="AF553" s="3">
        <f t="shared" si="35"/>
        <v>6.5900000000000861E-2</v>
      </c>
      <c r="AG553" s="3">
        <f t="shared" si="33"/>
        <v>-0.44403726614599809</v>
      </c>
      <c r="AH553" s="3">
        <f t="shared" si="34"/>
        <v>551</v>
      </c>
    </row>
    <row r="554" spans="32:34" x14ac:dyDescent="0.2">
      <c r="AF554" s="3">
        <f t="shared" si="35"/>
        <v>6.6000000000000864E-2</v>
      </c>
      <c r="AG554" s="3">
        <f t="shared" si="33"/>
        <v>-0.44446312571406843</v>
      </c>
      <c r="AH554" s="3">
        <f t="shared" si="34"/>
        <v>552</v>
      </c>
    </row>
    <row r="555" spans="32:34" x14ac:dyDescent="0.2">
      <c r="AF555" s="3">
        <f t="shared" si="35"/>
        <v>6.6100000000000866E-2</v>
      </c>
      <c r="AG555" s="3">
        <f t="shared" si="33"/>
        <v>-0.44488860989229823</v>
      </c>
      <c r="AH555" s="3">
        <f t="shared" si="34"/>
        <v>553</v>
      </c>
    </row>
    <row r="556" spans="32:34" x14ac:dyDescent="0.2">
      <c r="AF556" s="3">
        <f t="shared" si="35"/>
        <v>6.6200000000000869E-2</v>
      </c>
      <c r="AG556" s="3">
        <f t="shared" si="33"/>
        <v>-0.44531371924859986</v>
      </c>
      <c r="AH556" s="3">
        <f t="shared" si="34"/>
        <v>554</v>
      </c>
    </row>
    <row r="557" spans="32:34" x14ac:dyDescent="0.2">
      <c r="AF557" s="3">
        <f t="shared" si="35"/>
        <v>6.6300000000000872E-2</v>
      </c>
      <c r="AG557" s="3">
        <f t="shared" si="33"/>
        <v>-0.44573845434916998</v>
      </c>
      <c r="AH557" s="3">
        <f t="shared" si="34"/>
        <v>555</v>
      </c>
    </row>
    <row r="558" spans="32:34" x14ac:dyDescent="0.2">
      <c r="AF558" s="3">
        <f t="shared" si="35"/>
        <v>6.6400000000000875E-2</v>
      </c>
      <c r="AG558" s="3">
        <f t="shared" si="33"/>
        <v>-0.44616281575849753</v>
      </c>
      <c r="AH558" s="3">
        <f t="shared" si="34"/>
        <v>556</v>
      </c>
    </row>
    <row r="559" spans="32:34" x14ac:dyDescent="0.2">
      <c r="AF559" s="3">
        <f t="shared" si="35"/>
        <v>6.6500000000000878E-2</v>
      </c>
      <c r="AG559" s="3">
        <f t="shared" si="33"/>
        <v>-0.44658680403937062</v>
      </c>
      <c r="AH559" s="3">
        <f t="shared" si="34"/>
        <v>557</v>
      </c>
    </row>
    <row r="560" spans="32:34" x14ac:dyDescent="0.2">
      <c r="AF560" s="3">
        <f t="shared" si="35"/>
        <v>6.6600000000000881E-2</v>
      </c>
      <c r="AG560" s="3">
        <f t="shared" si="33"/>
        <v>-0.44701041975288536</v>
      </c>
      <c r="AH560" s="3">
        <f t="shared" si="34"/>
        <v>558</v>
      </c>
    </row>
    <row r="561" spans="32:34" x14ac:dyDescent="0.2">
      <c r="AF561" s="3">
        <f t="shared" si="35"/>
        <v>6.6700000000000884E-2</v>
      </c>
      <c r="AG561" s="3">
        <f t="shared" si="33"/>
        <v>-0.44743366345845237</v>
      </c>
      <c r="AH561" s="3">
        <f t="shared" si="34"/>
        <v>559</v>
      </c>
    </row>
    <row r="562" spans="32:34" x14ac:dyDescent="0.2">
      <c r="AF562" s="3">
        <f t="shared" si="35"/>
        <v>6.6800000000000886E-2</v>
      </c>
      <c r="AG562" s="3">
        <f t="shared" si="33"/>
        <v>-0.44785653571380535</v>
      </c>
      <c r="AH562" s="3">
        <f t="shared" si="34"/>
        <v>560</v>
      </c>
    </row>
    <row r="563" spans="32:34" x14ac:dyDescent="0.2">
      <c r="AF563" s="3">
        <f t="shared" si="35"/>
        <v>6.6900000000000889E-2</v>
      </c>
      <c r="AG563" s="3">
        <f t="shared" si="33"/>
        <v>-0.44827903707500782</v>
      </c>
      <c r="AH563" s="3">
        <f t="shared" si="34"/>
        <v>561</v>
      </c>
    </row>
    <row r="564" spans="32:34" x14ac:dyDescent="0.2">
      <c r="AF564" s="3">
        <f t="shared" si="35"/>
        <v>6.7000000000000892E-2</v>
      </c>
      <c r="AG564" s="3">
        <f t="shared" si="33"/>
        <v>-0.44870116809646104</v>
      </c>
      <c r="AH564" s="3">
        <f t="shared" si="34"/>
        <v>562</v>
      </c>
    </row>
    <row r="565" spans="32:34" x14ac:dyDescent="0.2">
      <c r="AF565" s="3">
        <f t="shared" si="35"/>
        <v>6.7100000000000895E-2</v>
      </c>
      <c r="AG565" s="3">
        <f t="shared" si="33"/>
        <v>-0.4491229293309113</v>
      </c>
      <c r="AH565" s="3">
        <f t="shared" si="34"/>
        <v>563</v>
      </c>
    </row>
    <row r="566" spans="32:34" x14ac:dyDescent="0.2">
      <c r="AF566" s="3">
        <f>AF565+0.0001</f>
        <v>6.7200000000000898E-2</v>
      </c>
      <c r="AG566" s="3">
        <f t="shared" si="33"/>
        <v>-0.44954432132945737</v>
      </c>
      <c r="AH566" s="3">
        <f t="shared" si="34"/>
        <v>564</v>
      </c>
    </row>
    <row r="567" spans="32:34" x14ac:dyDescent="0.2">
      <c r="AF567" s="3">
        <f t="shared" ref="AF567:AF630" si="36">AF566+0.0001</f>
        <v>6.7300000000000901E-2</v>
      </c>
      <c r="AG567" s="3">
        <f t="shared" si="33"/>
        <v>-0.4499653446415578</v>
      </c>
      <c r="AH567" s="3">
        <f t="shared" si="34"/>
        <v>565</v>
      </c>
    </row>
    <row r="568" spans="32:34" x14ac:dyDescent="0.2">
      <c r="AF568" s="3">
        <f t="shared" si="36"/>
        <v>6.7400000000000904E-2</v>
      </c>
      <c r="AG568" s="3">
        <f t="shared" si="33"/>
        <v>-0.45038599981503841</v>
      </c>
      <c r="AH568" s="3">
        <f t="shared" si="34"/>
        <v>566</v>
      </c>
    </row>
    <row r="569" spans="32:34" x14ac:dyDescent="0.2">
      <c r="AF569" s="3">
        <f t="shared" si="36"/>
        <v>6.7500000000000906E-2</v>
      </c>
      <c r="AG569" s="3">
        <f t="shared" si="33"/>
        <v>-0.45080628739609918</v>
      </c>
      <c r="AH569" s="3">
        <f t="shared" si="34"/>
        <v>567</v>
      </c>
    </row>
    <row r="570" spans="32:34" x14ac:dyDescent="0.2">
      <c r="AF570" s="3">
        <f t="shared" si="36"/>
        <v>6.7600000000000909E-2</v>
      </c>
      <c r="AG570" s="3">
        <f t="shared" si="33"/>
        <v>-0.45122620792932205</v>
      </c>
      <c r="AH570" s="3">
        <f t="shared" si="34"/>
        <v>568</v>
      </c>
    </row>
    <row r="571" spans="32:34" x14ac:dyDescent="0.2">
      <c r="AF571" s="3">
        <f t="shared" si="36"/>
        <v>6.7700000000000912E-2</v>
      </c>
      <c r="AG571" s="3">
        <f t="shared" si="33"/>
        <v>-0.45164576195767758</v>
      </c>
      <c r="AH571" s="3">
        <f t="shared" si="34"/>
        <v>569</v>
      </c>
    </row>
    <row r="572" spans="32:34" x14ac:dyDescent="0.2">
      <c r="AF572" s="3">
        <f t="shared" si="36"/>
        <v>6.7800000000000915E-2</v>
      </c>
      <c r="AG572" s="3">
        <f t="shared" si="33"/>
        <v>-0.45206495002253216</v>
      </c>
      <c r="AH572" s="3">
        <f t="shared" si="34"/>
        <v>570</v>
      </c>
    </row>
    <row r="573" spans="32:34" x14ac:dyDescent="0.2">
      <c r="AF573" s="3">
        <f t="shared" si="36"/>
        <v>6.7900000000000918E-2</v>
      </c>
      <c r="AG573" s="3">
        <f t="shared" si="33"/>
        <v>-0.45248377266365547</v>
      </c>
      <c r="AH573" s="3">
        <f t="shared" si="34"/>
        <v>571</v>
      </c>
    </row>
    <row r="574" spans="32:34" x14ac:dyDescent="0.2">
      <c r="AF574" s="3">
        <f t="shared" si="36"/>
        <v>6.8000000000000921E-2</v>
      </c>
      <c r="AG574" s="3">
        <f t="shared" si="33"/>
        <v>-0.45290223041922711</v>
      </c>
      <c r="AH574" s="3">
        <f t="shared" si="34"/>
        <v>572</v>
      </c>
    </row>
    <row r="575" spans="32:34" x14ac:dyDescent="0.2">
      <c r="AF575" s="3">
        <f t="shared" si="36"/>
        <v>6.8100000000000924E-2</v>
      </c>
      <c r="AG575" s="3">
        <f t="shared" si="33"/>
        <v>-0.45332032382584397</v>
      </c>
      <c r="AH575" s="3">
        <f t="shared" si="34"/>
        <v>573</v>
      </c>
    </row>
    <row r="576" spans="32:34" x14ac:dyDescent="0.2">
      <c r="AF576" s="3">
        <f t="shared" si="36"/>
        <v>6.8200000000000927E-2</v>
      </c>
      <c r="AG576" s="3">
        <f t="shared" si="33"/>
        <v>-0.45373805341852674</v>
      </c>
      <c r="AH576" s="3">
        <f t="shared" si="34"/>
        <v>574</v>
      </c>
    </row>
    <row r="577" spans="32:34" x14ac:dyDescent="0.2">
      <c r="AF577" s="3">
        <f t="shared" si="36"/>
        <v>6.8300000000000929E-2</v>
      </c>
      <c r="AG577" s="3">
        <f t="shared" si="33"/>
        <v>-0.45415541973072754</v>
      </c>
      <c r="AH577" s="3">
        <f t="shared" si="34"/>
        <v>575</v>
      </c>
    </row>
    <row r="578" spans="32:34" x14ac:dyDescent="0.2">
      <c r="AF578" s="3">
        <f t="shared" si="36"/>
        <v>6.8400000000000932E-2</v>
      </c>
      <c r="AG578" s="3">
        <f t="shared" si="33"/>
        <v>-0.45457242329433595</v>
      </c>
      <c r="AH578" s="3">
        <f t="shared" si="34"/>
        <v>576</v>
      </c>
    </row>
    <row r="579" spans="32:34" x14ac:dyDescent="0.2">
      <c r="AF579" s="3">
        <f t="shared" si="36"/>
        <v>6.8500000000000935E-2</v>
      </c>
      <c r="AG579" s="3">
        <f t="shared" ref="AG579:AG642" si="37">RT0*AF579*LN(AF579)</f>
        <v>-0.45498906463968675</v>
      </c>
      <c r="AH579" s="3">
        <f t="shared" si="34"/>
        <v>577</v>
      </c>
    </row>
    <row r="580" spans="32:34" x14ac:dyDescent="0.2">
      <c r="AF580" s="3">
        <f t="shared" si="36"/>
        <v>6.8600000000000938E-2</v>
      </c>
      <c r="AG580" s="3">
        <f t="shared" si="37"/>
        <v>-0.45540534429556595</v>
      </c>
      <c r="AH580" s="3">
        <f t="shared" si="34"/>
        <v>578</v>
      </c>
    </row>
    <row r="581" spans="32:34" x14ac:dyDescent="0.2">
      <c r="AF581" s="3">
        <f t="shared" si="36"/>
        <v>6.8700000000000941E-2</v>
      </c>
      <c r="AG581" s="3">
        <f t="shared" si="37"/>
        <v>-0.4558212627892182</v>
      </c>
      <c r="AH581" s="3">
        <f t="shared" ref="AH581:AH644" si="38">AH580+1</f>
        <v>579</v>
      </c>
    </row>
    <row r="582" spans="32:34" x14ac:dyDescent="0.2">
      <c r="AF582" s="3">
        <f t="shared" si="36"/>
        <v>6.8800000000000944E-2</v>
      </c>
      <c r="AG582" s="3">
        <f t="shared" si="37"/>
        <v>-0.4562368206463529</v>
      </c>
      <c r="AH582" s="3">
        <f t="shared" si="38"/>
        <v>580</v>
      </c>
    </row>
    <row r="583" spans="32:34" x14ac:dyDescent="0.2">
      <c r="AF583" s="3">
        <f t="shared" si="36"/>
        <v>6.8900000000000947E-2</v>
      </c>
      <c r="AG583" s="3">
        <f t="shared" si="37"/>
        <v>-0.45665201839115155</v>
      </c>
      <c r="AH583" s="3">
        <f t="shared" si="38"/>
        <v>581</v>
      </c>
    </row>
    <row r="584" spans="32:34" x14ac:dyDescent="0.2">
      <c r="AF584" s="3">
        <f t="shared" si="36"/>
        <v>6.9000000000000949E-2</v>
      </c>
      <c r="AG584" s="3">
        <f t="shared" si="37"/>
        <v>-0.45706685654627394</v>
      </c>
      <c r="AH584" s="3">
        <f t="shared" si="38"/>
        <v>582</v>
      </c>
    </row>
    <row r="585" spans="32:34" x14ac:dyDescent="0.2">
      <c r="AF585" s="3">
        <f t="shared" si="36"/>
        <v>6.9100000000000952E-2</v>
      </c>
      <c r="AG585" s="3">
        <f t="shared" si="37"/>
        <v>-0.45748133563286481</v>
      </c>
      <c r="AH585" s="3">
        <f t="shared" si="38"/>
        <v>583</v>
      </c>
    </row>
    <row r="586" spans="32:34" x14ac:dyDescent="0.2">
      <c r="AF586" s="3">
        <f t="shared" si="36"/>
        <v>6.9200000000000955E-2</v>
      </c>
      <c r="AG586" s="3">
        <f t="shared" si="37"/>
        <v>-0.4578954561705606</v>
      </c>
      <c r="AH586" s="3">
        <f t="shared" si="38"/>
        <v>584</v>
      </c>
    </row>
    <row r="587" spans="32:34" x14ac:dyDescent="0.2">
      <c r="AF587" s="3">
        <f t="shared" si="36"/>
        <v>6.9300000000000958E-2</v>
      </c>
      <c r="AG587" s="3">
        <f t="shared" si="37"/>
        <v>-0.45830921867749591</v>
      </c>
      <c r="AH587" s="3">
        <f t="shared" si="38"/>
        <v>585</v>
      </c>
    </row>
    <row r="588" spans="32:34" x14ac:dyDescent="0.2">
      <c r="AF588" s="3">
        <f t="shared" si="36"/>
        <v>6.9400000000000961E-2</v>
      </c>
      <c r="AG588" s="3">
        <f t="shared" si="37"/>
        <v>-0.45872262367031003</v>
      </c>
      <c r="AH588" s="3">
        <f t="shared" si="38"/>
        <v>586</v>
      </c>
    </row>
    <row r="589" spans="32:34" x14ac:dyDescent="0.2">
      <c r="AF589" s="3">
        <f t="shared" si="36"/>
        <v>6.9500000000000964E-2</v>
      </c>
      <c r="AG589" s="3">
        <f t="shared" si="37"/>
        <v>-0.45913567166415348</v>
      </c>
      <c r="AH589" s="3">
        <f t="shared" si="38"/>
        <v>587</v>
      </c>
    </row>
    <row r="590" spans="32:34" x14ac:dyDescent="0.2">
      <c r="AF590" s="3">
        <f t="shared" si="36"/>
        <v>6.9600000000000967E-2</v>
      </c>
      <c r="AG590" s="3">
        <f t="shared" si="37"/>
        <v>-0.45954836317269387</v>
      </c>
      <c r="AH590" s="3">
        <f t="shared" si="38"/>
        <v>588</v>
      </c>
    </row>
    <row r="591" spans="32:34" x14ac:dyDescent="0.2">
      <c r="AF591" s="3">
        <f t="shared" si="36"/>
        <v>6.970000000000097E-2</v>
      </c>
      <c r="AG591" s="3">
        <f t="shared" si="37"/>
        <v>-0.45996069870812339</v>
      </c>
      <c r="AH591" s="3">
        <f t="shared" si="38"/>
        <v>589</v>
      </c>
    </row>
    <row r="592" spans="32:34" x14ac:dyDescent="0.2">
      <c r="AF592" s="3">
        <f t="shared" si="36"/>
        <v>6.9800000000000972E-2</v>
      </c>
      <c r="AG592" s="3">
        <f t="shared" si="37"/>
        <v>-0.46037267878116422</v>
      </c>
      <c r="AH592" s="3">
        <f t="shared" si="38"/>
        <v>590</v>
      </c>
    </row>
    <row r="593" spans="32:34" x14ac:dyDescent="0.2">
      <c r="AF593" s="3">
        <f t="shared" si="36"/>
        <v>6.9900000000000975E-2</v>
      </c>
      <c r="AG593" s="3">
        <f t="shared" si="37"/>
        <v>-0.46078430390107483</v>
      </c>
      <c r="AH593" s="3">
        <f t="shared" si="38"/>
        <v>591</v>
      </c>
    </row>
    <row r="594" spans="32:34" x14ac:dyDescent="0.2">
      <c r="AF594" s="3">
        <f t="shared" si="36"/>
        <v>7.0000000000000978E-2</v>
      </c>
      <c r="AG594" s="3">
        <f t="shared" si="37"/>
        <v>-0.46119557457565719</v>
      </c>
      <c r="AH594" s="3">
        <f t="shared" si="38"/>
        <v>592</v>
      </c>
    </row>
    <row r="595" spans="32:34" x14ac:dyDescent="0.2">
      <c r="AF595" s="3">
        <f t="shared" si="36"/>
        <v>7.0100000000000981E-2</v>
      </c>
      <c r="AG595" s="3">
        <f t="shared" si="37"/>
        <v>-0.46160649131126202</v>
      </c>
      <c r="AH595" s="3">
        <f t="shared" si="38"/>
        <v>593</v>
      </c>
    </row>
    <row r="596" spans="32:34" x14ac:dyDescent="0.2">
      <c r="AF596" s="3">
        <f t="shared" si="36"/>
        <v>7.0200000000000984E-2</v>
      </c>
      <c r="AG596" s="3">
        <f t="shared" si="37"/>
        <v>-0.46201705461279546</v>
      </c>
      <c r="AH596" s="3">
        <f t="shared" si="38"/>
        <v>594</v>
      </c>
    </row>
    <row r="597" spans="32:34" x14ac:dyDescent="0.2">
      <c r="AF597" s="3">
        <f t="shared" si="36"/>
        <v>7.0300000000000987E-2</v>
      </c>
      <c r="AG597" s="3">
        <f t="shared" si="37"/>
        <v>-0.46242726498372522</v>
      </c>
      <c r="AH597" s="3">
        <f t="shared" si="38"/>
        <v>595</v>
      </c>
    </row>
    <row r="598" spans="32:34" x14ac:dyDescent="0.2">
      <c r="AF598" s="3">
        <f t="shared" si="36"/>
        <v>7.040000000000099E-2</v>
      </c>
      <c r="AG598" s="3">
        <f t="shared" si="37"/>
        <v>-0.46283712292608659</v>
      </c>
      <c r="AH598" s="3">
        <f t="shared" si="38"/>
        <v>596</v>
      </c>
    </row>
    <row r="599" spans="32:34" x14ac:dyDescent="0.2">
      <c r="AF599" s="3">
        <f t="shared" si="36"/>
        <v>7.0500000000000992E-2</v>
      </c>
      <c r="AG599" s="3">
        <f t="shared" si="37"/>
        <v>-0.46324662894048868</v>
      </c>
      <c r="AH599" s="3">
        <f t="shared" si="38"/>
        <v>597</v>
      </c>
    </row>
    <row r="600" spans="32:34" x14ac:dyDescent="0.2">
      <c r="AF600" s="3">
        <f t="shared" si="36"/>
        <v>7.0600000000000995E-2</v>
      </c>
      <c r="AG600" s="3">
        <f t="shared" si="37"/>
        <v>-0.46365578352612052</v>
      </c>
      <c r="AH600" s="3">
        <f t="shared" si="38"/>
        <v>598</v>
      </c>
    </row>
    <row r="601" spans="32:34" x14ac:dyDescent="0.2">
      <c r="AF601" s="3">
        <f t="shared" si="36"/>
        <v>7.0700000000000998E-2</v>
      </c>
      <c r="AG601" s="3">
        <f t="shared" si="37"/>
        <v>-0.46406458718075683</v>
      </c>
      <c r="AH601" s="3">
        <f t="shared" si="38"/>
        <v>599</v>
      </c>
    </row>
    <row r="602" spans="32:34" x14ac:dyDescent="0.2">
      <c r="AF602" s="3">
        <f t="shared" si="36"/>
        <v>7.0800000000001001E-2</v>
      </c>
      <c r="AG602" s="3">
        <f t="shared" si="37"/>
        <v>-0.46447304040076426</v>
      </c>
      <c r="AH602" s="3">
        <f t="shared" si="38"/>
        <v>600</v>
      </c>
    </row>
    <row r="603" spans="32:34" x14ac:dyDescent="0.2">
      <c r="AF603" s="3">
        <f t="shared" si="36"/>
        <v>7.0900000000001004E-2</v>
      </c>
      <c r="AG603" s="3">
        <f t="shared" si="37"/>
        <v>-0.46488114368110728</v>
      </c>
      <c r="AH603" s="3">
        <f t="shared" si="38"/>
        <v>601</v>
      </c>
    </row>
    <row r="604" spans="32:34" x14ac:dyDescent="0.2">
      <c r="AF604" s="3">
        <f t="shared" si="36"/>
        <v>7.1000000000001007E-2</v>
      </c>
      <c r="AG604" s="3">
        <f t="shared" si="37"/>
        <v>-0.46528889751535424</v>
      </c>
      <c r="AH604" s="3">
        <f t="shared" si="38"/>
        <v>602</v>
      </c>
    </row>
    <row r="605" spans="32:34" x14ac:dyDescent="0.2">
      <c r="AF605" s="3">
        <f t="shared" si="36"/>
        <v>7.110000000000101E-2</v>
      </c>
      <c r="AG605" s="3">
        <f t="shared" si="37"/>
        <v>-0.46569630239568288</v>
      </c>
      <c r="AH605" s="3">
        <f t="shared" si="38"/>
        <v>603</v>
      </c>
    </row>
    <row r="606" spans="32:34" x14ac:dyDescent="0.2">
      <c r="AF606" s="3">
        <f t="shared" si="36"/>
        <v>7.1200000000001012E-2</v>
      </c>
      <c r="AG606" s="3">
        <f t="shared" si="37"/>
        <v>-0.46610335881288689</v>
      </c>
      <c r="AH606" s="3">
        <f t="shared" si="38"/>
        <v>604</v>
      </c>
    </row>
    <row r="607" spans="32:34" x14ac:dyDescent="0.2">
      <c r="AF607" s="3">
        <f t="shared" si="36"/>
        <v>7.1300000000001015E-2</v>
      </c>
      <c r="AG607" s="3">
        <f t="shared" si="37"/>
        <v>-0.466510067256381</v>
      </c>
      <c r="AH607" s="3">
        <f t="shared" si="38"/>
        <v>605</v>
      </c>
    </row>
    <row r="608" spans="32:34" x14ac:dyDescent="0.2">
      <c r="AF608" s="3">
        <f t="shared" si="36"/>
        <v>7.1400000000001018E-2</v>
      </c>
      <c r="AG608" s="3">
        <f t="shared" si="37"/>
        <v>-0.46691642821420715</v>
      </c>
      <c r="AH608" s="3">
        <f t="shared" si="38"/>
        <v>606</v>
      </c>
    </row>
    <row r="609" spans="32:34" x14ac:dyDescent="0.2">
      <c r="AF609" s="3">
        <f t="shared" si="36"/>
        <v>7.1500000000001021E-2</v>
      </c>
      <c r="AG609" s="3">
        <f t="shared" si="37"/>
        <v>-0.46732244217304031</v>
      </c>
      <c r="AH609" s="3">
        <f t="shared" si="38"/>
        <v>607</v>
      </c>
    </row>
    <row r="610" spans="32:34" x14ac:dyDescent="0.2">
      <c r="AF610" s="3">
        <f t="shared" si="36"/>
        <v>7.1600000000001024E-2</v>
      </c>
      <c r="AG610" s="3">
        <f t="shared" si="37"/>
        <v>-0.46772810961819417</v>
      </c>
      <c r="AH610" s="3">
        <f t="shared" si="38"/>
        <v>608</v>
      </c>
    </row>
    <row r="611" spans="32:34" x14ac:dyDescent="0.2">
      <c r="AF611" s="3">
        <f t="shared" si="36"/>
        <v>7.1700000000001027E-2</v>
      </c>
      <c r="AG611" s="3">
        <f t="shared" si="37"/>
        <v>-0.46813343103362648</v>
      </c>
      <c r="AH611" s="3">
        <f t="shared" si="38"/>
        <v>609</v>
      </c>
    </row>
    <row r="612" spans="32:34" x14ac:dyDescent="0.2">
      <c r="AF612" s="3">
        <f t="shared" si="36"/>
        <v>7.180000000000103E-2</v>
      </c>
      <c r="AG612" s="3">
        <f t="shared" si="37"/>
        <v>-0.46853840690194537</v>
      </c>
      <c r="AH612" s="3">
        <f t="shared" si="38"/>
        <v>610</v>
      </c>
    </row>
    <row r="613" spans="32:34" x14ac:dyDescent="0.2">
      <c r="AF613" s="3">
        <f t="shared" si="36"/>
        <v>7.1900000000001033E-2</v>
      </c>
      <c r="AG613" s="3">
        <f t="shared" si="37"/>
        <v>-0.46894303770441459</v>
      </c>
      <c r="AH613" s="3">
        <f t="shared" si="38"/>
        <v>611</v>
      </c>
    </row>
    <row r="614" spans="32:34" x14ac:dyDescent="0.2">
      <c r="AF614" s="3">
        <f t="shared" si="36"/>
        <v>7.2000000000001035E-2</v>
      </c>
      <c r="AG614" s="3">
        <f t="shared" si="37"/>
        <v>-0.46934732392095907</v>
      </c>
      <c r="AH614" s="3">
        <f t="shared" si="38"/>
        <v>612</v>
      </c>
    </row>
    <row r="615" spans="32:34" x14ac:dyDescent="0.2">
      <c r="AF615" s="3">
        <f t="shared" si="36"/>
        <v>7.2100000000001038E-2</v>
      </c>
      <c r="AG615" s="3">
        <f t="shared" si="37"/>
        <v>-0.4697512660301707</v>
      </c>
      <c r="AH615" s="3">
        <f t="shared" si="38"/>
        <v>613</v>
      </c>
    </row>
    <row r="616" spans="32:34" x14ac:dyDescent="0.2">
      <c r="AF616" s="3">
        <f t="shared" si="36"/>
        <v>7.2200000000001041E-2</v>
      </c>
      <c r="AG616" s="3">
        <f t="shared" si="37"/>
        <v>-0.47015486450931376</v>
      </c>
      <c r="AH616" s="3">
        <f t="shared" si="38"/>
        <v>614</v>
      </c>
    </row>
    <row r="617" spans="32:34" x14ac:dyDescent="0.2">
      <c r="AF617" s="3">
        <f t="shared" si="36"/>
        <v>7.2300000000001044E-2</v>
      </c>
      <c r="AG617" s="3">
        <f t="shared" si="37"/>
        <v>-0.47055811983433049</v>
      </c>
      <c r="AH617" s="3">
        <f t="shared" si="38"/>
        <v>615</v>
      </c>
    </row>
    <row r="618" spans="32:34" x14ac:dyDescent="0.2">
      <c r="AF618" s="3">
        <f t="shared" si="36"/>
        <v>7.2400000000001047E-2</v>
      </c>
      <c r="AG618" s="3">
        <f t="shared" si="37"/>
        <v>-0.47096103247984661</v>
      </c>
      <c r="AH618" s="3">
        <f t="shared" si="38"/>
        <v>616</v>
      </c>
    </row>
    <row r="619" spans="32:34" x14ac:dyDescent="0.2">
      <c r="AF619" s="3">
        <f t="shared" si="36"/>
        <v>7.250000000000105E-2</v>
      </c>
      <c r="AG619" s="3">
        <f t="shared" si="37"/>
        <v>-0.47136360291917645</v>
      </c>
      <c r="AH619" s="3">
        <f t="shared" si="38"/>
        <v>617</v>
      </c>
    </row>
    <row r="620" spans="32:34" x14ac:dyDescent="0.2">
      <c r="AF620" s="3">
        <f t="shared" si="36"/>
        <v>7.2600000000001053E-2</v>
      </c>
      <c r="AG620" s="3">
        <f t="shared" si="37"/>
        <v>-0.471765831624329</v>
      </c>
      <c r="AH620" s="3">
        <f t="shared" si="38"/>
        <v>618</v>
      </c>
    </row>
    <row r="621" spans="32:34" x14ac:dyDescent="0.2">
      <c r="AF621" s="3">
        <f t="shared" si="36"/>
        <v>7.2700000000001055E-2</v>
      </c>
      <c r="AG621" s="3">
        <f t="shared" si="37"/>
        <v>-0.47216771906601279</v>
      </c>
      <c r="AH621" s="3">
        <f t="shared" si="38"/>
        <v>619</v>
      </c>
    </row>
    <row r="622" spans="32:34" x14ac:dyDescent="0.2">
      <c r="AF622" s="3">
        <f t="shared" si="36"/>
        <v>7.2800000000001058E-2</v>
      </c>
      <c r="AG622" s="3">
        <f t="shared" si="37"/>
        <v>-0.47256926571364133</v>
      </c>
      <c r="AH622" s="3">
        <f t="shared" si="38"/>
        <v>620</v>
      </c>
    </row>
    <row r="623" spans="32:34" x14ac:dyDescent="0.2">
      <c r="AF623" s="3">
        <f t="shared" si="36"/>
        <v>7.2900000000001061E-2</v>
      </c>
      <c r="AG623" s="3">
        <f t="shared" si="37"/>
        <v>-0.47297047203533865</v>
      </c>
      <c r="AH623" s="3">
        <f t="shared" si="38"/>
        <v>621</v>
      </c>
    </row>
    <row r="624" spans="32:34" x14ac:dyDescent="0.2">
      <c r="AF624" s="3">
        <f t="shared" si="36"/>
        <v>7.3000000000001064E-2</v>
      </c>
      <c r="AG624" s="3">
        <f t="shared" si="37"/>
        <v>-0.47337133849794455</v>
      </c>
      <c r="AH624" s="3">
        <f t="shared" si="38"/>
        <v>622</v>
      </c>
    </row>
    <row r="625" spans="32:34" x14ac:dyDescent="0.2">
      <c r="AF625" s="3">
        <f t="shared" si="36"/>
        <v>7.3100000000001067E-2</v>
      </c>
      <c r="AG625" s="3">
        <f t="shared" si="37"/>
        <v>-0.47377186556701961</v>
      </c>
      <c r="AH625" s="3">
        <f t="shared" si="38"/>
        <v>623</v>
      </c>
    </row>
    <row r="626" spans="32:34" x14ac:dyDescent="0.2">
      <c r="AF626" s="3">
        <f t="shared" si="36"/>
        <v>7.320000000000107E-2</v>
      </c>
      <c r="AG626" s="3">
        <f t="shared" si="37"/>
        <v>-0.47417205370685078</v>
      </c>
      <c r="AH626" s="3">
        <f t="shared" si="38"/>
        <v>624</v>
      </c>
    </row>
    <row r="627" spans="32:34" x14ac:dyDescent="0.2">
      <c r="AF627" s="3">
        <f t="shared" si="36"/>
        <v>7.3300000000001073E-2</v>
      </c>
      <c r="AG627" s="3">
        <f t="shared" si="37"/>
        <v>-0.47457190338045663</v>
      </c>
      <c r="AH627" s="3">
        <f t="shared" si="38"/>
        <v>625</v>
      </c>
    </row>
    <row r="628" spans="32:34" x14ac:dyDescent="0.2">
      <c r="AF628" s="3">
        <f t="shared" si="36"/>
        <v>7.3400000000001075E-2</v>
      </c>
      <c r="AG628" s="3">
        <f t="shared" si="37"/>
        <v>-0.47497141504959184</v>
      </c>
      <c r="AH628" s="3">
        <f t="shared" si="38"/>
        <v>626</v>
      </c>
    </row>
    <row r="629" spans="32:34" x14ac:dyDescent="0.2">
      <c r="AF629" s="3">
        <f t="shared" si="36"/>
        <v>7.3500000000001078E-2</v>
      </c>
      <c r="AG629" s="3">
        <f t="shared" si="37"/>
        <v>-0.47537058917475344</v>
      </c>
      <c r="AH629" s="3">
        <f t="shared" si="38"/>
        <v>627</v>
      </c>
    </row>
    <row r="630" spans="32:34" x14ac:dyDescent="0.2">
      <c r="AF630" s="3">
        <f t="shared" si="36"/>
        <v>7.3600000000001081E-2</v>
      </c>
      <c r="AG630" s="3">
        <f t="shared" si="37"/>
        <v>-0.47576942621518514</v>
      </c>
      <c r="AH630" s="3">
        <f t="shared" si="38"/>
        <v>628</v>
      </c>
    </row>
    <row r="631" spans="32:34" x14ac:dyDescent="0.2">
      <c r="AF631" s="3">
        <f t="shared" ref="AF631:AF694" si="39">AF630+0.0001</f>
        <v>7.3700000000001084E-2</v>
      </c>
      <c r="AG631" s="3">
        <f t="shared" si="37"/>
        <v>-0.47616792662888285</v>
      </c>
      <c r="AH631" s="3">
        <f t="shared" si="38"/>
        <v>629</v>
      </c>
    </row>
    <row r="632" spans="32:34" x14ac:dyDescent="0.2">
      <c r="AF632" s="3">
        <f t="shared" si="39"/>
        <v>7.3800000000001087E-2</v>
      </c>
      <c r="AG632" s="3">
        <f t="shared" si="37"/>
        <v>-0.4765660908725996</v>
      </c>
      <c r="AH632" s="3">
        <f t="shared" si="38"/>
        <v>630</v>
      </c>
    </row>
    <row r="633" spans="32:34" x14ac:dyDescent="0.2">
      <c r="AF633" s="3">
        <f t="shared" si="39"/>
        <v>7.390000000000109E-2</v>
      </c>
      <c r="AG633" s="3">
        <f t="shared" si="37"/>
        <v>-0.4769639194018504</v>
      </c>
      <c r="AH633" s="3">
        <f t="shared" si="38"/>
        <v>631</v>
      </c>
    </row>
    <row r="634" spans="32:34" x14ac:dyDescent="0.2">
      <c r="AF634" s="3">
        <f t="shared" si="39"/>
        <v>7.4000000000001093E-2</v>
      </c>
      <c r="AG634" s="3">
        <f t="shared" si="37"/>
        <v>-0.47736141267091775</v>
      </c>
      <c r="AH634" s="3">
        <f t="shared" si="38"/>
        <v>632</v>
      </c>
    </row>
    <row r="635" spans="32:34" x14ac:dyDescent="0.2">
      <c r="AF635" s="3">
        <f t="shared" si="39"/>
        <v>7.4100000000001096E-2</v>
      </c>
      <c r="AG635" s="3">
        <f t="shared" si="37"/>
        <v>-0.47775857113285614</v>
      </c>
      <c r="AH635" s="3">
        <f t="shared" si="38"/>
        <v>633</v>
      </c>
    </row>
    <row r="636" spans="32:34" x14ac:dyDescent="0.2">
      <c r="AF636" s="3">
        <f t="shared" si="39"/>
        <v>7.4200000000001098E-2</v>
      </c>
      <c r="AG636" s="3">
        <f t="shared" si="37"/>
        <v>-0.47815539523949746</v>
      </c>
      <c r="AH636" s="3">
        <f t="shared" si="38"/>
        <v>634</v>
      </c>
    </row>
    <row r="637" spans="32:34" x14ac:dyDescent="0.2">
      <c r="AF637" s="3">
        <f t="shared" si="39"/>
        <v>7.4300000000001101E-2</v>
      </c>
      <c r="AG637" s="3">
        <f t="shared" si="37"/>
        <v>-0.47855188544145538</v>
      </c>
      <c r="AH637" s="3">
        <f t="shared" si="38"/>
        <v>635</v>
      </c>
    </row>
    <row r="638" spans="32:34" x14ac:dyDescent="0.2">
      <c r="AF638" s="3">
        <f t="shared" si="39"/>
        <v>7.4400000000001104E-2</v>
      </c>
      <c r="AG638" s="3">
        <f t="shared" si="37"/>
        <v>-0.47894804218813092</v>
      </c>
      <c r="AH638" s="3">
        <f t="shared" si="38"/>
        <v>636</v>
      </c>
    </row>
    <row r="639" spans="32:34" x14ac:dyDescent="0.2">
      <c r="AF639" s="3">
        <f t="shared" si="39"/>
        <v>7.4500000000001107E-2</v>
      </c>
      <c r="AG639" s="3">
        <f t="shared" si="37"/>
        <v>-0.47934386592771699</v>
      </c>
      <c r="AH639" s="3">
        <f t="shared" si="38"/>
        <v>637</v>
      </c>
    </row>
    <row r="640" spans="32:34" x14ac:dyDescent="0.2">
      <c r="AF640" s="3">
        <f t="shared" si="39"/>
        <v>7.460000000000111E-2</v>
      </c>
      <c r="AG640" s="3">
        <f t="shared" si="37"/>
        <v>-0.47973935710720322</v>
      </c>
      <c r="AH640" s="3">
        <f t="shared" si="38"/>
        <v>638</v>
      </c>
    </row>
    <row r="641" spans="32:34" x14ac:dyDescent="0.2">
      <c r="AF641" s="3">
        <f t="shared" si="39"/>
        <v>7.4700000000001113E-2</v>
      </c>
      <c r="AG641" s="3">
        <f t="shared" si="37"/>
        <v>-0.48013451617238079</v>
      </c>
      <c r="AH641" s="3">
        <f t="shared" si="38"/>
        <v>639</v>
      </c>
    </row>
    <row r="642" spans="32:34" x14ac:dyDescent="0.2">
      <c r="AF642" s="3">
        <f t="shared" si="39"/>
        <v>7.4800000000001116E-2</v>
      </c>
      <c r="AG642" s="3">
        <f t="shared" si="37"/>
        <v>-0.48052934356784754</v>
      </c>
      <c r="AH642" s="3">
        <f t="shared" si="38"/>
        <v>640</v>
      </c>
    </row>
    <row r="643" spans="32:34" x14ac:dyDescent="0.2">
      <c r="AF643" s="3">
        <f t="shared" si="39"/>
        <v>7.4900000000001118E-2</v>
      </c>
      <c r="AG643" s="3">
        <f t="shared" ref="AG643:AG706" si="40">RT0*AF643*LN(AF643)</f>
        <v>-0.48092383973701247</v>
      </c>
      <c r="AH643" s="3">
        <f t="shared" si="38"/>
        <v>641</v>
      </c>
    </row>
    <row r="644" spans="32:34" x14ac:dyDescent="0.2">
      <c r="AF644" s="3">
        <f t="shared" si="39"/>
        <v>7.5000000000001121E-2</v>
      </c>
      <c r="AG644" s="3">
        <f t="shared" si="40"/>
        <v>-0.48131800512210043</v>
      </c>
      <c r="AH644" s="3">
        <f t="shared" si="38"/>
        <v>642</v>
      </c>
    </row>
    <row r="645" spans="32:34" x14ac:dyDescent="0.2">
      <c r="AF645" s="3">
        <f t="shared" si="39"/>
        <v>7.5100000000001124E-2</v>
      </c>
      <c r="AG645" s="3">
        <f t="shared" si="40"/>
        <v>-0.4817118401641573</v>
      </c>
      <c r="AH645" s="3">
        <f t="shared" ref="AH645:AH708" si="41">AH644+1</f>
        <v>643</v>
      </c>
    </row>
    <row r="646" spans="32:34" x14ac:dyDescent="0.2">
      <c r="AF646" s="3">
        <f t="shared" si="39"/>
        <v>7.5200000000001127E-2</v>
      </c>
      <c r="AG646" s="3">
        <f t="shared" si="40"/>
        <v>-0.48210534530305399</v>
      </c>
      <c r="AH646" s="3">
        <f t="shared" si="41"/>
        <v>644</v>
      </c>
    </row>
    <row r="647" spans="32:34" x14ac:dyDescent="0.2">
      <c r="AF647" s="3">
        <f t="shared" si="39"/>
        <v>7.530000000000113E-2</v>
      </c>
      <c r="AG647" s="3">
        <f t="shared" si="40"/>
        <v>-0.48249852097749185</v>
      </c>
      <c r="AH647" s="3">
        <f t="shared" si="41"/>
        <v>645</v>
      </c>
    </row>
    <row r="648" spans="32:34" x14ac:dyDescent="0.2">
      <c r="AF648" s="3">
        <f t="shared" si="39"/>
        <v>7.5400000000001133E-2</v>
      </c>
      <c r="AG648" s="3">
        <f t="shared" si="40"/>
        <v>-0.48289136762500701</v>
      </c>
      <c r="AH648" s="3">
        <f t="shared" si="41"/>
        <v>646</v>
      </c>
    </row>
    <row r="649" spans="32:34" x14ac:dyDescent="0.2">
      <c r="AF649" s="3">
        <f t="shared" si="39"/>
        <v>7.5500000000001136E-2</v>
      </c>
      <c r="AG649" s="3">
        <f t="shared" si="40"/>
        <v>-0.48328388568197483</v>
      </c>
      <c r="AH649" s="3">
        <f t="shared" si="41"/>
        <v>647</v>
      </c>
    </row>
    <row r="650" spans="32:34" x14ac:dyDescent="0.2">
      <c r="AF650" s="3">
        <f t="shared" si="39"/>
        <v>7.5600000000001139E-2</v>
      </c>
      <c r="AG650" s="3">
        <f t="shared" si="40"/>
        <v>-0.48367607558361503</v>
      </c>
      <c r="AH650" s="3">
        <f t="shared" si="41"/>
        <v>648</v>
      </c>
    </row>
    <row r="651" spans="32:34" x14ac:dyDescent="0.2">
      <c r="AF651" s="3">
        <f t="shared" si="39"/>
        <v>7.5700000000001141E-2</v>
      </c>
      <c r="AG651" s="3">
        <f t="shared" si="40"/>
        <v>-0.48406793776399559</v>
      </c>
      <c r="AH651" s="3">
        <f t="shared" si="41"/>
        <v>649</v>
      </c>
    </row>
    <row r="652" spans="32:34" x14ac:dyDescent="0.2">
      <c r="AF652" s="3">
        <f t="shared" si="39"/>
        <v>7.5800000000001144E-2</v>
      </c>
      <c r="AG652" s="3">
        <f t="shared" si="40"/>
        <v>-0.48445947265603789</v>
      </c>
      <c r="AH652" s="3">
        <f t="shared" si="41"/>
        <v>650</v>
      </c>
    </row>
    <row r="653" spans="32:34" x14ac:dyDescent="0.2">
      <c r="AF653" s="3">
        <f t="shared" si="39"/>
        <v>7.5900000000001147E-2</v>
      </c>
      <c r="AG653" s="3">
        <f t="shared" si="40"/>
        <v>-0.4848506806915211</v>
      </c>
      <c r="AH653" s="3">
        <f t="shared" si="41"/>
        <v>651</v>
      </c>
    </row>
    <row r="654" spans="32:34" x14ac:dyDescent="0.2">
      <c r="AF654" s="3">
        <f t="shared" si="39"/>
        <v>7.600000000000115E-2</v>
      </c>
      <c r="AG654" s="3">
        <f t="shared" si="40"/>
        <v>-0.48524156230108634</v>
      </c>
      <c r="AH654" s="3">
        <f t="shared" si="41"/>
        <v>652</v>
      </c>
    </row>
    <row r="655" spans="32:34" x14ac:dyDescent="0.2">
      <c r="AF655" s="3">
        <f t="shared" si="39"/>
        <v>7.6100000000001153E-2</v>
      </c>
      <c r="AG655" s="3">
        <f t="shared" si="40"/>
        <v>-0.48563211791424166</v>
      </c>
      <c r="AH655" s="3">
        <f t="shared" si="41"/>
        <v>653</v>
      </c>
    </row>
    <row r="656" spans="32:34" x14ac:dyDescent="0.2">
      <c r="AF656" s="3">
        <f t="shared" si="39"/>
        <v>7.6200000000001156E-2</v>
      </c>
      <c r="AG656" s="3">
        <f t="shared" si="40"/>
        <v>-0.4860223479593665</v>
      </c>
      <c r="AH656" s="3">
        <f t="shared" si="41"/>
        <v>654</v>
      </c>
    </row>
    <row r="657" spans="32:34" x14ac:dyDescent="0.2">
      <c r="AF657" s="3">
        <f t="shared" si="39"/>
        <v>7.6300000000001159E-2</v>
      </c>
      <c r="AG657" s="3">
        <f t="shared" si="40"/>
        <v>-0.48641225286371553</v>
      </c>
      <c r="AH657" s="3">
        <f t="shared" si="41"/>
        <v>655</v>
      </c>
    </row>
    <row r="658" spans="32:34" x14ac:dyDescent="0.2">
      <c r="AF658" s="3">
        <f t="shared" si="39"/>
        <v>7.6400000000001161E-2</v>
      </c>
      <c r="AG658" s="3">
        <f t="shared" si="40"/>
        <v>-0.48680183305342367</v>
      </c>
      <c r="AH658" s="3">
        <f t="shared" si="41"/>
        <v>656</v>
      </c>
    </row>
    <row r="659" spans="32:34" x14ac:dyDescent="0.2">
      <c r="AF659" s="3">
        <f t="shared" si="39"/>
        <v>7.6500000000001164E-2</v>
      </c>
      <c r="AG659" s="3">
        <f t="shared" si="40"/>
        <v>-0.48719108895351054</v>
      </c>
      <c r="AH659" s="3">
        <f t="shared" si="41"/>
        <v>657</v>
      </c>
    </row>
    <row r="660" spans="32:34" x14ac:dyDescent="0.2">
      <c r="AF660" s="3">
        <f t="shared" si="39"/>
        <v>7.6600000000001167E-2</v>
      </c>
      <c r="AG660" s="3">
        <f t="shared" si="40"/>
        <v>-0.48758002098788417</v>
      </c>
      <c r="AH660" s="3">
        <f t="shared" si="41"/>
        <v>658</v>
      </c>
    </row>
    <row r="661" spans="32:34" x14ac:dyDescent="0.2">
      <c r="AF661" s="3">
        <f t="shared" si="39"/>
        <v>7.670000000000117E-2</v>
      </c>
      <c r="AG661" s="3">
        <f t="shared" si="40"/>
        <v>-0.48796862957934611</v>
      </c>
      <c r="AH661" s="3">
        <f t="shared" si="41"/>
        <v>659</v>
      </c>
    </row>
    <row r="662" spans="32:34" x14ac:dyDescent="0.2">
      <c r="AF662" s="3">
        <f t="shared" si="39"/>
        <v>7.6800000000001173E-2</v>
      </c>
      <c r="AG662" s="3">
        <f t="shared" si="40"/>
        <v>-0.48835691514959539</v>
      </c>
      <c r="AH662" s="3">
        <f t="shared" si="41"/>
        <v>660</v>
      </c>
    </row>
    <row r="663" spans="32:34" x14ac:dyDescent="0.2">
      <c r="AF663" s="3">
        <f t="shared" si="39"/>
        <v>7.6900000000001176E-2</v>
      </c>
      <c r="AG663" s="3">
        <f t="shared" si="40"/>
        <v>-0.48874487811923262</v>
      </c>
      <c r="AH663" s="3">
        <f t="shared" si="41"/>
        <v>661</v>
      </c>
    </row>
    <row r="664" spans="32:34" x14ac:dyDescent="0.2">
      <c r="AF664" s="3">
        <f t="shared" si="39"/>
        <v>7.7000000000001179E-2</v>
      </c>
      <c r="AG664" s="3">
        <f t="shared" si="40"/>
        <v>-0.48913251890776471</v>
      </c>
      <c r="AH664" s="3">
        <f t="shared" si="41"/>
        <v>662</v>
      </c>
    </row>
    <row r="665" spans="32:34" x14ac:dyDescent="0.2">
      <c r="AF665" s="3">
        <f t="shared" si="39"/>
        <v>7.7100000000001181E-2</v>
      </c>
      <c r="AG665" s="3">
        <f t="shared" si="40"/>
        <v>-0.48951983793360893</v>
      </c>
      <c r="AH665" s="3">
        <f t="shared" si="41"/>
        <v>663</v>
      </c>
    </row>
    <row r="666" spans="32:34" x14ac:dyDescent="0.2">
      <c r="AF666" s="3">
        <f t="shared" si="39"/>
        <v>7.7200000000001184E-2</v>
      </c>
      <c r="AG666" s="3">
        <f t="shared" si="40"/>
        <v>-0.48990683561409715</v>
      </c>
      <c r="AH666" s="3">
        <f t="shared" si="41"/>
        <v>664</v>
      </c>
    </row>
    <row r="667" spans="32:34" x14ac:dyDescent="0.2">
      <c r="AF667" s="3">
        <f t="shared" si="39"/>
        <v>7.7300000000001187E-2</v>
      </c>
      <c r="AG667" s="3">
        <f t="shared" si="40"/>
        <v>-0.49029351236548008</v>
      </c>
      <c r="AH667" s="3">
        <f t="shared" si="41"/>
        <v>665</v>
      </c>
    </row>
    <row r="668" spans="32:34" x14ac:dyDescent="0.2">
      <c r="AF668" s="3">
        <f t="shared" si="39"/>
        <v>7.740000000000119E-2</v>
      </c>
      <c r="AG668" s="3">
        <f t="shared" si="40"/>
        <v>-0.4906798686029315</v>
      </c>
      <c r="AH668" s="3">
        <f t="shared" si="41"/>
        <v>666</v>
      </c>
    </row>
    <row r="669" spans="32:34" x14ac:dyDescent="0.2">
      <c r="AF669" s="3">
        <f t="shared" si="39"/>
        <v>7.7500000000001193E-2</v>
      </c>
      <c r="AG669" s="3">
        <f t="shared" si="40"/>
        <v>-0.49106590474055223</v>
      </c>
      <c r="AH669" s="3">
        <f t="shared" si="41"/>
        <v>667</v>
      </c>
    </row>
    <row r="670" spans="32:34" x14ac:dyDescent="0.2">
      <c r="AF670" s="3">
        <f t="shared" si="39"/>
        <v>7.7600000000001196E-2</v>
      </c>
      <c r="AG670" s="3">
        <f t="shared" si="40"/>
        <v>-0.49145162119137459</v>
      </c>
      <c r="AH670" s="3">
        <f t="shared" si="41"/>
        <v>668</v>
      </c>
    </row>
    <row r="671" spans="32:34" x14ac:dyDescent="0.2">
      <c r="AF671" s="3">
        <f t="shared" si="39"/>
        <v>7.7700000000001199E-2</v>
      </c>
      <c r="AG671" s="3">
        <f t="shared" si="40"/>
        <v>-0.49183701836736637</v>
      </c>
      <c r="AH671" s="3">
        <f t="shared" si="41"/>
        <v>669</v>
      </c>
    </row>
    <row r="672" spans="32:34" x14ac:dyDescent="0.2">
      <c r="AF672" s="3">
        <f t="shared" si="39"/>
        <v>7.7800000000001202E-2</v>
      </c>
      <c r="AG672" s="3">
        <f t="shared" si="40"/>
        <v>-0.49222209667943484</v>
      </c>
      <c r="AH672" s="3">
        <f t="shared" si="41"/>
        <v>670</v>
      </c>
    </row>
    <row r="673" spans="32:34" x14ac:dyDescent="0.2">
      <c r="AF673" s="3">
        <f t="shared" si="39"/>
        <v>7.7900000000001204E-2</v>
      </c>
      <c r="AG673" s="3">
        <f t="shared" si="40"/>
        <v>-0.49260685653743091</v>
      </c>
      <c r="AH673" s="3">
        <f t="shared" si="41"/>
        <v>671</v>
      </c>
    </row>
    <row r="674" spans="32:34" x14ac:dyDescent="0.2">
      <c r="AF674" s="3">
        <f t="shared" si="39"/>
        <v>7.8000000000001207E-2</v>
      </c>
      <c r="AG674" s="3">
        <f t="shared" si="40"/>
        <v>-0.49299129835015365</v>
      </c>
      <c r="AH674" s="3">
        <f t="shared" si="41"/>
        <v>672</v>
      </c>
    </row>
    <row r="675" spans="32:34" x14ac:dyDescent="0.2">
      <c r="AF675" s="3">
        <f t="shared" si="39"/>
        <v>7.810000000000121E-2</v>
      </c>
      <c r="AG675" s="3">
        <f t="shared" si="40"/>
        <v>-0.49337542252535344</v>
      </c>
      <c r="AH675" s="3">
        <f t="shared" si="41"/>
        <v>673</v>
      </c>
    </row>
    <row r="676" spans="32:34" x14ac:dyDescent="0.2">
      <c r="AF676" s="3">
        <f t="shared" si="39"/>
        <v>7.8200000000001213E-2</v>
      </c>
      <c r="AG676" s="3">
        <f t="shared" si="40"/>
        <v>-0.49375922946973655</v>
      </c>
      <c r="AH676" s="3">
        <f t="shared" si="41"/>
        <v>674</v>
      </c>
    </row>
    <row r="677" spans="32:34" x14ac:dyDescent="0.2">
      <c r="AF677" s="3">
        <f t="shared" si="39"/>
        <v>7.8300000000001216E-2</v>
      </c>
      <c r="AG677" s="3">
        <f t="shared" si="40"/>
        <v>-0.49414271958896955</v>
      </c>
      <c r="AH677" s="3">
        <f t="shared" si="41"/>
        <v>675</v>
      </c>
    </row>
    <row r="678" spans="32:34" x14ac:dyDescent="0.2">
      <c r="AF678" s="3">
        <f t="shared" si="39"/>
        <v>7.8400000000001219E-2</v>
      </c>
      <c r="AG678" s="3">
        <f t="shared" si="40"/>
        <v>-0.49452589328768232</v>
      </c>
      <c r="AH678" s="3">
        <f t="shared" si="41"/>
        <v>676</v>
      </c>
    </row>
    <row r="679" spans="32:34" x14ac:dyDescent="0.2">
      <c r="AF679" s="3">
        <f t="shared" si="39"/>
        <v>7.8500000000001222E-2</v>
      </c>
      <c r="AG679" s="3">
        <f t="shared" si="40"/>
        <v>-0.49490875096947262</v>
      </c>
      <c r="AH679" s="3">
        <f t="shared" si="41"/>
        <v>677</v>
      </c>
    </row>
    <row r="680" spans="32:34" x14ac:dyDescent="0.2">
      <c r="AF680" s="3">
        <f t="shared" si="39"/>
        <v>7.8600000000001224E-2</v>
      </c>
      <c r="AG680" s="3">
        <f t="shared" si="40"/>
        <v>-0.49529129303691005</v>
      </c>
      <c r="AH680" s="3">
        <f t="shared" si="41"/>
        <v>678</v>
      </c>
    </row>
    <row r="681" spans="32:34" x14ac:dyDescent="0.2">
      <c r="AF681" s="3">
        <f t="shared" si="39"/>
        <v>7.8700000000001227E-2</v>
      </c>
      <c r="AG681" s="3">
        <f t="shared" si="40"/>
        <v>-0.49567351989153979</v>
      </c>
      <c r="AH681" s="3">
        <f t="shared" si="41"/>
        <v>679</v>
      </c>
    </row>
    <row r="682" spans="32:34" x14ac:dyDescent="0.2">
      <c r="AF682" s="3">
        <f t="shared" si="39"/>
        <v>7.880000000000123E-2</v>
      </c>
      <c r="AG682" s="3">
        <f t="shared" si="40"/>
        <v>-0.49605543193388657</v>
      </c>
      <c r="AH682" s="3">
        <f t="shared" si="41"/>
        <v>680</v>
      </c>
    </row>
    <row r="683" spans="32:34" x14ac:dyDescent="0.2">
      <c r="AF683" s="3">
        <f t="shared" si="39"/>
        <v>7.8900000000001233E-2</v>
      </c>
      <c r="AG683" s="3">
        <f t="shared" si="40"/>
        <v>-0.49643702956345864</v>
      </c>
      <c r="AH683" s="3">
        <f t="shared" si="41"/>
        <v>681</v>
      </c>
    </row>
    <row r="684" spans="32:34" x14ac:dyDescent="0.2">
      <c r="AF684" s="3">
        <f t="shared" si="39"/>
        <v>7.9000000000001236E-2</v>
      </c>
      <c r="AG684" s="3">
        <f t="shared" si="40"/>
        <v>-0.49681831317875136</v>
      </c>
      <c r="AH684" s="3">
        <f t="shared" si="41"/>
        <v>682</v>
      </c>
    </row>
    <row r="685" spans="32:34" x14ac:dyDescent="0.2">
      <c r="AF685" s="3">
        <f t="shared" si="39"/>
        <v>7.9100000000001239E-2</v>
      </c>
      <c r="AG685" s="3">
        <f t="shared" si="40"/>
        <v>-0.49719928317725159</v>
      </c>
      <c r="AH685" s="3">
        <f t="shared" si="41"/>
        <v>683</v>
      </c>
    </row>
    <row r="686" spans="32:34" x14ac:dyDescent="0.2">
      <c r="AF686" s="3">
        <f t="shared" si="39"/>
        <v>7.9200000000001242E-2</v>
      </c>
      <c r="AG686" s="3">
        <f t="shared" si="40"/>
        <v>-0.49757993995544075</v>
      </c>
      <c r="AH686" s="3">
        <f t="shared" si="41"/>
        <v>684</v>
      </c>
    </row>
    <row r="687" spans="32:34" x14ac:dyDescent="0.2">
      <c r="AF687" s="3">
        <f t="shared" si="39"/>
        <v>7.9300000000001244E-2</v>
      </c>
      <c r="AG687" s="3">
        <f t="shared" si="40"/>
        <v>-0.49796028390879937</v>
      </c>
      <c r="AH687" s="3">
        <f t="shared" si="41"/>
        <v>685</v>
      </c>
    </row>
    <row r="688" spans="32:34" x14ac:dyDescent="0.2">
      <c r="AF688" s="3">
        <f t="shared" si="39"/>
        <v>7.9400000000001247E-2</v>
      </c>
      <c r="AG688" s="3">
        <f t="shared" si="40"/>
        <v>-0.4983403154318104</v>
      </c>
      <c r="AH688" s="3">
        <f t="shared" si="41"/>
        <v>686</v>
      </c>
    </row>
    <row r="689" spans="32:34" x14ac:dyDescent="0.2">
      <c r="AF689" s="3">
        <f t="shared" si="39"/>
        <v>7.950000000000125E-2</v>
      </c>
      <c r="AG689" s="3">
        <f t="shared" si="40"/>
        <v>-0.49872003491796307</v>
      </c>
      <c r="AH689" s="3">
        <f t="shared" si="41"/>
        <v>687</v>
      </c>
    </row>
    <row r="690" spans="32:34" x14ac:dyDescent="0.2">
      <c r="AF690" s="3">
        <f t="shared" si="39"/>
        <v>7.9600000000001253E-2</v>
      </c>
      <c r="AG690" s="3">
        <f t="shared" si="40"/>
        <v>-0.49909944275975682</v>
      </c>
      <c r="AH690" s="3">
        <f t="shared" si="41"/>
        <v>688</v>
      </c>
    </row>
    <row r="691" spans="32:34" x14ac:dyDescent="0.2">
      <c r="AF691" s="3">
        <f t="shared" si="39"/>
        <v>7.9700000000001256E-2</v>
      </c>
      <c r="AG691" s="3">
        <f t="shared" si="40"/>
        <v>-0.49947853934870484</v>
      </c>
      <c r="AH691" s="3">
        <f t="shared" si="41"/>
        <v>689</v>
      </c>
    </row>
    <row r="692" spans="32:34" x14ac:dyDescent="0.2">
      <c r="AF692" s="3">
        <f t="shared" si="39"/>
        <v>7.9800000000001259E-2</v>
      </c>
      <c r="AG692" s="3">
        <f t="shared" si="40"/>
        <v>-0.49985732507533792</v>
      </c>
      <c r="AH692" s="3">
        <f t="shared" si="41"/>
        <v>690</v>
      </c>
    </row>
    <row r="693" spans="32:34" x14ac:dyDescent="0.2">
      <c r="AF693" s="3">
        <f t="shared" si="39"/>
        <v>7.9900000000001262E-2</v>
      </c>
      <c r="AG693" s="3">
        <f t="shared" si="40"/>
        <v>-0.50023580032920811</v>
      </c>
      <c r="AH693" s="3">
        <f t="shared" si="41"/>
        <v>691</v>
      </c>
    </row>
    <row r="694" spans="32:34" x14ac:dyDescent="0.2">
      <c r="AF694" s="3">
        <f t="shared" si="39"/>
        <v>8.0000000000001265E-2</v>
      </c>
      <c r="AG694" s="3">
        <f t="shared" si="40"/>
        <v>-0.50061396549889214</v>
      </c>
      <c r="AH694" s="3">
        <f t="shared" si="41"/>
        <v>692</v>
      </c>
    </row>
    <row r="695" spans="32:34" x14ac:dyDescent="0.2">
      <c r="AF695" s="3">
        <f t="shared" ref="AF695:AF758" si="42">AF694+0.0001</f>
        <v>8.0100000000001267E-2</v>
      </c>
      <c r="AG695" s="3">
        <f t="shared" si="40"/>
        <v>-0.50099182097199557</v>
      </c>
      <c r="AH695" s="3">
        <f t="shared" si="41"/>
        <v>693</v>
      </c>
    </row>
    <row r="696" spans="32:34" x14ac:dyDescent="0.2">
      <c r="AF696" s="3">
        <f t="shared" si="42"/>
        <v>8.020000000000127E-2</v>
      </c>
      <c r="AG696" s="3">
        <f t="shared" si="40"/>
        <v>-0.50136936713515601</v>
      </c>
      <c r="AH696" s="3">
        <f t="shared" si="41"/>
        <v>694</v>
      </c>
    </row>
    <row r="697" spans="32:34" x14ac:dyDescent="0.2">
      <c r="AF697" s="3">
        <f t="shared" si="42"/>
        <v>8.0300000000001273E-2</v>
      </c>
      <c r="AG697" s="3">
        <f t="shared" si="40"/>
        <v>-0.50174660437404683</v>
      </c>
      <c r="AH697" s="3">
        <f t="shared" si="41"/>
        <v>695</v>
      </c>
    </row>
    <row r="698" spans="32:34" x14ac:dyDescent="0.2">
      <c r="AF698" s="3">
        <f t="shared" si="42"/>
        <v>8.0400000000001276E-2</v>
      </c>
      <c r="AG698" s="3">
        <f t="shared" si="40"/>
        <v>-0.50212353307338098</v>
      </c>
      <c r="AH698" s="3">
        <f t="shared" si="41"/>
        <v>696</v>
      </c>
    </row>
    <row r="699" spans="32:34" x14ac:dyDescent="0.2">
      <c r="AF699" s="3">
        <f t="shared" si="42"/>
        <v>8.0500000000001279E-2</v>
      </c>
      <c r="AG699" s="3">
        <f t="shared" si="40"/>
        <v>-0.50250015361691425</v>
      </c>
      <c r="AH699" s="3">
        <f t="shared" si="41"/>
        <v>697</v>
      </c>
    </row>
    <row r="700" spans="32:34" x14ac:dyDescent="0.2">
      <c r="AF700" s="3">
        <f t="shared" si="42"/>
        <v>8.0600000000001282E-2</v>
      </c>
      <c r="AG700" s="3">
        <f t="shared" si="40"/>
        <v>-0.50287646638744909</v>
      </c>
      <c r="AH700" s="3">
        <f t="shared" si="41"/>
        <v>698</v>
      </c>
    </row>
    <row r="701" spans="32:34" x14ac:dyDescent="0.2">
      <c r="AF701" s="3">
        <f t="shared" si="42"/>
        <v>8.0700000000001285E-2</v>
      </c>
      <c r="AG701" s="3">
        <f t="shared" si="40"/>
        <v>-0.50325247176683818</v>
      </c>
      <c r="AH701" s="3">
        <f t="shared" si="41"/>
        <v>699</v>
      </c>
    </row>
    <row r="702" spans="32:34" x14ac:dyDescent="0.2">
      <c r="AF702" s="3">
        <f t="shared" si="42"/>
        <v>8.0800000000001287E-2</v>
      </c>
      <c r="AG702" s="3">
        <f t="shared" si="40"/>
        <v>-0.50362817013598749</v>
      </c>
      <c r="AH702" s="3">
        <f t="shared" si="41"/>
        <v>700</v>
      </c>
    </row>
    <row r="703" spans="32:34" x14ac:dyDescent="0.2">
      <c r="AF703" s="3">
        <f t="shared" si="42"/>
        <v>8.090000000000129E-2</v>
      </c>
      <c r="AG703" s="3">
        <f t="shared" si="40"/>
        <v>-0.50400356187486051</v>
      </c>
      <c r="AH703" s="3">
        <f t="shared" si="41"/>
        <v>701</v>
      </c>
    </row>
    <row r="704" spans="32:34" x14ac:dyDescent="0.2">
      <c r="AF704" s="3">
        <f t="shared" si="42"/>
        <v>8.1000000000001293E-2</v>
      </c>
      <c r="AG704" s="3">
        <f t="shared" si="40"/>
        <v>-0.50437864736248117</v>
      </c>
      <c r="AH704" s="3">
        <f t="shared" si="41"/>
        <v>702</v>
      </c>
    </row>
    <row r="705" spans="32:34" x14ac:dyDescent="0.2">
      <c r="AF705" s="3">
        <f t="shared" si="42"/>
        <v>8.1100000000001296E-2</v>
      </c>
      <c r="AG705" s="3">
        <f t="shared" si="40"/>
        <v>-0.50475342697693804</v>
      </c>
      <c r="AH705" s="3">
        <f t="shared" si="41"/>
        <v>703</v>
      </c>
    </row>
    <row r="706" spans="32:34" x14ac:dyDescent="0.2">
      <c r="AF706" s="3">
        <f t="shared" si="42"/>
        <v>8.1200000000001299E-2</v>
      </c>
      <c r="AG706" s="3">
        <f t="shared" si="40"/>
        <v>-0.50512790109538619</v>
      </c>
      <c r="AH706" s="3">
        <f t="shared" si="41"/>
        <v>704</v>
      </c>
    </row>
    <row r="707" spans="32:34" x14ac:dyDescent="0.2">
      <c r="AF707" s="3">
        <f t="shared" si="42"/>
        <v>8.1300000000001302E-2</v>
      </c>
      <c r="AG707" s="3">
        <f t="shared" ref="AG707:AG770" si="43">RT0*AF707*LN(AF707)</f>
        <v>-0.5055020700940529</v>
      </c>
      <c r="AH707" s="3">
        <f t="shared" si="41"/>
        <v>705</v>
      </c>
    </row>
    <row r="708" spans="32:34" x14ac:dyDescent="0.2">
      <c r="AF708" s="3">
        <f t="shared" si="42"/>
        <v>8.1400000000001305E-2</v>
      </c>
      <c r="AG708" s="3">
        <f t="shared" si="43"/>
        <v>-0.50587593434823941</v>
      </c>
      <c r="AH708" s="3">
        <f t="shared" si="41"/>
        <v>706</v>
      </c>
    </row>
    <row r="709" spans="32:34" x14ac:dyDescent="0.2">
      <c r="AF709" s="3">
        <f t="shared" si="42"/>
        <v>8.1500000000001308E-2</v>
      </c>
      <c r="AG709" s="3">
        <f t="shared" si="43"/>
        <v>-0.50624949423232468</v>
      </c>
      <c r="AH709" s="3">
        <f t="shared" ref="AH709:AH772" si="44">AH708+1</f>
        <v>707</v>
      </c>
    </row>
    <row r="710" spans="32:34" x14ac:dyDescent="0.2">
      <c r="AF710" s="3">
        <f t="shared" si="42"/>
        <v>8.160000000000131E-2</v>
      </c>
      <c r="AG710" s="3">
        <f t="shared" si="43"/>
        <v>-0.50662275011976932</v>
      </c>
      <c r="AH710" s="3">
        <f t="shared" si="44"/>
        <v>708</v>
      </c>
    </row>
    <row r="711" spans="32:34" x14ac:dyDescent="0.2">
      <c r="AF711" s="3">
        <f t="shared" si="42"/>
        <v>8.1700000000001313E-2</v>
      </c>
      <c r="AG711" s="3">
        <f t="shared" si="43"/>
        <v>-0.50699570238311831</v>
      </c>
      <c r="AH711" s="3">
        <f t="shared" si="44"/>
        <v>709</v>
      </c>
    </row>
    <row r="712" spans="32:34" x14ac:dyDescent="0.2">
      <c r="AF712" s="3">
        <f t="shared" si="42"/>
        <v>8.1800000000001316E-2</v>
      </c>
      <c r="AG712" s="3">
        <f t="shared" si="43"/>
        <v>-0.50736835139400482</v>
      </c>
      <c r="AH712" s="3">
        <f t="shared" si="44"/>
        <v>710</v>
      </c>
    </row>
    <row r="713" spans="32:34" x14ac:dyDescent="0.2">
      <c r="AF713" s="3">
        <f t="shared" si="42"/>
        <v>8.1900000000001319E-2</v>
      </c>
      <c r="AG713" s="3">
        <f t="shared" si="43"/>
        <v>-0.50774069752315332</v>
      </c>
      <c r="AH713" s="3">
        <f t="shared" si="44"/>
        <v>711</v>
      </c>
    </row>
    <row r="714" spans="32:34" x14ac:dyDescent="0.2">
      <c r="AF714" s="3">
        <f t="shared" si="42"/>
        <v>8.2000000000001322E-2</v>
      </c>
      <c r="AG714" s="3">
        <f t="shared" si="43"/>
        <v>-0.50811274114038296</v>
      </c>
      <c r="AH714" s="3">
        <f t="shared" si="44"/>
        <v>712</v>
      </c>
    </row>
    <row r="715" spans="32:34" x14ac:dyDescent="0.2">
      <c r="AF715" s="3">
        <f t="shared" si="42"/>
        <v>8.2100000000001325E-2</v>
      </c>
      <c r="AG715" s="3">
        <f t="shared" si="43"/>
        <v>-0.50848448261461077</v>
      </c>
      <c r="AH715" s="3">
        <f t="shared" si="44"/>
        <v>713</v>
      </c>
    </row>
    <row r="716" spans="32:34" x14ac:dyDescent="0.2">
      <c r="AF716" s="3">
        <f t="shared" si="42"/>
        <v>8.2200000000001328E-2</v>
      </c>
      <c r="AG716" s="3">
        <f t="shared" si="43"/>
        <v>-0.50885592231385535</v>
      </c>
      <c r="AH716" s="3">
        <f t="shared" si="44"/>
        <v>714</v>
      </c>
    </row>
    <row r="717" spans="32:34" x14ac:dyDescent="0.2">
      <c r="AF717" s="3">
        <f t="shared" si="42"/>
        <v>8.230000000000133E-2</v>
      </c>
      <c r="AG717" s="3">
        <f t="shared" si="43"/>
        <v>-0.50922706060523981</v>
      </c>
      <c r="AH717" s="3">
        <f t="shared" si="44"/>
        <v>715</v>
      </c>
    </row>
    <row r="718" spans="32:34" x14ac:dyDescent="0.2">
      <c r="AF718" s="3">
        <f t="shared" si="42"/>
        <v>8.2400000000001333E-2</v>
      </c>
      <c r="AG718" s="3">
        <f t="shared" si="43"/>
        <v>-0.50959789785499465</v>
      </c>
      <c r="AH718" s="3">
        <f t="shared" si="44"/>
        <v>716</v>
      </c>
    </row>
    <row r="719" spans="32:34" x14ac:dyDescent="0.2">
      <c r="AF719" s="3">
        <f t="shared" si="42"/>
        <v>8.2500000000001336E-2</v>
      </c>
      <c r="AG719" s="3">
        <f t="shared" si="43"/>
        <v>-0.50996843442846229</v>
      </c>
      <c r="AH719" s="3">
        <f t="shared" si="44"/>
        <v>717</v>
      </c>
    </row>
    <row r="720" spans="32:34" x14ac:dyDescent="0.2">
      <c r="AF720" s="3">
        <f t="shared" si="42"/>
        <v>8.2600000000001339E-2</v>
      </c>
      <c r="AG720" s="3">
        <f t="shared" si="43"/>
        <v>-0.51033867069009886</v>
      </c>
      <c r="AH720" s="3">
        <f t="shared" si="44"/>
        <v>718</v>
      </c>
    </row>
    <row r="721" spans="32:34" x14ac:dyDescent="0.2">
      <c r="AF721" s="3">
        <f t="shared" si="42"/>
        <v>8.2700000000001342E-2</v>
      </c>
      <c r="AG721" s="3">
        <f t="shared" si="43"/>
        <v>-0.51070860700347798</v>
      </c>
      <c r="AH721" s="3">
        <f t="shared" si="44"/>
        <v>719</v>
      </c>
    </row>
    <row r="722" spans="32:34" x14ac:dyDescent="0.2">
      <c r="AF722" s="3">
        <f t="shared" si="42"/>
        <v>8.2800000000001345E-2</v>
      </c>
      <c r="AG722" s="3">
        <f t="shared" si="43"/>
        <v>-0.51107824373129451</v>
      </c>
      <c r="AH722" s="3">
        <f t="shared" si="44"/>
        <v>720</v>
      </c>
    </row>
    <row r="723" spans="32:34" x14ac:dyDescent="0.2">
      <c r="AF723" s="3">
        <f t="shared" si="42"/>
        <v>8.2900000000001348E-2</v>
      </c>
      <c r="AG723" s="3">
        <f t="shared" si="43"/>
        <v>-0.51144758123536682</v>
      </c>
      <c r="AH723" s="3">
        <f t="shared" si="44"/>
        <v>721</v>
      </c>
    </row>
    <row r="724" spans="32:34" x14ac:dyDescent="0.2">
      <c r="AF724" s="3">
        <f t="shared" si="42"/>
        <v>8.300000000000135E-2</v>
      </c>
      <c r="AG724" s="3">
        <f t="shared" si="43"/>
        <v>-0.5118166198766404</v>
      </c>
      <c r="AH724" s="3">
        <f t="shared" si="44"/>
        <v>722</v>
      </c>
    </row>
    <row r="725" spans="32:34" x14ac:dyDescent="0.2">
      <c r="AF725" s="3">
        <f t="shared" si="42"/>
        <v>8.3100000000001353E-2</v>
      </c>
      <c r="AG725" s="3">
        <f t="shared" si="43"/>
        <v>-0.5121853600151911</v>
      </c>
      <c r="AH725" s="3">
        <f t="shared" si="44"/>
        <v>723</v>
      </c>
    </row>
    <row r="726" spans="32:34" x14ac:dyDescent="0.2">
      <c r="AF726" s="3">
        <f t="shared" si="42"/>
        <v>8.3200000000001356E-2</v>
      </c>
      <c r="AG726" s="3">
        <f t="shared" si="43"/>
        <v>-0.51255380201022827</v>
      </c>
      <c r="AH726" s="3">
        <f t="shared" si="44"/>
        <v>724</v>
      </c>
    </row>
    <row r="727" spans="32:34" x14ac:dyDescent="0.2">
      <c r="AF727" s="3">
        <f t="shared" si="42"/>
        <v>8.3300000000001359E-2</v>
      </c>
      <c r="AG727" s="3">
        <f t="shared" si="43"/>
        <v>-0.51292194622009757</v>
      </c>
      <c r="AH727" s="3">
        <f t="shared" si="44"/>
        <v>725</v>
      </c>
    </row>
    <row r="728" spans="32:34" x14ac:dyDescent="0.2">
      <c r="AF728" s="3">
        <f t="shared" si="42"/>
        <v>8.3400000000001362E-2</v>
      </c>
      <c r="AG728" s="3">
        <f t="shared" si="43"/>
        <v>-0.5132897930022845</v>
      </c>
      <c r="AH728" s="3">
        <f t="shared" si="44"/>
        <v>726</v>
      </c>
    </row>
    <row r="729" spans="32:34" x14ac:dyDescent="0.2">
      <c r="AF729" s="3">
        <f t="shared" si="42"/>
        <v>8.3500000000001365E-2</v>
      </c>
      <c r="AG729" s="3">
        <f t="shared" si="43"/>
        <v>-0.51365734271341679</v>
      </c>
      <c r="AH729" s="3">
        <f t="shared" si="44"/>
        <v>727</v>
      </c>
    </row>
    <row r="730" spans="32:34" x14ac:dyDescent="0.2">
      <c r="AF730" s="3">
        <f t="shared" si="42"/>
        <v>8.3600000000001368E-2</v>
      </c>
      <c r="AG730" s="3">
        <f t="shared" si="43"/>
        <v>-0.51402459570926873</v>
      </c>
      <c r="AH730" s="3">
        <f t="shared" si="44"/>
        <v>728</v>
      </c>
    </row>
    <row r="731" spans="32:34" x14ac:dyDescent="0.2">
      <c r="AF731" s="3">
        <f t="shared" si="42"/>
        <v>8.3700000000001371E-2</v>
      </c>
      <c r="AG731" s="3">
        <f t="shared" si="43"/>
        <v>-0.51439155234476286</v>
      </c>
      <c r="AH731" s="3">
        <f t="shared" si="44"/>
        <v>729</v>
      </c>
    </row>
    <row r="732" spans="32:34" x14ac:dyDescent="0.2">
      <c r="AF732" s="3">
        <f t="shared" si="42"/>
        <v>8.3800000000001373E-2</v>
      </c>
      <c r="AG732" s="3">
        <f t="shared" si="43"/>
        <v>-0.51475821297397417</v>
      </c>
      <c r="AH732" s="3">
        <f t="shared" si="44"/>
        <v>730</v>
      </c>
    </row>
    <row r="733" spans="32:34" x14ac:dyDescent="0.2">
      <c r="AF733" s="3">
        <f t="shared" si="42"/>
        <v>8.3900000000001376E-2</v>
      </c>
      <c r="AG733" s="3">
        <f t="shared" si="43"/>
        <v>-0.51512457795013167</v>
      </c>
      <c r="AH733" s="3">
        <f t="shared" si="44"/>
        <v>731</v>
      </c>
    </row>
    <row r="734" spans="32:34" x14ac:dyDescent="0.2">
      <c r="AF734" s="3">
        <f t="shared" si="42"/>
        <v>8.4000000000001379E-2</v>
      </c>
      <c r="AG734" s="3">
        <f t="shared" si="43"/>
        <v>-0.51549064762562347</v>
      </c>
      <c r="AH734" s="3">
        <f t="shared" si="44"/>
        <v>732</v>
      </c>
    </row>
    <row r="735" spans="32:34" x14ac:dyDescent="0.2">
      <c r="AF735" s="3">
        <f t="shared" si="42"/>
        <v>8.4100000000001382E-2</v>
      </c>
      <c r="AG735" s="3">
        <f t="shared" si="43"/>
        <v>-0.51585642235199791</v>
      </c>
      <c r="AH735" s="3">
        <f t="shared" si="44"/>
        <v>733</v>
      </c>
    </row>
    <row r="736" spans="32:34" x14ac:dyDescent="0.2">
      <c r="AF736" s="3">
        <f t="shared" si="42"/>
        <v>8.4200000000001385E-2</v>
      </c>
      <c r="AG736" s="3">
        <f t="shared" si="43"/>
        <v>-0.51622190247996769</v>
      </c>
      <c r="AH736" s="3">
        <f t="shared" si="44"/>
        <v>734</v>
      </c>
    </row>
    <row r="737" spans="32:34" x14ac:dyDescent="0.2">
      <c r="AF737" s="3">
        <f t="shared" si="42"/>
        <v>8.4300000000001388E-2</v>
      </c>
      <c r="AG737" s="3">
        <f t="shared" si="43"/>
        <v>-0.51658708835941214</v>
      </c>
      <c r="AH737" s="3">
        <f t="shared" si="44"/>
        <v>735</v>
      </c>
    </row>
    <row r="738" spans="32:34" x14ac:dyDescent="0.2">
      <c r="AF738" s="3">
        <f t="shared" si="42"/>
        <v>8.4400000000001391E-2</v>
      </c>
      <c r="AG738" s="3">
        <f t="shared" si="43"/>
        <v>-0.51695198033938083</v>
      </c>
      <c r="AH738" s="3">
        <f t="shared" si="44"/>
        <v>736</v>
      </c>
    </row>
    <row r="739" spans="32:34" x14ac:dyDescent="0.2">
      <c r="AF739" s="3">
        <f t="shared" si="42"/>
        <v>8.4500000000001393E-2</v>
      </c>
      <c r="AG739" s="3">
        <f t="shared" si="43"/>
        <v>-0.517316578768096</v>
      </c>
      <c r="AH739" s="3">
        <f t="shared" si="44"/>
        <v>737</v>
      </c>
    </row>
    <row r="740" spans="32:34" x14ac:dyDescent="0.2">
      <c r="AF740" s="3">
        <f t="shared" si="42"/>
        <v>8.4600000000001396E-2</v>
      </c>
      <c r="AG740" s="3">
        <f t="shared" si="43"/>
        <v>-0.51768088399295586</v>
      </c>
      <c r="AH740" s="3">
        <f t="shared" si="44"/>
        <v>738</v>
      </c>
    </row>
    <row r="741" spans="32:34" x14ac:dyDescent="0.2">
      <c r="AF741" s="3">
        <f t="shared" si="42"/>
        <v>8.4700000000001399E-2</v>
      </c>
      <c r="AG741" s="3">
        <f t="shared" si="43"/>
        <v>-0.51804489636053708</v>
      </c>
      <c r="AH741" s="3">
        <f t="shared" si="44"/>
        <v>739</v>
      </c>
    </row>
    <row r="742" spans="32:34" x14ac:dyDescent="0.2">
      <c r="AF742" s="3">
        <f t="shared" si="42"/>
        <v>8.4800000000001402E-2</v>
      </c>
      <c r="AG742" s="3">
        <f t="shared" si="43"/>
        <v>-0.51840861621659806</v>
      </c>
      <c r="AH742" s="3">
        <f t="shared" si="44"/>
        <v>740</v>
      </c>
    </row>
    <row r="743" spans="32:34" x14ac:dyDescent="0.2">
      <c r="AF743" s="3">
        <f t="shared" si="42"/>
        <v>8.4900000000001405E-2</v>
      </c>
      <c r="AG743" s="3">
        <f t="shared" si="43"/>
        <v>-0.51877204390608189</v>
      </c>
      <c r="AH743" s="3">
        <f t="shared" si="44"/>
        <v>741</v>
      </c>
    </row>
    <row r="744" spans="32:34" x14ac:dyDescent="0.2">
      <c r="AF744" s="3">
        <f t="shared" si="42"/>
        <v>8.5000000000001408E-2</v>
      </c>
      <c r="AG744" s="3">
        <f t="shared" si="43"/>
        <v>-0.51913517977311907</v>
      </c>
      <c r="AH744" s="3">
        <f t="shared" si="44"/>
        <v>742</v>
      </c>
    </row>
    <row r="745" spans="32:34" x14ac:dyDescent="0.2">
      <c r="AF745" s="3">
        <f t="shared" si="42"/>
        <v>8.5100000000001411E-2</v>
      </c>
      <c r="AG745" s="3">
        <f t="shared" si="43"/>
        <v>-0.51949802416102997</v>
      </c>
      <c r="AH745" s="3">
        <f t="shared" si="44"/>
        <v>743</v>
      </c>
    </row>
    <row r="746" spans="32:34" x14ac:dyDescent="0.2">
      <c r="AF746" s="3">
        <f t="shared" si="42"/>
        <v>8.5200000000001413E-2</v>
      </c>
      <c r="AG746" s="3">
        <f t="shared" si="43"/>
        <v>-0.51986057741232894</v>
      </c>
      <c r="AH746" s="3">
        <f t="shared" si="44"/>
        <v>744</v>
      </c>
    </row>
    <row r="747" spans="32:34" x14ac:dyDescent="0.2">
      <c r="AF747" s="3">
        <f t="shared" si="42"/>
        <v>8.5300000000001416E-2</v>
      </c>
      <c r="AG747" s="3">
        <f t="shared" si="43"/>
        <v>-0.5202228398687252</v>
      </c>
      <c r="AH747" s="3">
        <f t="shared" si="44"/>
        <v>745</v>
      </c>
    </row>
    <row r="748" spans="32:34" x14ac:dyDescent="0.2">
      <c r="AF748" s="3">
        <f t="shared" si="42"/>
        <v>8.5400000000001419E-2</v>
      </c>
      <c r="AG748" s="3">
        <f t="shared" si="43"/>
        <v>-0.52058481187112771</v>
      </c>
      <c r="AH748" s="3">
        <f t="shared" si="44"/>
        <v>746</v>
      </c>
    </row>
    <row r="749" spans="32:34" x14ac:dyDescent="0.2">
      <c r="AF749" s="3">
        <f t="shared" si="42"/>
        <v>8.5500000000001422E-2</v>
      </c>
      <c r="AG749" s="3">
        <f t="shared" si="43"/>
        <v>-0.52094649375964674</v>
      </c>
      <c r="AH749" s="3">
        <f t="shared" si="44"/>
        <v>747</v>
      </c>
    </row>
    <row r="750" spans="32:34" x14ac:dyDescent="0.2">
      <c r="AF750" s="3">
        <f t="shared" si="42"/>
        <v>8.5600000000001425E-2</v>
      </c>
      <c r="AG750" s="3">
        <f t="shared" si="43"/>
        <v>-0.52130788587359667</v>
      </c>
      <c r="AH750" s="3">
        <f t="shared" si="44"/>
        <v>748</v>
      </c>
    </row>
    <row r="751" spans="32:34" x14ac:dyDescent="0.2">
      <c r="AF751" s="3">
        <f t="shared" si="42"/>
        <v>8.5700000000001428E-2</v>
      </c>
      <c r="AG751" s="3">
        <f t="shared" si="43"/>
        <v>-0.52166898855149935</v>
      </c>
      <c r="AH751" s="3">
        <f t="shared" si="44"/>
        <v>749</v>
      </c>
    </row>
    <row r="752" spans="32:34" x14ac:dyDescent="0.2">
      <c r="AF752" s="3">
        <f t="shared" si="42"/>
        <v>8.5800000000001431E-2</v>
      </c>
      <c r="AG752" s="3">
        <f t="shared" si="43"/>
        <v>-0.52202980213108685</v>
      </c>
      <c r="AH752" s="3">
        <f t="shared" si="44"/>
        <v>750</v>
      </c>
    </row>
    <row r="753" spans="32:34" x14ac:dyDescent="0.2">
      <c r="AF753" s="3">
        <f t="shared" si="42"/>
        <v>8.5900000000001434E-2</v>
      </c>
      <c r="AG753" s="3">
        <f t="shared" si="43"/>
        <v>-0.52239032694930354</v>
      </c>
      <c r="AH753" s="3">
        <f t="shared" si="44"/>
        <v>751</v>
      </c>
    </row>
    <row r="754" spans="32:34" x14ac:dyDescent="0.2">
      <c r="AF754" s="3">
        <f t="shared" si="42"/>
        <v>8.6000000000001436E-2</v>
      </c>
      <c r="AG754" s="3">
        <f t="shared" si="43"/>
        <v>-0.52275056334230963</v>
      </c>
      <c r="AH754" s="3">
        <f t="shared" si="44"/>
        <v>752</v>
      </c>
    </row>
    <row r="755" spans="32:34" x14ac:dyDescent="0.2">
      <c r="AF755" s="3">
        <f t="shared" si="42"/>
        <v>8.6100000000001439E-2</v>
      </c>
      <c r="AG755" s="3">
        <f t="shared" si="43"/>
        <v>-0.52311051164548328</v>
      </c>
      <c r="AH755" s="3">
        <f t="shared" si="44"/>
        <v>753</v>
      </c>
    </row>
    <row r="756" spans="32:34" x14ac:dyDescent="0.2">
      <c r="AF756" s="3">
        <f t="shared" si="42"/>
        <v>8.6200000000001442E-2</v>
      </c>
      <c r="AG756" s="3">
        <f t="shared" si="43"/>
        <v>-0.52347017219342384</v>
      </c>
      <c r="AH756" s="3">
        <f t="shared" si="44"/>
        <v>754</v>
      </c>
    </row>
    <row r="757" spans="32:34" x14ac:dyDescent="0.2">
      <c r="AF757" s="3">
        <f t="shared" si="42"/>
        <v>8.6300000000001445E-2</v>
      </c>
      <c r="AG757" s="3">
        <f t="shared" si="43"/>
        <v>-0.52382954531995429</v>
      </c>
      <c r="AH757" s="3">
        <f t="shared" si="44"/>
        <v>755</v>
      </c>
    </row>
    <row r="758" spans="32:34" x14ac:dyDescent="0.2">
      <c r="AF758" s="3">
        <f t="shared" si="42"/>
        <v>8.6400000000001448E-2</v>
      </c>
      <c r="AG758" s="3">
        <f t="shared" si="43"/>
        <v>-0.52418863135812377</v>
      </c>
      <c r="AH758" s="3">
        <f t="shared" si="44"/>
        <v>756</v>
      </c>
    </row>
    <row r="759" spans="32:34" x14ac:dyDescent="0.2">
      <c r="AF759" s="3">
        <f t="shared" ref="AF759:AF822" si="45">AF758+0.0001</f>
        <v>8.6500000000001451E-2</v>
      </c>
      <c r="AG759" s="3">
        <f t="shared" si="43"/>
        <v>-0.52454743064021081</v>
      </c>
      <c r="AH759" s="3">
        <f t="shared" si="44"/>
        <v>757</v>
      </c>
    </row>
    <row r="760" spans="32:34" x14ac:dyDescent="0.2">
      <c r="AF760" s="3">
        <f t="shared" si="45"/>
        <v>8.6600000000001454E-2</v>
      </c>
      <c r="AG760" s="3">
        <f t="shared" si="43"/>
        <v>-0.52490594349772535</v>
      </c>
      <c r="AH760" s="3">
        <f t="shared" si="44"/>
        <v>758</v>
      </c>
    </row>
    <row r="761" spans="32:34" x14ac:dyDescent="0.2">
      <c r="AF761" s="3">
        <f t="shared" si="45"/>
        <v>8.6700000000001456E-2</v>
      </c>
      <c r="AG761" s="3">
        <f t="shared" si="43"/>
        <v>-0.52526417026141181</v>
      </c>
      <c r="AH761" s="3">
        <f t="shared" si="44"/>
        <v>759</v>
      </c>
    </row>
    <row r="762" spans="32:34" x14ac:dyDescent="0.2">
      <c r="AF762" s="3">
        <f t="shared" si="45"/>
        <v>8.6800000000001459E-2</v>
      </c>
      <c r="AG762" s="3">
        <f t="shared" si="43"/>
        <v>-0.5256221112612518</v>
      </c>
      <c r="AH762" s="3">
        <f t="shared" si="44"/>
        <v>760</v>
      </c>
    </row>
    <row r="763" spans="32:34" x14ac:dyDescent="0.2">
      <c r="AF763" s="3">
        <f t="shared" si="45"/>
        <v>8.6900000000001462E-2</v>
      </c>
      <c r="AG763" s="3">
        <f t="shared" si="43"/>
        <v>-0.52597976682646641</v>
      </c>
      <c r="AH763" s="3">
        <f t="shared" si="44"/>
        <v>761</v>
      </c>
    </row>
    <row r="764" spans="32:34" x14ac:dyDescent="0.2">
      <c r="AF764" s="3">
        <f t="shared" si="45"/>
        <v>8.7000000000001465E-2</v>
      </c>
      <c r="AG764" s="3">
        <f t="shared" si="43"/>
        <v>-0.52633713728551923</v>
      </c>
      <c r="AH764" s="3">
        <f t="shared" si="44"/>
        <v>762</v>
      </c>
    </row>
    <row r="765" spans="32:34" x14ac:dyDescent="0.2">
      <c r="AF765" s="3">
        <f t="shared" si="45"/>
        <v>8.7100000000001468E-2</v>
      </c>
      <c r="AG765" s="3">
        <f t="shared" si="43"/>
        <v>-0.52669422296611834</v>
      </c>
      <c r="AH765" s="3">
        <f t="shared" si="44"/>
        <v>763</v>
      </c>
    </row>
    <row r="766" spans="32:34" x14ac:dyDescent="0.2">
      <c r="AF766" s="3">
        <f t="shared" si="45"/>
        <v>8.7200000000001471E-2</v>
      </c>
      <c r="AG766" s="3">
        <f t="shared" si="43"/>
        <v>-0.52705102419521999</v>
      </c>
      <c r="AH766" s="3">
        <f t="shared" si="44"/>
        <v>764</v>
      </c>
    </row>
    <row r="767" spans="32:34" x14ac:dyDescent="0.2">
      <c r="AF767" s="3">
        <f t="shared" si="45"/>
        <v>8.7300000000001474E-2</v>
      </c>
      <c r="AG767" s="3">
        <f t="shared" si="43"/>
        <v>-0.52740754129902989</v>
      </c>
      <c r="AH767" s="3">
        <f t="shared" si="44"/>
        <v>765</v>
      </c>
    </row>
    <row r="768" spans="32:34" x14ac:dyDescent="0.2">
      <c r="AF768" s="3">
        <f t="shared" si="45"/>
        <v>8.7400000000001477E-2</v>
      </c>
      <c r="AG768" s="3">
        <f t="shared" si="43"/>
        <v>-0.52776377460300705</v>
      </c>
      <c r="AH768" s="3">
        <f t="shared" si="44"/>
        <v>766</v>
      </c>
    </row>
    <row r="769" spans="32:34" x14ac:dyDescent="0.2">
      <c r="AF769" s="3">
        <f t="shared" si="45"/>
        <v>8.7500000000001479E-2</v>
      </c>
      <c r="AG769" s="3">
        <f t="shared" si="43"/>
        <v>-0.52811972443186483</v>
      </c>
      <c r="AH769" s="3">
        <f t="shared" si="44"/>
        <v>767</v>
      </c>
    </row>
    <row r="770" spans="32:34" x14ac:dyDescent="0.2">
      <c r="AF770" s="3">
        <f t="shared" si="45"/>
        <v>8.7600000000001482E-2</v>
      </c>
      <c r="AG770" s="3">
        <f t="shared" si="43"/>
        <v>-0.52847539110957553</v>
      </c>
      <c r="AH770" s="3">
        <f t="shared" si="44"/>
        <v>768</v>
      </c>
    </row>
    <row r="771" spans="32:34" x14ac:dyDescent="0.2">
      <c r="AF771" s="3">
        <f t="shared" si="45"/>
        <v>8.7700000000001485E-2</v>
      </c>
      <c r="AG771" s="3">
        <f t="shared" ref="AG771:AG834" si="46">RT0*AF771*LN(AF771)</f>
        <v>-0.52883077495937081</v>
      </c>
      <c r="AH771" s="3">
        <f t="shared" si="44"/>
        <v>769</v>
      </c>
    </row>
    <row r="772" spans="32:34" x14ac:dyDescent="0.2">
      <c r="AF772" s="3">
        <f t="shared" si="45"/>
        <v>8.7800000000001488E-2</v>
      </c>
      <c r="AG772" s="3">
        <f t="shared" si="46"/>
        <v>-0.52918587630374558</v>
      </c>
      <c r="AH772" s="3">
        <f t="shared" si="44"/>
        <v>770</v>
      </c>
    </row>
    <row r="773" spans="32:34" x14ac:dyDescent="0.2">
      <c r="AF773" s="3">
        <f t="shared" si="45"/>
        <v>8.7900000000001491E-2</v>
      </c>
      <c r="AG773" s="3">
        <f t="shared" si="46"/>
        <v>-0.52954069546446036</v>
      </c>
      <c r="AH773" s="3">
        <f t="shared" ref="AH773:AH836" si="47">AH772+1</f>
        <v>771</v>
      </c>
    </row>
    <row r="774" spans="32:34" x14ac:dyDescent="0.2">
      <c r="AF774" s="3">
        <f t="shared" si="45"/>
        <v>8.8000000000001494E-2</v>
      </c>
      <c r="AG774" s="3">
        <f t="shared" si="46"/>
        <v>-0.52989523276254324</v>
      </c>
      <c r="AH774" s="3">
        <f t="shared" si="47"/>
        <v>772</v>
      </c>
    </row>
    <row r="775" spans="32:34" x14ac:dyDescent="0.2">
      <c r="AF775" s="3">
        <f t="shared" si="45"/>
        <v>8.8100000000001497E-2</v>
      </c>
      <c r="AG775" s="3">
        <f t="shared" si="46"/>
        <v>-0.5302494885182929</v>
      </c>
      <c r="AH775" s="3">
        <f t="shared" si="47"/>
        <v>773</v>
      </c>
    </row>
    <row r="776" spans="32:34" x14ac:dyDescent="0.2">
      <c r="AF776" s="3">
        <f t="shared" si="45"/>
        <v>8.8200000000001499E-2</v>
      </c>
      <c r="AG776" s="3">
        <f t="shared" si="46"/>
        <v>-0.53060346305128059</v>
      </c>
      <c r="AH776" s="3">
        <f t="shared" si="47"/>
        <v>774</v>
      </c>
    </row>
    <row r="777" spans="32:34" x14ac:dyDescent="0.2">
      <c r="AF777" s="3">
        <f t="shared" si="45"/>
        <v>8.8300000000001502E-2</v>
      </c>
      <c r="AG777" s="3">
        <f t="shared" si="46"/>
        <v>-0.53095715668035326</v>
      </c>
      <c r="AH777" s="3">
        <f t="shared" si="47"/>
        <v>775</v>
      </c>
    </row>
    <row r="778" spans="32:34" x14ac:dyDescent="0.2">
      <c r="AF778" s="3">
        <f t="shared" si="45"/>
        <v>8.8400000000001505E-2</v>
      </c>
      <c r="AG778" s="3">
        <f t="shared" si="46"/>
        <v>-0.53131056972363533</v>
      </c>
      <c r="AH778" s="3">
        <f t="shared" si="47"/>
        <v>776</v>
      </c>
    </row>
    <row r="779" spans="32:34" x14ac:dyDescent="0.2">
      <c r="AF779" s="3">
        <f t="shared" si="45"/>
        <v>8.8500000000001508E-2</v>
      </c>
      <c r="AG779" s="3">
        <f t="shared" si="46"/>
        <v>-0.53166370249853201</v>
      </c>
      <c r="AH779" s="3">
        <f t="shared" si="47"/>
        <v>777</v>
      </c>
    </row>
    <row r="780" spans="32:34" x14ac:dyDescent="0.2">
      <c r="AF780" s="3">
        <f t="shared" si="45"/>
        <v>8.8600000000001511E-2</v>
      </c>
      <c r="AG780" s="3">
        <f t="shared" si="46"/>
        <v>-0.53201655532173064</v>
      </c>
      <c r="AH780" s="3">
        <f t="shared" si="47"/>
        <v>778</v>
      </c>
    </row>
    <row r="781" spans="32:34" x14ac:dyDescent="0.2">
      <c r="AF781" s="3">
        <f t="shared" si="45"/>
        <v>8.8700000000001514E-2</v>
      </c>
      <c r="AG781" s="3">
        <f t="shared" si="46"/>
        <v>-0.53236912850920404</v>
      </c>
      <c r="AH781" s="3">
        <f t="shared" si="47"/>
        <v>779</v>
      </c>
    </row>
    <row r="782" spans="32:34" x14ac:dyDescent="0.2">
      <c r="AF782" s="3">
        <f t="shared" si="45"/>
        <v>8.8800000000001517E-2</v>
      </c>
      <c r="AG782" s="3">
        <f t="shared" si="46"/>
        <v>-0.53272142237621234</v>
      </c>
      <c r="AH782" s="3">
        <f t="shared" si="47"/>
        <v>780</v>
      </c>
    </row>
    <row r="783" spans="32:34" x14ac:dyDescent="0.2">
      <c r="AF783" s="3">
        <f t="shared" si="45"/>
        <v>8.8900000000001519E-2</v>
      </c>
      <c r="AG783" s="3">
        <f t="shared" si="46"/>
        <v>-0.53307343723730582</v>
      </c>
      <c r="AH783" s="3">
        <f t="shared" si="47"/>
        <v>781</v>
      </c>
    </row>
    <row r="784" spans="32:34" x14ac:dyDescent="0.2">
      <c r="AF784" s="3">
        <f t="shared" si="45"/>
        <v>8.9000000000001522E-2</v>
      </c>
      <c r="AG784" s="3">
        <f t="shared" si="46"/>
        <v>-0.53342517340632711</v>
      </c>
      <c r="AH784" s="3">
        <f t="shared" si="47"/>
        <v>782</v>
      </c>
    </row>
    <row r="785" spans="32:34" x14ac:dyDescent="0.2">
      <c r="AF785" s="3">
        <f t="shared" si="45"/>
        <v>8.9100000000001525E-2</v>
      </c>
      <c r="AG785" s="3">
        <f t="shared" si="46"/>
        <v>-0.53377663119641339</v>
      </c>
      <c r="AH785" s="3">
        <f t="shared" si="47"/>
        <v>783</v>
      </c>
    </row>
    <row r="786" spans="32:34" x14ac:dyDescent="0.2">
      <c r="AF786" s="3">
        <f t="shared" si="45"/>
        <v>8.9200000000001528E-2</v>
      </c>
      <c r="AG786" s="3">
        <f t="shared" si="46"/>
        <v>-0.53412781091999895</v>
      </c>
      <c r="AH786" s="3">
        <f t="shared" si="47"/>
        <v>784</v>
      </c>
    </row>
    <row r="787" spans="32:34" x14ac:dyDescent="0.2">
      <c r="AF787" s="3">
        <f t="shared" si="45"/>
        <v>8.9300000000001531E-2</v>
      </c>
      <c r="AG787" s="3">
        <f t="shared" si="46"/>
        <v>-0.53447871288881799</v>
      </c>
      <c r="AH787" s="3">
        <f t="shared" si="47"/>
        <v>785</v>
      </c>
    </row>
    <row r="788" spans="32:34" x14ac:dyDescent="0.2">
      <c r="AF788" s="3">
        <f t="shared" si="45"/>
        <v>8.9400000000001534E-2</v>
      </c>
      <c r="AG788" s="3">
        <f t="shared" si="46"/>
        <v>-0.53482933741390581</v>
      </c>
      <c r="AH788" s="3">
        <f t="shared" si="47"/>
        <v>786</v>
      </c>
    </row>
    <row r="789" spans="32:34" x14ac:dyDescent="0.2">
      <c r="AF789" s="3">
        <f t="shared" si="45"/>
        <v>8.9500000000001537E-2</v>
      </c>
      <c r="AG789" s="3">
        <f t="shared" si="46"/>
        <v>-0.53517968480560274</v>
      </c>
      <c r="AH789" s="3">
        <f t="shared" si="47"/>
        <v>787</v>
      </c>
    </row>
    <row r="790" spans="32:34" x14ac:dyDescent="0.2">
      <c r="AF790" s="3">
        <f t="shared" si="45"/>
        <v>8.960000000000154E-2</v>
      </c>
      <c r="AG790" s="3">
        <f t="shared" si="46"/>
        <v>-0.53552975537355485</v>
      </c>
      <c r="AH790" s="3">
        <f t="shared" si="47"/>
        <v>788</v>
      </c>
    </row>
    <row r="791" spans="32:34" x14ac:dyDescent="0.2">
      <c r="AF791" s="3">
        <f t="shared" si="45"/>
        <v>8.9700000000001542E-2</v>
      </c>
      <c r="AG791" s="3">
        <f t="shared" si="46"/>
        <v>-0.53587954942671734</v>
      </c>
      <c r="AH791" s="3">
        <f t="shared" si="47"/>
        <v>789</v>
      </c>
    </row>
    <row r="792" spans="32:34" x14ac:dyDescent="0.2">
      <c r="AF792" s="3">
        <f t="shared" si="45"/>
        <v>8.9800000000001545E-2</v>
      </c>
      <c r="AG792" s="3">
        <f t="shared" si="46"/>
        <v>-0.53622906727335673</v>
      </c>
      <c r="AH792" s="3">
        <f t="shared" si="47"/>
        <v>790</v>
      </c>
    </row>
    <row r="793" spans="32:34" x14ac:dyDescent="0.2">
      <c r="AF793" s="3">
        <f t="shared" si="45"/>
        <v>8.9900000000001548E-2</v>
      </c>
      <c r="AG793" s="3">
        <f t="shared" si="46"/>
        <v>-0.53657830922105265</v>
      </c>
      <c r="AH793" s="3">
        <f t="shared" si="47"/>
        <v>791</v>
      </c>
    </row>
    <row r="794" spans="32:34" x14ac:dyDescent="0.2">
      <c r="AF794" s="3">
        <f t="shared" si="45"/>
        <v>9.0000000000001551E-2</v>
      </c>
      <c r="AG794" s="3">
        <f t="shared" si="46"/>
        <v>-0.53692727557670061</v>
      </c>
      <c r="AH794" s="3">
        <f t="shared" si="47"/>
        <v>792</v>
      </c>
    </row>
    <row r="795" spans="32:34" x14ac:dyDescent="0.2">
      <c r="AF795" s="3">
        <f t="shared" si="45"/>
        <v>9.0100000000001554E-2</v>
      </c>
      <c r="AG795" s="3">
        <f t="shared" si="46"/>
        <v>-0.53727596664651422</v>
      </c>
      <c r="AH795" s="3">
        <f t="shared" si="47"/>
        <v>793</v>
      </c>
    </row>
    <row r="796" spans="32:34" x14ac:dyDescent="0.2">
      <c r="AF796" s="3">
        <f t="shared" si="45"/>
        <v>9.0200000000001557E-2</v>
      </c>
      <c r="AG796" s="3">
        <f t="shared" si="46"/>
        <v>-0.53762438273602708</v>
      </c>
      <c r="AH796" s="3">
        <f t="shared" si="47"/>
        <v>794</v>
      </c>
    </row>
    <row r="797" spans="32:34" x14ac:dyDescent="0.2">
      <c r="AF797" s="3">
        <f t="shared" si="45"/>
        <v>9.030000000000156E-2</v>
      </c>
      <c r="AG797" s="3">
        <f t="shared" si="46"/>
        <v>-0.53797252415009567</v>
      </c>
      <c r="AH797" s="3">
        <f t="shared" si="47"/>
        <v>795</v>
      </c>
    </row>
    <row r="798" spans="32:34" x14ac:dyDescent="0.2">
      <c r="AF798" s="3">
        <f t="shared" si="45"/>
        <v>9.0400000000001562E-2</v>
      </c>
      <c r="AG798" s="3">
        <f t="shared" si="46"/>
        <v>-0.53832039119290109</v>
      </c>
      <c r="AH798" s="3">
        <f t="shared" si="47"/>
        <v>796</v>
      </c>
    </row>
    <row r="799" spans="32:34" x14ac:dyDescent="0.2">
      <c r="AF799" s="3">
        <f t="shared" si="45"/>
        <v>9.0500000000001565E-2</v>
      </c>
      <c r="AG799" s="3">
        <f t="shared" si="46"/>
        <v>-0.53866798416795159</v>
      </c>
      <c r="AH799" s="3">
        <f t="shared" si="47"/>
        <v>797</v>
      </c>
    </row>
    <row r="800" spans="32:34" x14ac:dyDescent="0.2">
      <c r="AF800" s="3">
        <f t="shared" si="45"/>
        <v>9.0600000000001568E-2</v>
      </c>
      <c r="AG800" s="3">
        <f t="shared" si="46"/>
        <v>-0.53901530337808445</v>
      </c>
      <c r="AH800" s="3">
        <f t="shared" si="47"/>
        <v>798</v>
      </c>
    </row>
    <row r="801" spans="32:34" x14ac:dyDescent="0.2">
      <c r="AF801" s="3">
        <f t="shared" si="45"/>
        <v>9.0700000000001571E-2</v>
      </c>
      <c r="AG801" s="3">
        <f t="shared" si="46"/>
        <v>-0.53936234912546865</v>
      </c>
      <c r="AH801" s="3">
        <f t="shared" si="47"/>
        <v>799</v>
      </c>
    </row>
    <row r="802" spans="32:34" x14ac:dyDescent="0.2">
      <c r="AF802" s="3">
        <f t="shared" si="45"/>
        <v>9.0800000000001574E-2</v>
      </c>
      <c r="AG802" s="3">
        <f t="shared" si="46"/>
        <v>-0.53970912171160679</v>
      </c>
      <c r="AH802" s="3">
        <f t="shared" si="47"/>
        <v>800</v>
      </c>
    </row>
    <row r="803" spans="32:34" x14ac:dyDescent="0.2">
      <c r="AF803" s="3">
        <f t="shared" si="45"/>
        <v>9.0900000000001577E-2</v>
      </c>
      <c r="AG803" s="3">
        <f t="shared" si="46"/>
        <v>-0.54005562143733721</v>
      </c>
      <c r="AH803" s="3">
        <f t="shared" si="47"/>
        <v>801</v>
      </c>
    </row>
    <row r="804" spans="32:34" x14ac:dyDescent="0.2">
      <c r="AF804" s="3">
        <f t="shared" si="45"/>
        <v>9.100000000000158E-2</v>
      </c>
      <c r="AG804" s="3">
        <f t="shared" si="46"/>
        <v>-0.5404018486028368</v>
      </c>
      <c r="AH804" s="3">
        <f t="shared" si="47"/>
        <v>802</v>
      </c>
    </row>
    <row r="805" spans="32:34" x14ac:dyDescent="0.2">
      <c r="AF805" s="3">
        <f t="shared" si="45"/>
        <v>9.1100000000001582E-2</v>
      </c>
      <c r="AG805" s="3">
        <f t="shared" si="46"/>
        <v>-0.54074780350762219</v>
      </c>
      <c r="AH805" s="3">
        <f t="shared" si="47"/>
        <v>803</v>
      </c>
    </row>
    <row r="806" spans="32:34" x14ac:dyDescent="0.2">
      <c r="AF806" s="3">
        <f t="shared" si="45"/>
        <v>9.1200000000001585E-2</v>
      </c>
      <c r="AG806" s="3">
        <f t="shared" si="46"/>
        <v>-0.54109348645055266</v>
      </c>
      <c r="AH806" s="3">
        <f t="shared" si="47"/>
        <v>804</v>
      </c>
    </row>
    <row r="807" spans="32:34" x14ac:dyDescent="0.2">
      <c r="AF807" s="3">
        <f t="shared" si="45"/>
        <v>9.1300000000001588E-2</v>
      </c>
      <c r="AG807" s="3">
        <f t="shared" si="46"/>
        <v>-0.54143889772983234</v>
      </c>
      <c r="AH807" s="3">
        <f t="shared" si="47"/>
        <v>805</v>
      </c>
    </row>
    <row r="808" spans="32:34" x14ac:dyDescent="0.2">
      <c r="AF808" s="3">
        <f t="shared" si="45"/>
        <v>9.1400000000001591E-2</v>
      </c>
      <c r="AG808" s="3">
        <f t="shared" si="46"/>
        <v>-0.54178403764301164</v>
      </c>
      <c r="AH808" s="3">
        <f t="shared" si="47"/>
        <v>806</v>
      </c>
    </row>
    <row r="809" spans="32:34" x14ac:dyDescent="0.2">
      <c r="AF809" s="3">
        <f t="shared" si="45"/>
        <v>9.1500000000001594E-2</v>
      </c>
      <c r="AG809" s="3">
        <f t="shared" si="46"/>
        <v>-0.5421289064869903</v>
      </c>
      <c r="AH809" s="3">
        <f t="shared" si="47"/>
        <v>807</v>
      </c>
    </row>
    <row r="810" spans="32:34" x14ac:dyDescent="0.2">
      <c r="AF810" s="3">
        <f t="shared" si="45"/>
        <v>9.1600000000001597E-2</v>
      </c>
      <c r="AG810" s="3">
        <f t="shared" si="46"/>
        <v>-0.54247350455801902</v>
      </c>
      <c r="AH810" s="3">
        <f t="shared" si="47"/>
        <v>808</v>
      </c>
    </row>
    <row r="811" spans="32:34" x14ac:dyDescent="0.2">
      <c r="AF811" s="3">
        <f t="shared" si="45"/>
        <v>9.17000000000016E-2</v>
      </c>
      <c r="AG811" s="3">
        <f t="shared" si="46"/>
        <v>-0.54281783215170121</v>
      </c>
      <c r="AH811" s="3">
        <f t="shared" si="47"/>
        <v>809</v>
      </c>
    </row>
    <row r="812" spans="32:34" x14ac:dyDescent="0.2">
      <c r="AF812" s="3">
        <f t="shared" si="45"/>
        <v>9.1800000000001603E-2</v>
      </c>
      <c r="AG812" s="3">
        <f t="shared" si="46"/>
        <v>-0.54316188956299627</v>
      </c>
      <c r="AH812" s="3">
        <f t="shared" si="47"/>
        <v>810</v>
      </c>
    </row>
    <row r="813" spans="32:34" x14ac:dyDescent="0.2">
      <c r="AF813" s="3">
        <f t="shared" si="45"/>
        <v>9.1900000000001605E-2</v>
      </c>
      <c r="AG813" s="3">
        <f t="shared" si="46"/>
        <v>-0.54350567708622044</v>
      </c>
      <c r="AH813" s="3">
        <f t="shared" si="47"/>
        <v>811</v>
      </c>
    </row>
    <row r="814" spans="32:34" x14ac:dyDescent="0.2">
      <c r="AF814" s="3">
        <f t="shared" si="45"/>
        <v>9.2000000000001608E-2</v>
      </c>
      <c r="AG814" s="3">
        <f t="shared" si="46"/>
        <v>-0.54384919501504991</v>
      </c>
      <c r="AH814" s="3">
        <f t="shared" si="47"/>
        <v>812</v>
      </c>
    </row>
    <row r="815" spans="32:34" x14ac:dyDescent="0.2">
      <c r="AF815" s="3">
        <f t="shared" si="45"/>
        <v>9.2100000000001611E-2</v>
      </c>
      <c r="AG815" s="3">
        <f t="shared" si="46"/>
        <v>-0.54419244364252184</v>
      </c>
      <c r="AH815" s="3">
        <f t="shared" si="47"/>
        <v>813</v>
      </c>
    </row>
    <row r="816" spans="32:34" x14ac:dyDescent="0.2">
      <c r="AF816" s="3">
        <f t="shared" si="45"/>
        <v>9.2200000000001614E-2</v>
      </c>
      <c r="AG816" s="3">
        <f t="shared" si="46"/>
        <v>-0.54453542326103754</v>
      </c>
      <c r="AH816" s="3">
        <f t="shared" si="47"/>
        <v>814</v>
      </c>
    </row>
    <row r="817" spans="32:34" x14ac:dyDescent="0.2">
      <c r="AF817" s="3">
        <f t="shared" si="45"/>
        <v>9.2300000000001617E-2</v>
      </c>
      <c r="AG817" s="3">
        <f t="shared" si="46"/>
        <v>-0.54487813416236397</v>
      </c>
      <c r="AH817" s="3">
        <f t="shared" si="47"/>
        <v>815</v>
      </c>
    </row>
    <row r="818" spans="32:34" x14ac:dyDescent="0.2">
      <c r="AF818" s="3">
        <f t="shared" si="45"/>
        <v>9.240000000000162E-2</v>
      </c>
      <c r="AG818" s="3">
        <f t="shared" si="46"/>
        <v>-0.54522057663763568</v>
      </c>
      <c r="AH818" s="3">
        <f t="shared" si="47"/>
        <v>816</v>
      </c>
    </row>
    <row r="819" spans="32:34" x14ac:dyDescent="0.2">
      <c r="AF819" s="3">
        <f t="shared" si="45"/>
        <v>9.2500000000001623E-2</v>
      </c>
      <c r="AG819" s="3">
        <f t="shared" si="46"/>
        <v>-0.54556275097735729</v>
      </c>
      <c r="AH819" s="3">
        <f t="shared" si="47"/>
        <v>817</v>
      </c>
    </row>
    <row r="820" spans="32:34" x14ac:dyDescent="0.2">
      <c r="AF820" s="3">
        <f t="shared" si="45"/>
        <v>9.2600000000001625E-2</v>
      </c>
      <c r="AG820" s="3">
        <f t="shared" si="46"/>
        <v>-0.54590465747140504</v>
      </c>
      <c r="AH820" s="3">
        <f t="shared" si="47"/>
        <v>818</v>
      </c>
    </row>
    <row r="821" spans="32:34" x14ac:dyDescent="0.2">
      <c r="AF821" s="3">
        <f t="shared" si="45"/>
        <v>9.2700000000001628E-2</v>
      </c>
      <c r="AG821" s="3">
        <f t="shared" si="46"/>
        <v>-0.54624629640902933</v>
      </c>
      <c r="AH821" s="3">
        <f t="shared" si="47"/>
        <v>819</v>
      </c>
    </row>
    <row r="822" spans="32:34" x14ac:dyDescent="0.2">
      <c r="AF822" s="3">
        <f t="shared" si="45"/>
        <v>9.2800000000001631E-2</v>
      </c>
      <c r="AG822" s="3">
        <f t="shared" si="46"/>
        <v>-0.54658766807885639</v>
      </c>
      <c r="AH822" s="3">
        <f t="shared" si="47"/>
        <v>820</v>
      </c>
    </row>
    <row r="823" spans="32:34" x14ac:dyDescent="0.2">
      <c r="AF823" s="3">
        <f t="shared" ref="AF823:AF886" si="48">AF822+0.0001</f>
        <v>9.2900000000001634E-2</v>
      </c>
      <c r="AG823" s="3">
        <f t="shared" si="46"/>
        <v>-0.54692877276889029</v>
      </c>
      <c r="AH823" s="3">
        <f t="shared" si="47"/>
        <v>821</v>
      </c>
    </row>
    <row r="824" spans="32:34" x14ac:dyDescent="0.2">
      <c r="AF824" s="3">
        <f t="shared" si="48"/>
        <v>9.3000000000001637E-2</v>
      </c>
      <c r="AG824" s="3">
        <f t="shared" si="46"/>
        <v>-0.54726961076651537</v>
      </c>
      <c r="AH824" s="3">
        <f t="shared" si="47"/>
        <v>822</v>
      </c>
    </row>
    <row r="825" spans="32:34" x14ac:dyDescent="0.2">
      <c r="AF825" s="3">
        <f t="shared" si="48"/>
        <v>9.310000000000164E-2</v>
      </c>
      <c r="AG825" s="3">
        <f t="shared" si="46"/>
        <v>-0.54761018235849779</v>
      </c>
      <c r="AH825" s="3">
        <f t="shared" si="47"/>
        <v>823</v>
      </c>
    </row>
    <row r="826" spans="32:34" x14ac:dyDescent="0.2">
      <c r="AF826" s="3">
        <f t="shared" si="48"/>
        <v>9.3200000000001643E-2</v>
      </c>
      <c r="AG826" s="3">
        <f t="shared" si="46"/>
        <v>-0.54795048783098743</v>
      </c>
      <c r="AH826" s="3">
        <f t="shared" si="47"/>
        <v>824</v>
      </c>
    </row>
    <row r="827" spans="32:34" x14ac:dyDescent="0.2">
      <c r="AF827" s="3">
        <f t="shared" si="48"/>
        <v>9.3300000000001646E-2</v>
      </c>
      <c r="AG827" s="3">
        <f t="shared" si="46"/>
        <v>-0.54829052746952067</v>
      </c>
      <c r="AH827" s="3">
        <f t="shared" si="47"/>
        <v>825</v>
      </c>
    </row>
    <row r="828" spans="32:34" x14ac:dyDescent="0.2">
      <c r="AF828" s="3">
        <f t="shared" si="48"/>
        <v>9.3400000000001648E-2</v>
      </c>
      <c r="AG828" s="3">
        <f t="shared" si="46"/>
        <v>-0.54863030155902115</v>
      </c>
      <c r="AH828" s="3">
        <f t="shared" si="47"/>
        <v>826</v>
      </c>
    </row>
    <row r="829" spans="32:34" x14ac:dyDescent="0.2">
      <c r="AF829" s="3">
        <f t="shared" si="48"/>
        <v>9.3500000000001651E-2</v>
      </c>
      <c r="AG829" s="3">
        <f t="shared" si="46"/>
        <v>-0.54896981038380288</v>
      </c>
      <c r="AH829" s="3">
        <f t="shared" si="47"/>
        <v>827</v>
      </c>
    </row>
    <row r="830" spans="32:34" x14ac:dyDescent="0.2">
      <c r="AF830" s="3">
        <f t="shared" si="48"/>
        <v>9.3600000000001654E-2</v>
      </c>
      <c r="AG830" s="3">
        <f t="shared" si="46"/>
        <v>-0.54930905422757148</v>
      </c>
      <c r="AH830" s="3">
        <f t="shared" si="47"/>
        <v>828</v>
      </c>
    </row>
    <row r="831" spans="32:34" x14ac:dyDescent="0.2">
      <c r="AF831" s="3">
        <f t="shared" si="48"/>
        <v>9.3700000000001657E-2</v>
      </c>
      <c r="AG831" s="3">
        <f t="shared" si="46"/>
        <v>-0.5496480333734266</v>
      </c>
      <c r="AH831" s="3">
        <f t="shared" si="47"/>
        <v>829</v>
      </c>
    </row>
    <row r="832" spans="32:34" x14ac:dyDescent="0.2">
      <c r="AF832" s="3">
        <f t="shared" si="48"/>
        <v>9.380000000000166E-2</v>
      </c>
      <c r="AG832" s="3">
        <f t="shared" si="46"/>
        <v>-0.54998674810386328</v>
      </c>
      <c r="AH832" s="3">
        <f t="shared" si="47"/>
        <v>830</v>
      </c>
    </row>
    <row r="833" spans="32:34" x14ac:dyDescent="0.2">
      <c r="AF833" s="3">
        <f t="shared" si="48"/>
        <v>9.3900000000001663E-2</v>
      </c>
      <c r="AG833" s="3">
        <f t="shared" si="46"/>
        <v>-0.55032519870077434</v>
      </c>
      <c r="AH833" s="3">
        <f t="shared" si="47"/>
        <v>831</v>
      </c>
    </row>
    <row r="834" spans="32:34" x14ac:dyDescent="0.2">
      <c r="AF834" s="3">
        <f t="shared" si="48"/>
        <v>9.4000000000001666E-2</v>
      </c>
      <c r="AG834" s="3">
        <f t="shared" si="46"/>
        <v>-0.55066338544545246</v>
      </c>
      <c r="AH834" s="3">
        <f t="shared" si="47"/>
        <v>832</v>
      </c>
    </row>
    <row r="835" spans="32:34" x14ac:dyDescent="0.2">
      <c r="AF835" s="3">
        <f t="shared" si="48"/>
        <v>9.4100000000001668E-2</v>
      </c>
      <c r="AG835" s="3">
        <f t="shared" ref="AG835:AG898" si="49">RT0*AF835*LN(AF835)</f>
        <v>-0.55100130861859142</v>
      </c>
      <c r="AH835" s="3">
        <f t="shared" si="47"/>
        <v>833</v>
      </c>
    </row>
    <row r="836" spans="32:34" x14ac:dyDescent="0.2">
      <c r="AF836" s="3">
        <f t="shared" si="48"/>
        <v>9.4200000000001671E-2</v>
      </c>
      <c r="AG836" s="3">
        <f t="shared" si="49"/>
        <v>-0.55133896850028885</v>
      </c>
      <c r="AH836" s="3">
        <f t="shared" si="47"/>
        <v>834</v>
      </c>
    </row>
    <row r="837" spans="32:34" x14ac:dyDescent="0.2">
      <c r="AF837" s="3">
        <f t="shared" si="48"/>
        <v>9.4300000000001674E-2</v>
      </c>
      <c r="AG837" s="3">
        <f t="shared" si="49"/>
        <v>-0.55167636537004716</v>
      </c>
      <c r="AH837" s="3">
        <f t="shared" ref="AH837:AH900" si="50">AH836+1</f>
        <v>835</v>
      </c>
    </row>
    <row r="838" spans="32:34" x14ac:dyDescent="0.2">
      <c r="AF838" s="3">
        <f t="shared" si="48"/>
        <v>9.4400000000001677E-2</v>
      </c>
      <c r="AG838" s="3">
        <f t="shared" si="49"/>
        <v>-0.55201349950677636</v>
      </c>
      <c r="AH838" s="3">
        <f t="shared" si="50"/>
        <v>836</v>
      </c>
    </row>
    <row r="839" spans="32:34" x14ac:dyDescent="0.2">
      <c r="AF839" s="3">
        <f t="shared" si="48"/>
        <v>9.450000000000168E-2</v>
      </c>
      <c r="AG839" s="3">
        <f t="shared" si="49"/>
        <v>-0.5523503711887956</v>
      </c>
      <c r="AH839" s="3">
        <f t="shared" si="50"/>
        <v>837</v>
      </c>
    </row>
    <row r="840" spans="32:34" x14ac:dyDescent="0.2">
      <c r="AF840" s="3">
        <f t="shared" si="48"/>
        <v>9.4600000000001683E-2</v>
      </c>
      <c r="AG840" s="3">
        <f t="shared" si="49"/>
        <v>-0.55268698069383448</v>
      </c>
      <c r="AH840" s="3">
        <f t="shared" si="50"/>
        <v>838</v>
      </c>
    </row>
    <row r="841" spans="32:34" x14ac:dyDescent="0.2">
      <c r="AF841" s="3">
        <f t="shared" si="48"/>
        <v>9.4700000000001686E-2</v>
      </c>
      <c r="AG841" s="3">
        <f t="shared" si="49"/>
        <v>-0.55302332829903622</v>
      </c>
      <c r="AH841" s="3">
        <f t="shared" si="50"/>
        <v>839</v>
      </c>
    </row>
    <row r="842" spans="32:34" x14ac:dyDescent="0.2">
      <c r="AF842" s="3">
        <f t="shared" si="48"/>
        <v>9.4800000000001688E-2</v>
      </c>
      <c r="AG842" s="3">
        <f t="shared" si="49"/>
        <v>-0.55335941428095792</v>
      </c>
      <c r="AH842" s="3">
        <f t="shared" si="50"/>
        <v>840</v>
      </c>
    </row>
    <row r="843" spans="32:34" x14ac:dyDescent="0.2">
      <c r="AF843" s="3">
        <f t="shared" si="48"/>
        <v>9.4900000000001691E-2</v>
      </c>
      <c r="AG843" s="3">
        <f t="shared" si="49"/>
        <v>-0.55369523891557382</v>
      </c>
      <c r="AH843" s="3">
        <f t="shared" si="50"/>
        <v>841</v>
      </c>
    </row>
    <row r="844" spans="32:34" x14ac:dyDescent="0.2">
      <c r="AF844" s="3">
        <f t="shared" si="48"/>
        <v>9.5000000000001694E-2</v>
      </c>
      <c r="AG844" s="3">
        <f t="shared" si="49"/>
        <v>-0.55403080247827619</v>
      </c>
      <c r="AH844" s="3">
        <f t="shared" si="50"/>
        <v>842</v>
      </c>
    </row>
    <row r="845" spans="32:34" x14ac:dyDescent="0.2">
      <c r="AF845" s="3">
        <f t="shared" si="48"/>
        <v>9.5100000000001697E-2</v>
      </c>
      <c r="AG845" s="3">
        <f t="shared" si="49"/>
        <v>-0.55436610524387797</v>
      </c>
      <c r="AH845" s="3">
        <f t="shared" si="50"/>
        <v>843</v>
      </c>
    </row>
    <row r="846" spans="32:34" x14ac:dyDescent="0.2">
      <c r="AF846" s="3">
        <f t="shared" si="48"/>
        <v>9.52000000000017E-2</v>
      </c>
      <c r="AG846" s="3">
        <f t="shared" si="49"/>
        <v>-0.55470114748661359</v>
      </c>
      <c r="AH846" s="3">
        <f t="shared" si="50"/>
        <v>844</v>
      </c>
    </row>
    <row r="847" spans="32:34" x14ac:dyDescent="0.2">
      <c r="AF847" s="3">
        <f t="shared" si="48"/>
        <v>9.5300000000001703E-2</v>
      </c>
      <c r="AG847" s="3">
        <f t="shared" si="49"/>
        <v>-0.55503592948014158</v>
      </c>
      <c r="AH847" s="3">
        <f t="shared" si="50"/>
        <v>845</v>
      </c>
    </row>
    <row r="848" spans="32:34" x14ac:dyDescent="0.2">
      <c r="AF848" s="3">
        <f t="shared" si="48"/>
        <v>9.5400000000001706E-2</v>
      </c>
      <c r="AG848" s="3">
        <f t="shared" si="49"/>
        <v>-0.55537045149754638</v>
      </c>
      <c r="AH848" s="3">
        <f t="shared" si="50"/>
        <v>846</v>
      </c>
    </row>
    <row r="849" spans="32:34" x14ac:dyDescent="0.2">
      <c r="AF849" s="3">
        <f t="shared" si="48"/>
        <v>9.5500000000001709E-2</v>
      </c>
      <c r="AG849" s="3">
        <f t="shared" si="49"/>
        <v>-0.55570471381133968</v>
      </c>
      <c r="AH849" s="3">
        <f t="shared" si="50"/>
        <v>847</v>
      </c>
    </row>
    <row r="850" spans="32:34" x14ac:dyDescent="0.2">
      <c r="AF850" s="3">
        <f t="shared" si="48"/>
        <v>9.5600000000001711E-2</v>
      </c>
      <c r="AG850" s="3">
        <f t="shared" si="49"/>
        <v>-0.5560387166934625</v>
      </c>
      <c r="AH850" s="3">
        <f t="shared" si="50"/>
        <v>848</v>
      </c>
    </row>
    <row r="851" spans="32:34" x14ac:dyDescent="0.2">
      <c r="AF851" s="3">
        <f t="shared" si="48"/>
        <v>9.5700000000001714E-2</v>
      </c>
      <c r="AG851" s="3">
        <f t="shared" si="49"/>
        <v>-0.5563724604152871</v>
      </c>
      <c r="AH851" s="3">
        <f t="shared" si="50"/>
        <v>849</v>
      </c>
    </row>
    <row r="852" spans="32:34" x14ac:dyDescent="0.2">
      <c r="AF852" s="3">
        <f t="shared" si="48"/>
        <v>9.5800000000001717E-2</v>
      </c>
      <c r="AG852" s="3">
        <f t="shared" si="49"/>
        <v>-0.55670594524761829</v>
      </c>
      <c r="AH852" s="3">
        <f t="shared" si="50"/>
        <v>850</v>
      </c>
    </row>
    <row r="853" spans="32:34" x14ac:dyDescent="0.2">
      <c r="AF853" s="3">
        <f t="shared" si="48"/>
        <v>9.590000000000172E-2</v>
      </c>
      <c r="AG853" s="3">
        <f t="shared" si="49"/>
        <v>-0.55703917146069593</v>
      </c>
      <c r="AH853" s="3">
        <f t="shared" si="50"/>
        <v>851</v>
      </c>
    </row>
    <row r="854" spans="32:34" x14ac:dyDescent="0.2">
      <c r="AF854" s="3">
        <f t="shared" si="48"/>
        <v>9.6000000000001723E-2</v>
      </c>
      <c r="AG854" s="3">
        <f t="shared" si="49"/>
        <v>-0.55737213932419594</v>
      </c>
      <c r="AH854" s="3">
        <f t="shared" si="50"/>
        <v>852</v>
      </c>
    </row>
    <row r="855" spans="32:34" x14ac:dyDescent="0.2">
      <c r="AF855" s="3">
        <f t="shared" si="48"/>
        <v>9.6100000000001726E-2</v>
      </c>
      <c r="AG855" s="3">
        <f t="shared" si="49"/>
        <v>-0.55770484910723261</v>
      </c>
      <c r="AH855" s="3">
        <f t="shared" si="50"/>
        <v>853</v>
      </c>
    </row>
    <row r="856" spans="32:34" x14ac:dyDescent="0.2">
      <c r="AF856" s="3">
        <f t="shared" si="48"/>
        <v>9.6200000000001729E-2</v>
      </c>
      <c r="AG856" s="3">
        <f t="shared" si="49"/>
        <v>-0.55803730107836014</v>
      </c>
      <c r="AH856" s="3">
        <f t="shared" si="50"/>
        <v>854</v>
      </c>
    </row>
    <row r="857" spans="32:34" x14ac:dyDescent="0.2">
      <c r="AF857" s="3">
        <f t="shared" si="48"/>
        <v>9.6300000000001731E-2</v>
      </c>
      <c r="AG857" s="3">
        <f t="shared" si="49"/>
        <v>-0.55836949550557424</v>
      </c>
      <c r="AH857" s="3">
        <f t="shared" si="50"/>
        <v>855</v>
      </c>
    </row>
    <row r="858" spans="32:34" x14ac:dyDescent="0.2">
      <c r="AF858" s="3">
        <f t="shared" si="48"/>
        <v>9.6400000000001734E-2</v>
      </c>
      <c r="AG858" s="3">
        <f t="shared" si="49"/>
        <v>-0.55870143265631433</v>
      </c>
      <c r="AH858" s="3">
        <f t="shared" si="50"/>
        <v>856</v>
      </c>
    </row>
    <row r="859" spans="32:34" x14ac:dyDescent="0.2">
      <c r="AF859" s="3">
        <f t="shared" si="48"/>
        <v>9.6500000000001737E-2</v>
      </c>
      <c r="AG859" s="3">
        <f t="shared" si="49"/>
        <v>-0.55903311279746482</v>
      </c>
      <c r="AH859" s="3">
        <f t="shared" si="50"/>
        <v>857</v>
      </c>
    </row>
    <row r="860" spans="32:34" x14ac:dyDescent="0.2">
      <c r="AF860" s="3">
        <f t="shared" si="48"/>
        <v>9.660000000000174E-2</v>
      </c>
      <c r="AG860" s="3">
        <f t="shared" si="49"/>
        <v>-0.55936453619535687</v>
      </c>
      <c r="AH860" s="3">
        <f t="shared" si="50"/>
        <v>858</v>
      </c>
    </row>
    <row r="861" spans="32:34" x14ac:dyDescent="0.2">
      <c r="AF861" s="3">
        <f t="shared" si="48"/>
        <v>9.6700000000001743E-2</v>
      </c>
      <c r="AG861" s="3">
        <f t="shared" si="49"/>
        <v>-0.55969570311577044</v>
      </c>
      <c r="AH861" s="3">
        <f t="shared" si="50"/>
        <v>859</v>
      </c>
    </row>
    <row r="862" spans="32:34" x14ac:dyDescent="0.2">
      <c r="AF862" s="3">
        <f t="shared" si="48"/>
        <v>9.6800000000001746E-2</v>
      </c>
      <c r="AG862" s="3">
        <f t="shared" si="49"/>
        <v>-0.5600266138239357</v>
      </c>
      <c r="AH862" s="3">
        <f t="shared" si="50"/>
        <v>860</v>
      </c>
    </row>
    <row r="863" spans="32:34" x14ac:dyDescent="0.2">
      <c r="AF863" s="3">
        <f t="shared" si="48"/>
        <v>9.6900000000001749E-2</v>
      </c>
      <c r="AG863" s="3">
        <f t="shared" si="49"/>
        <v>-0.56035726858453472</v>
      </c>
      <c r="AH863" s="3">
        <f t="shared" si="50"/>
        <v>861</v>
      </c>
    </row>
    <row r="864" spans="32:34" x14ac:dyDescent="0.2">
      <c r="AF864" s="3">
        <f t="shared" si="48"/>
        <v>9.7000000000001751E-2</v>
      </c>
      <c r="AG864" s="3">
        <f t="shared" si="49"/>
        <v>-0.5606876676617033</v>
      </c>
      <c r="AH864" s="3">
        <f t="shared" si="50"/>
        <v>862</v>
      </c>
    </row>
    <row r="865" spans="32:34" x14ac:dyDescent="0.2">
      <c r="AF865" s="3">
        <f t="shared" si="48"/>
        <v>9.7100000000001754E-2</v>
      </c>
      <c r="AG865" s="3">
        <f t="shared" si="49"/>
        <v>-0.56101781131903294</v>
      </c>
      <c r="AH865" s="3">
        <f t="shared" si="50"/>
        <v>863</v>
      </c>
    </row>
    <row r="866" spans="32:34" x14ac:dyDescent="0.2">
      <c r="AF866" s="3">
        <f t="shared" si="48"/>
        <v>9.7200000000001757E-2</v>
      </c>
      <c r="AG866" s="3">
        <f t="shared" si="49"/>
        <v>-0.56134769981957178</v>
      </c>
      <c r="AH866" s="3">
        <f t="shared" si="50"/>
        <v>864</v>
      </c>
    </row>
    <row r="867" spans="32:34" x14ac:dyDescent="0.2">
      <c r="AF867" s="3">
        <f t="shared" si="48"/>
        <v>9.730000000000176E-2</v>
      </c>
      <c r="AG867" s="3">
        <f t="shared" si="49"/>
        <v>-0.56167733342582704</v>
      </c>
      <c r="AH867" s="3">
        <f t="shared" si="50"/>
        <v>865</v>
      </c>
    </row>
    <row r="868" spans="32:34" x14ac:dyDescent="0.2">
      <c r="AF868" s="3">
        <f t="shared" si="48"/>
        <v>9.7400000000001763E-2</v>
      </c>
      <c r="AG868" s="3">
        <f t="shared" si="49"/>
        <v>-0.56200671239976618</v>
      </c>
      <c r="AH868" s="3">
        <f t="shared" si="50"/>
        <v>866</v>
      </c>
    </row>
    <row r="869" spans="32:34" x14ac:dyDescent="0.2">
      <c r="AF869" s="3">
        <f t="shared" si="48"/>
        <v>9.7500000000001766E-2</v>
      </c>
      <c r="AG869" s="3">
        <f t="shared" si="49"/>
        <v>-0.56233583700281875</v>
      </c>
      <c r="AH869" s="3">
        <f t="shared" si="50"/>
        <v>867</v>
      </c>
    </row>
    <row r="870" spans="32:34" x14ac:dyDescent="0.2">
      <c r="AF870" s="3">
        <f t="shared" si="48"/>
        <v>9.7600000000001769E-2</v>
      </c>
      <c r="AG870" s="3">
        <f t="shared" si="49"/>
        <v>-0.56266470749587794</v>
      </c>
      <c r="AH870" s="3">
        <f t="shared" si="50"/>
        <v>868</v>
      </c>
    </row>
    <row r="871" spans="32:34" x14ac:dyDescent="0.2">
      <c r="AF871" s="3">
        <f t="shared" si="48"/>
        <v>9.7700000000001772E-2</v>
      </c>
      <c r="AG871" s="3">
        <f t="shared" si="49"/>
        <v>-0.5629933241393027</v>
      </c>
      <c r="AH871" s="3">
        <f t="shared" si="50"/>
        <v>869</v>
      </c>
    </row>
    <row r="872" spans="32:34" x14ac:dyDescent="0.2">
      <c r="AF872" s="3">
        <f t="shared" si="48"/>
        <v>9.7800000000001774E-2</v>
      </c>
      <c r="AG872" s="3">
        <f t="shared" si="49"/>
        <v>-0.56332168719291842</v>
      </c>
      <c r="AH872" s="3">
        <f t="shared" si="50"/>
        <v>870</v>
      </c>
    </row>
    <row r="873" spans="32:34" x14ac:dyDescent="0.2">
      <c r="AF873" s="3">
        <f t="shared" si="48"/>
        <v>9.7900000000001777E-2</v>
      </c>
      <c r="AG873" s="3">
        <f t="shared" si="49"/>
        <v>-0.5636497969160198</v>
      </c>
      <c r="AH873" s="3">
        <f t="shared" si="50"/>
        <v>871</v>
      </c>
    </row>
    <row r="874" spans="32:34" x14ac:dyDescent="0.2">
      <c r="AF874" s="3">
        <f t="shared" si="48"/>
        <v>9.800000000000178E-2</v>
      </c>
      <c r="AG874" s="3">
        <f t="shared" si="49"/>
        <v>-0.56397765356737117</v>
      </c>
      <c r="AH874" s="3">
        <f t="shared" si="50"/>
        <v>872</v>
      </c>
    </row>
    <row r="875" spans="32:34" x14ac:dyDescent="0.2">
      <c r="AF875" s="3">
        <f t="shared" si="48"/>
        <v>9.8100000000001783E-2</v>
      </c>
      <c r="AG875" s="3">
        <f t="shared" si="49"/>
        <v>-0.56430525740520954</v>
      </c>
      <c r="AH875" s="3">
        <f t="shared" si="50"/>
        <v>873</v>
      </c>
    </row>
    <row r="876" spans="32:34" x14ac:dyDescent="0.2">
      <c r="AF876" s="3">
        <f t="shared" si="48"/>
        <v>9.8200000000001786E-2</v>
      </c>
      <c r="AG876" s="3">
        <f t="shared" si="49"/>
        <v>-0.56463260868724452</v>
      </c>
      <c r="AH876" s="3">
        <f t="shared" si="50"/>
        <v>874</v>
      </c>
    </row>
    <row r="877" spans="32:34" x14ac:dyDescent="0.2">
      <c r="AF877" s="3">
        <f t="shared" si="48"/>
        <v>9.8300000000001789E-2</v>
      </c>
      <c r="AG877" s="3">
        <f t="shared" si="49"/>
        <v>-0.56495970767066173</v>
      </c>
      <c r="AH877" s="3">
        <f t="shared" si="50"/>
        <v>875</v>
      </c>
    </row>
    <row r="878" spans="32:34" x14ac:dyDescent="0.2">
      <c r="AF878" s="3">
        <f t="shared" si="48"/>
        <v>9.8400000000001792E-2</v>
      </c>
      <c r="AG878" s="3">
        <f t="shared" si="49"/>
        <v>-0.56528655461212285</v>
      </c>
      <c r="AH878" s="3">
        <f t="shared" si="50"/>
        <v>876</v>
      </c>
    </row>
    <row r="879" spans="32:34" x14ac:dyDescent="0.2">
      <c r="AF879" s="3">
        <f t="shared" si="48"/>
        <v>9.8500000000001794E-2</v>
      </c>
      <c r="AG879" s="3">
        <f t="shared" si="49"/>
        <v>-0.56561314976776822</v>
      </c>
      <c r="AH879" s="3">
        <f t="shared" si="50"/>
        <v>877</v>
      </c>
    </row>
    <row r="880" spans="32:34" x14ac:dyDescent="0.2">
      <c r="AF880" s="3">
        <f t="shared" si="48"/>
        <v>9.8600000000001797E-2</v>
      </c>
      <c r="AG880" s="3">
        <f t="shared" si="49"/>
        <v>-0.56593949339321825</v>
      </c>
      <c r="AH880" s="3">
        <f t="shared" si="50"/>
        <v>878</v>
      </c>
    </row>
    <row r="881" spans="32:34" x14ac:dyDescent="0.2">
      <c r="AF881" s="3">
        <f t="shared" si="48"/>
        <v>9.87000000000018E-2</v>
      </c>
      <c r="AG881" s="3">
        <f t="shared" si="49"/>
        <v>-0.56626558574357433</v>
      </c>
      <c r="AH881" s="3">
        <f t="shared" si="50"/>
        <v>879</v>
      </c>
    </row>
    <row r="882" spans="32:34" x14ac:dyDescent="0.2">
      <c r="AF882" s="3">
        <f t="shared" si="48"/>
        <v>9.8800000000001803E-2</v>
      </c>
      <c r="AG882" s="3">
        <f t="shared" si="49"/>
        <v>-0.56659142707342147</v>
      </c>
      <c r="AH882" s="3">
        <f t="shared" si="50"/>
        <v>880</v>
      </c>
    </row>
    <row r="883" spans="32:34" x14ac:dyDescent="0.2">
      <c r="AF883" s="3">
        <f t="shared" si="48"/>
        <v>9.8900000000001806E-2</v>
      </c>
      <c r="AG883" s="3">
        <f t="shared" si="49"/>
        <v>-0.56691701763682911</v>
      </c>
      <c r="AH883" s="3">
        <f t="shared" si="50"/>
        <v>881</v>
      </c>
    </row>
    <row r="884" spans="32:34" x14ac:dyDescent="0.2">
      <c r="AF884" s="3">
        <f t="shared" si="48"/>
        <v>9.9000000000001809E-2</v>
      </c>
      <c r="AG884" s="3">
        <f t="shared" si="49"/>
        <v>-0.56724235768735265</v>
      </c>
      <c r="AH884" s="3">
        <f t="shared" si="50"/>
        <v>882</v>
      </c>
    </row>
    <row r="885" spans="32:34" x14ac:dyDescent="0.2">
      <c r="AF885" s="3">
        <f t="shared" si="48"/>
        <v>9.9100000000001812E-2</v>
      </c>
      <c r="AG885" s="3">
        <f t="shared" si="49"/>
        <v>-0.56756744747803578</v>
      </c>
      <c r="AH885" s="3">
        <f t="shared" si="50"/>
        <v>883</v>
      </c>
    </row>
    <row r="886" spans="32:34" x14ac:dyDescent="0.2">
      <c r="AF886" s="3">
        <f t="shared" si="48"/>
        <v>9.9200000000001815E-2</v>
      </c>
      <c r="AG886" s="3">
        <f t="shared" si="49"/>
        <v>-0.56789228726141106</v>
      </c>
      <c r="AH886" s="3">
        <f t="shared" si="50"/>
        <v>884</v>
      </c>
    </row>
    <row r="887" spans="32:34" x14ac:dyDescent="0.2">
      <c r="AF887" s="3">
        <f t="shared" ref="AF887" si="51">AF886+0.0001</f>
        <v>9.9300000000001817E-2</v>
      </c>
      <c r="AG887" s="3">
        <f t="shared" si="49"/>
        <v>-0.56821687728950199</v>
      </c>
      <c r="AH887" s="3">
        <f t="shared" si="50"/>
        <v>885</v>
      </c>
    </row>
    <row r="888" spans="32:34" x14ac:dyDescent="0.2">
      <c r="AF888" s="3">
        <f>AF887+0.0001</f>
        <v>9.940000000000182E-2</v>
      </c>
      <c r="AG888" s="3">
        <f t="shared" si="49"/>
        <v>-0.56854121781382483</v>
      </c>
      <c r="AH888" s="3">
        <f t="shared" si="50"/>
        <v>886</v>
      </c>
    </row>
    <row r="889" spans="32:34" x14ac:dyDescent="0.2">
      <c r="AF889" s="3">
        <f t="shared" ref="AF889:AF952" si="52">AF888+0.0001</f>
        <v>9.9500000000001823E-2</v>
      </c>
      <c r="AG889" s="3">
        <f t="shared" si="49"/>
        <v>-0.56886530908538935</v>
      </c>
      <c r="AH889" s="3">
        <f t="shared" si="50"/>
        <v>887</v>
      </c>
    </row>
    <row r="890" spans="32:34" x14ac:dyDescent="0.2">
      <c r="AF890" s="3">
        <f t="shared" si="52"/>
        <v>9.9600000000001826E-2</v>
      </c>
      <c r="AG890" s="3">
        <f t="shared" si="49"/>
        <v>-0.56918915135470083</v>
      </c>
      <c r="AH890" s="3">
        <f t="shared" si="50"/>
        <v>888</v>
      </c>
    </row>
    <row r="891" spans="32:34" x14ac:dyDescent="0.2">
      <c r="AF891" s="3">
        <f t="shared" si="52"/>
        <v>9.9700000000001829E-2</v>
      </c>
      <c r="AG891" s="3">
        <f t="shared" si="49"/>
        <v>-0.56951274487176173</v>
      </c>
      <c r="AH891" s="3">
        <f t="shared" si="50"/>
        <v>889</v>
      </c>
    </row>
    <row r="892" spans="32:34" x14ac:dyDescent="0.2">
      <c r="AF892" s="3">
        <f t="shared" si="52"/>
        <v>9.9800000000001832E-2</v>
      </c>
      <c r="AG892" s="3">
        <f t="shared" si="49"/>
        <v>-0.56983608988607271</v>
      </c>
      <c r="AH892" s="3">
        <f t="shared" si="50"/>
        <v>890</v>
      </c>
    </row>
    <row r="893" spans="32:34" x14ac:dyDescent="0.2">
      <c r="AF893" s="3">
        <f t="shared" si="52"/>
        <v>9.9900000000001835E-2</v>
      </c>
      <c r="AG893" s="3">
        <f t="shared" si="49"/>
        <v>-0.5701591866466349</v>
      </c>
      <c r="AH893" s="3">
        <f t="shared" si="50"/>
        <v>891</v>
      </c>
    </row>
    <row r="894" spans="32:34" x14ac:dyDescent="0.2">
      <c r="AF894" s="3">
        <f t="shared" si="52"/>
        <v>0.10000000000000184</v>
      </c>
      <c r="AG894" s="3">
        <f t="shared" si="49"/>
        <v>-0.5704820354019503</v>
      </c>
      <c r="AH894" s="3">
        <f t="shared" si="50"/>
        <v>892</v>
      </c>
    </row>
    <row r="895" spans="32:34" x14ac:dyDescent="0.2">
      <c r="AF895" s="3">
        <f t="shared" si="52"/>
        <v>0.10010000000000184</v>
      </c>
      <c r="AG895" s="3">
        <f t="shared" si="49"/>
        <v>-0.57080463640002443</v>
      </c>
      <c r="AH895" s="3">
        <f t="shared" si="50"/>
        <v>893</v>
      </c>
    </row>
    <row r="896" spans="32:34" x14ac:dyDescent="0.2">
      <c r="AF896" s="3">
        <f t="shared" si="52"/>
        <v>0.10020000000000184</v>
      </c>
      <c r="AG896" s="3">
        <f t="shared" si="49"/>
        <v>-0.57112698988836708</v>
      </c>
      <c r="AH896" s="3">
        <f t="shared" si="50"/>
        <v>894</v>
      </c>
    </row>
    <row r="897" spans="32:34" x14ac:dyDescent="0.2">
      <c r="AF897" s="3">
        <f t="shared" si="52"/>
        <v>0.10030000000000185</v>
      </c>
      <c r="AG897" s="3">
        <f t="shared" si="49"/>
        <v>-0.57144909611399419</v>
      </c>
      <c r="AH897" s="3">
        <f t="shared" si="50"/>
        <v>895</v>
      </c>
    </row>
    <row r="898" spans="32:34" x14ac:dyDescent="0.2">
      <c r="AF898" s="3">
        <f t="shared" si="52"/>
        <v>0.10040000000000185</v>
      </c>
      <c r="AG898" s="3">
        <f t="shared" si="49"/>
        <v>-0.5717709553234287</v>
      </c>
      <c r="AH898" s="3">
        <f t="shared" si="50"/>
        <v>896</v>
      </c>
    </row>
    <row r="899" spans="32:34" x14ac:dyDescent="0.2">
      <c r="AF899" s="3">
        <f t="shared" si="52"/>
        <v>0.10050000000000185</v>
      </c>
      <c r="AG899" s="3">
        <f t="shared" ref="AG899:AG962" si="53">RT0*AF899*LN(AF899)</f>
        <v>-0.57209256776270301</v>
      </c>
      <c r="AH899" s="3">
        <f t="shared" si="50"/>
        <v>897</v>
      </c>
    </row>
    <row r="900" spans="32:34" x14ac:dyDescent="0.2">
      <c r="AF900" s="3">
        <f t="shared" si="52"/>
        <v>0.10060000000000185</v>
      </c>
      <c r="AG900" s="3">
        <f t="shared" si="53"/>
        <v>-0.57241393367735938</v>
      </c>
      <c r="AH900" s="3">
        <f t="shared" si="50"/>
        <v>898</v>
      </c>
    </row>
    <row r="901" spans="32:34" x14ac:dyDescent="0.2">
      <c r="AF901" s="3">
        <f t="shared" si="52"/>
        <v>0.10070000000000186</v>
      </c>
      <c r="AG901" s="3">
        <f t="shared" si="53"/>
        <v>-0.57273505331245234</v>
      </c>
      <c r="AH901" s="3">
        <f t="shared" ref="AH901:AH964" si="54">AH900+1</f>
        <v>899</v>
      </c>
    </row>
    <row r="902" spans="32:34" x14ac:dyDescent="0.2">
      <c r="AF902" s="3">
        <f t="shared" si="52"/>
        <v>0.10080000000000186</v>
      </c>
      <c r="AG902" s="3">
        <f t="shared" si="53"/>
        <v>-0.57305592691254958</v>
      </c>
      <c r="AH902" s="3">
        <f t="shared" si="54"/>
        <v>900</v>
      </c>
    </row>
    <row r="903" spans="32:34" x14ac:dyDescent="0.2">
      <c r="AF903" s="3">
        <f t="shared" si="52"/>
        <v>0.10090000000000186</v>
      </c>
      <c r="AG903" s="3">
        <f t="shared" si="53"/>
        <v>-0.57337655472173343</v>
      </c>
      <c r="AH903" s="3">
        <f t="shared" si="54"/>
        <v>901</v>
      </c>
    </row>
    <row r="904" spans="32:34" x14ac:dyDescent="0.2">
      <c r="AF904" s="3">
        <f t="shared" si="52"/>
        <v>0.10100000000000187</v>
      </c>
      <c r="AG904" s="3">
        <f t="shared" si="53"/>
        <v>-0.57369693698360258</v>
      </c>
      <c r="AH904" s="3">
        <f t="shared" si="54"/>
        <v>902</v>
      </c>
    </row>
    <row r="905" spans="32:34" x14ac:dyDescent="0.2">
      <c r="AF905" s="3">
        <f t="shared" si="52"/>
        <v>0.10110000000000187</v>
      </c>
      <c r="AG905" s="3">
        <f t="shared" si="53"/>
        <v>-0.57401707394127344</v>
      </c>
      <c r="AH905" s="3">
        <f t="shared" si="54"/>
        <v>903</v>
      </c>
    </row>
    <row r="906" spans="32:34" x14ac:dyDescent="0.2">
      <c r="AF906" s="3">
        <f t="shared" si="52"/>
        <v>0.10120000000000187</v>
      </c>
      <c r="AG906" s="3">
        <f t="shared" si="53"/>
        <v>-0.57433696583738081</v>
      </c>
      <c r="AH906" s="3">
        <f t="shared" si="54"/>
        <v>904</v>
      </c>
    </row>
    <row r="907" spans="32:34" x14ac:dyDescent="0.2">
      <c r="AF907" s="3">
        <f t="shared" si="52"/>
        <v>0.10130000000000187</v>
      </c>
      <c r="AG907" s="3">
        <f t="shared" si="53"/>
        <v>-0.57465661291408099</v>
      </c>
      <c r="AH907" s="3">
        <f t="shared" si="54"/>
        <v>905</v>
      </c>
    </row>
    <row r="908" spans="32:34" x14ac:dyDescent="0.2">
      <c r="AF908" s="3">
        <f t="shared" si="52"/>
        <v>0.10140000000000188</v>
      </c>
      <c r="AG908" s="3">
        <f t="shared" si="53"/>
        <v>-0.5749760154130511</v>
      </c>
      <c r="AH908" s="3">
        <f t="shared" si="54"/>
        <v>906</v>
      </c>
    </row>
    <row r="909" spans="32:34" x14ac:dyDescent="0.2">
      <c r="AF909" s="3">
        <f t="shared" si="52"/>
        <v>0.10150000000000188</v>
      </c>
      <c r="AG909" s="3">
        <f t="shared" si="53"/>
        <v>-0.57529517357549276</v>
      </c>
      <c r="AH909" s="3">
        <f t="shared" si="54"/>
        <v>907</v>
      </c>
    </row>
    <row r="910" spans="32:34" x14ac:dyDescent="0.2">
      <c r="AF910" s="3">
        <f t="shared" si="52"/>
        <v>0.10160000000000188</v>
      </c>
      <c r="AG910" s="3">
        <f t="shared" si="53"/>
        <v>-0.5756140876421314</v>
      </c>
      <c r="AH910" s="3">
        <f t="shared" si="54"/>
        <v>908</v>
      </c>
    </row>
    <row r="911" spans="32:34" x14ac:dyDescent="0.2">
      <c r="AF911" s="3">
        <f t="shared" si="52"/>
        <v>0.10170000000000189</v>
      </c>
      <c r="AG911" s="3">
        <f t="shared" si="53"/>
        <v>-0.57593275785321862</v>
      </c>
      <c r="AH911" s="3">
        <f t="shared" si="54"/>
        <v>909</v>
      </c>
    </row>
    <row r="912" spans="32:34" x14ac:dyDescent="0.2">
      <c r="AF912" s="3">
        <f t="shared" si="52"/>
        <v>0.10180000000000189</v>
      </c>
      <c r="AG912" s="3">
        <f t="shared" si="53"/>
        <v>-0.57625118444853418</v>
      </c>
      <c r="AH912" s="3">
        <f t="shared" si="54"/>
        <v>910</v>
      </c>
    </row>
    <row r="913" spans="32:34" x14ac:dyDescent="0.2">
      <c r="AF913" s="3">
        <f t="shared" si="52"/>
        <v>0.10190000000000189</v>
      </c>
      <c r="AG913" s="3">
        <f t="shared" si="53"/>
        <v>-0.5765693676673862</v>
      </c>
      <c r="AH913" s="3">
        <f t="shared" si="54"/>
        <v>911</v>
      </c>
    </row>
    <row r="914" spans="32:34" x14ac:dyDescent="0.2">
      <c r="AF914" s="3">
        <f t="shared" si="52"/>
        <v>0.10200000000000189</v>
      </c>
      <c r="AG914" s="3">
        <f t="shared" si="53"/>
        <v>-0.57688730774861341</v>
      </c>
      <c r="AH914" s="3">
        <f t="shared" si="54"/>
        <v>912</v>
      </c>
    </row>
    <row r="915" spans="32:34" x14ac:dyDescent="0.2">
      <c r="AF915" s="3">
        <f t="shared" si="52"/>
        <v>0.1021000000000019</v>
      </c>
      <c r="AG915" s="3">
        <f t="shared" si="53"/>
        <v>-0.5772050049305858</v>
      </c>
      <c r="AH915" s="3">
        <f t="shared" si="54"/>
        <v>913</v>
      </c>
    </row>
    <row r="916" spans="32:34" x14ac:dyDescent="0.2">
      <c r="AF916" s="3">
        <f t="shared" si="52"/>
        <v>0.1022000000000019</v>
      </c>
      <c r="AG916" s="3">
        <f t="shared" si="53"/>
        <v>-0.57752245945120706</v>
      </c>
      <c r="AH916" s="3">
        <f t="shared" si="54"/>
        <v>914</v>
      </c>
    </row>
    <row r="917" spans="32:34" x14ac:dyDescent="0.2">
      <c r="AF917" s="3">
        <f t="shared" si="52"/>
        <v>0.1023000000000019</v>
      </c>
      <c r="AG917" s="3">
        <f t="shared" si="53"/>
        <v>-0.57783967154791493</v>
      </c>
      <c r="AH917" s="3">
        <f t="shared" si="54"/>
        <v>915</v>
      </c>
    </row>
    <row r="918" spans="32:34" x14ac:dyDescent="0.2">
      <c r="AF918" s="3">
        <f t="shared" si="52"/>
        <v>0.10240000000000191</v>
      </c>
      <c r="AG918" s="3">
        <f t="shared" si="53"/>
        <v>-0.57815664145768297</v>
      </c>
      <c r="AH918" s="3">
        <f t="shared" si="54"/>
        <v>916</v>
      </c>
    </row>
    <row r="919" spans="32:34" x14ac:dyDescent="0.2">
      <c r="AF919" s="3">
        <f t="shared" si="52"/>
        <v>0.10250000000000191</v>
      </c>
      <c r="AG919" s="3">
        <f t="shared" si="53"/>
        <v>-0.57847336941702199</v>
      </c>
      <c r="AH919" s="3">
        <f t="shared" si="54"/>
        <v>917</v>
      </c>
    </row>
    <row r="920" spans="32:34" x14ac:dyDescent="0.2">
      <c r="AF920" s="3">
        <f t="shared" si="52"/>
        <v>0.10260000000000191</v>
      </c>
      <c r="AG920" s="3">
        <f t="shared" si="53"/>
        <v>-0.57878985566198105</v>
      </c>
      <c r="AH920" s="3">
        <f t="shared" si="54"/>
        <v>918</v>
      </c>
    </row>
    <row r="921" spans="32:34" x14ac:dyDescent="0.2">
      <c r="AF921" s="3">
        <f t="shared" si="52"/>
        <v>0.10270000000000191</v>
      </c>
      <c r="AG921" s="3">
        <f t="shared" si="53"/>
        <v>-0.57910610042814958</v>
      </c>
      <c r="AH921" s="3">
        <f t="shared" si="54"/>
        <v>919</v>
      </c>
    </row>
    <row r="922" spans="32:34" x14ac:dyDescent="0.2">
      <c r="AF922" s="3">
        <f t="shared" si="52"/>
        <v>0.10280000000000192</v>
      </c>
      <c r="AG922" s="3">
        <f t="shared" si="53"/>
        <v>-0.57942210395065763</v>
      </c>
      <c r="AH922" s="3">
        <f t="shared" si="54"/>
        <v>920</v>
      </c>
    </row>
    <row r="923" spans="32:34" x14ac:dyDescent="0.2">
      <c r="AF923" s="3">
        <f t="shared" si="52"/>
        <v>0.10290000000000192</v>
      </c>
      <c r="AG923" s="3">
        <f t="shared" si="53"/>
        <v>-0.57973786646417846</v>
      </c>
      <c r="AH923" s="3">
        <f t="shared" si="54"/>
        <v>921</v>
      </c>
    </row>
    <row r="924" spans="32:34" x14ac:dyDescent="0.2">
      <c r="AF924" s="3">
        <f t="shared" si="52"/>
        <v>0.10300000000000192</v>
      </c>
      <c r="AG924" s="3">
        <f t="shared" si="53"/>
        <v>-0.5800533882029284</v>
      </c>
      <c r="AH924" s="3">
        <f t="shared" si="54"/>
        <v>922</v>
      </c>
    </row>
    <row r="925" spans="32:34" x14ac:dyDescent="0.2">
      <c r="AF925" s="3">
        <f t="shared" si="52"/>
        <v>0.10310000000000193</v>
      </c>
      <c r="AG925" s="3">
        <f t="shared" si="53"/>
        <v>-0.58036866940066989</v>
      </c>
      <c r="AH925" s="3">
        <f t="shared" si="54"/>
        <v>923</v>
      </c>
    </row>
    <row r="926" spans="32:34" x14ac:dyDescent="0.2">
      <c r="AF926" s="3">
        <f t="shared" si="52"/>
        <v>0.10320000000000193</v>
      </c>
      <c r="AG926" s="3">
        <f t="shared" si="53"/>
        <v>-0.58068371029071097</v>
      </c>
      <c r="AH926" s="3">
        <f t="shared" si="54"/>
        <v>924</v>
      </c>
    </row>
    <row r="927" spans="32:34" x14ac:dyDescent="0.2">
      <c r="AF927" s="3">
        <f t="shared" si="52"/>
        <v>0.10330000000000193</v>
      </c>
      <c r="AG927" s="3">
        <f t="shared" si="53"/>
        <v>-0.5809985111059085</v>
      </c>
      <c r="AH927" s="3">
        <f t="shared" si="54"/>
        <v>925</v>
      </c>
    </row>
    <row r="928" spans="32:34" x14ac:dyDescent="0.2">
      <c r="AF928" s="3">
        <f t="shared" si="52"/>
        <v>0.10340000000000193</v>
      </c>
      <c r="AG928" s="3">
        <f t="shared" si="53"/>
        <v>-0.58131307207866789</v>
      </c>
      <c r="AH928" s="3">
        <f t="shared" si="54"/>
        <v>926</v>
      </c>
    </row>
    <row r="929" spans="32:34" x14ac:dyDescent="0.2">
      <c r="AF929" s="3">
        <f t="shared" si="52"/>
        <v>0.10350000000000194</v>
      </c>
      <c r="AG929" s="3">
        <f t="shared" si="53"/>
        <v>-0.58162739344094483</v>
      </c>
      <c r="AH929" s="3">
        <f t="shared" si="54"/>
        <v>927</v>
      </c>
    </row>
    <row r="930" spans="32:34" x14ac:dyDescent="0.2">
      <c r="AF930" s="3">
        <f t="shared" si="52"/>
        <v>0.10360000000000194</v>
      </c>
      <c r="AG930" s="3">
        <f t="shared" si="53"/>
        <v>-0.58194147542424735</v>
      </c>
      <c r="AH930" s="3">
        <f t="shared" si="54"/>
        <v>928</v>
      </c>
    </row>
    <row r="931" spans="32:34" x14ac:dyDescent="0.2">
      <c r="AF931" s="3">
        <f t="shared" si="52"/>
        <v>0.10370000000000194</v>
      </c>
      <c r="AG931" s="3">
        <f t="shared" si="53"/>
        <v>-0.58225531825963639</v>
      </c>
      <c r="AH931" s="3">
        <f t="shared" si="54"/>
        <v>929</v>
      </c>
    </row>
    <row r="932" spans="32:34" x14ac:dyDescent="0.2">
      <c r="AF932" s="3">
        <f t="shared" si="52"/>
        <v>0.10380000000000195</v>
      </c>
      <c r="AG932" s="3">
        <f t="shared" si="53"/>
        <v>-0.58256892217772716</v>
      </c>
      <c r="AH932" s="3">
        <f t="shared" si="54"/>
        <v>930</v>
      </c>
    </row>
    <row r="933" spans="32:34" x14ac:dyDescent="0.2">
      <c r="AF933" s="3">
        <f t="shared" si="52"/>
        <v>0.10390000000000195</v>
      </c>
      <c r="AG933" s="3">
        <f t="shared" si="53"/>
        <v>-0.58288228740869019</v>
      </c>
      <c r="AH933" s="3">
        <f t="shared" si="54"/>
        <v>931</v>
      </c>
    </row>
    <row r="934" spans="32:34" x14ac:dyDescent="0.2">
      <c r="AF934" s="3">
        <f t="shared" si="52"/>
        <v>0.10400000000000195</v>
      </c>
      <c r="AG934" s="3">
        <f t="shared" si="53"/>
        <v>-0.58319541418225374</v>
      </c>
      <c r="AH934" s="3">
        <f t="shared" si="54"/>
        <v>932</v>
      </c>
    </row>
    <row r="935" spans="32:34" x14ac:dyDescent="0.2">
      <c r="AF935" s="3">
        <f t="shared" si="52"/>
        <v>0.10410000000000195</v>
      </c>
      <c r="AG935" s="3">
        <f t="shared" si="53"/>
        <v>-0.58350830272770349</v>
      </c>
      <c r="AH935" s="3">
        <f t="shared" si="54"/>
        <v>933</v>
      </c>
    </row>
    <row r="936" spans="32:34" x14ac:dyDescent="0.2">
      <c r="AF936" s="3">
        <f t="shared" si="52"/>
        <v>0.10420000000000196</v>
      </c>
      <c r="AG936" s="3">
        <f t="shared" si="53"/>
        <v>-0.58382095327388528</v>
      </c>
      <c r="AH936" s="3">
        <f t="shared" si="54"/>
        <v>934</v>
      </c>
    </row>
    <row r="937" spans="32:34" x14ac:dyDescent="0.2">
      <c r="AF937" s="3">
        <f t="shared" si="52"/>
        <v>0.10430000000000196</v>
      </c>
      <c r="AG937" s="3">
        <f t="shared" si="53"/>
        <v>-0.58413336604920518</v>
      </c>
      <c r="AH937" s="3">
        <f t="shared" si="54"/>
        <v>935</v>
      </c>
    </row>
    <row r="938" spans="32:34" x14ac:dyDescent="0.2">
      <c r="AF938" s="3">
        <f t="shared" si="52"/>
        <v>0.10440000000000196</v>
      </c>
      <c r="AG938" s="3">
        <f t="shared" si="53"/>
        <v>-0.58444554128163162</v>
      </c>
      <c r="AH938" s="3">
        <f t="shared" si="54"/>
        <v>936</v>
      </c>
    </row>
    <row r="939" spans="32:34" x14ac:dyDescent="0.2">
      <c r="AF939" s="3">
        <f t="shared" si="52"/>
        <v>0.10450000000000197</v>
      </c>
      <c r="AG939" s="3">
        <f t="shared" si="53"/>
        <v>-0.58475747919869603</v>
      </c>
      <c r="AH939" s="3">
        <f t="shared" si="54"/>
        <v>937</v>
      </c>
    </row>
    <row r="940" spans="32:34" x14ac:dyDescent="0.2">
      <c r="AF940" s="3">
        <f t="shared" si="52"/>
        <v>0.10460000000000197</v>
      </c>
      <c r="AG940" s="3">
        <f t="shared" si="53"/>
        <v>-0.58506918002749464</v>
      </c>
      <c r="AH940" s="3">
        <f t="shared" si="54"/>
        <v>938</v>
      </c>
    </row>
    <row r="941" spans="32:34" x14ac:dyDescent="0.2">
      <c r="AF941" s="3">
        <f t="shared" si="52"/>
        <v>0.10470000000000197</v>
      </c>
      <c r="AG941" s="3">
        <f t="shared" si="53"/>
        <v>-0.58538064399468925</v>
      </c>
      <c r="AH941" s="3">
        <f t="shared" si="54"/>
        <v>939</v>
      </c>
    </row>
    <row r="942" spans="32:34" x14ac:dyDescent="0.2">
      <c r="AF942" s="3">
        <f t="shared" si="52"/>
        <v>0.10480000000000197</v>
      </c>
      <c r="AG942" s="3">
        <f t="shared" si="53"/>
        <v>-0.58569187132650868</v>
      </c>
      <c r="AH942" s="3">
        <f t="shared" si="54"/>
        <v>940</v>
      </c>
    </row>
    <row r="943" spans="32:34" x14ac:dyDescent="0.2">
      <c r="AF943" s="3">
        <f t="shared" si="52"/>
        <v>0.10490000000000198</v>
      </c>
      <c r="AG943" s="3">
        <f t="shared" si="53"/>
        <v>-0.58600286224875042</v>
      </c>
      <c r="AH943" s="3">
        <f t="shared" si="54"/>
        <v>941</v>
      </c>
    </row>
    <row r="944" spans="32:34" x14ac:dyDescent="0.2">
      <c r="AF944" s="3">
        <f t="shared" si="52"/>
        <v>0.10500000000000198</v>
      </c>
      <c r="AG944" s="3">
        <f t="shared" si="53"/>
        <v>-0.58631361698678086</v>
      </c>
      <c r="AH944" s="3">
        <f t="shared" si="54"/>
        <v>942</v>
      </c>
    </row>
    <row r="945" spans="32:34" x14ac:dyDescent="0.2">
      <c r="AF945" s="3">
        <f t="shared" si="52"/>
        <v>0.10510000000000198</v>
      </c>
      <c r="AG945" s="3">
        <f t="shared" si="53"/>
        <v>-0.58662413576553774</v>
      </c>
      <c r="AH945" s="3">
        <f t="shared" si="54"/>
        <v>943</v>
      </c>
    </row>
    <row r="946" spans="32:34" x14ac:dyDescent="0.2">
      <c r="AF946" s="3">
        <f t="shared" si="52"/>
        <v>0.10520000000000199</v>
      </c>
      <c r="AG946" s="3">
        <f t="shared" si="53"/>
        <v>-0.58693441880953012</v>
      </c>
      <c r="AH946" s="3">
        <f t="shared" si="54"/>
        <v>944</v>
      </c>
    </row>
    <row r="947" spans="32:34" x14ac:dyDescent="0.2">
      <c r="AF947" s="3">
        <f t="shared" si="52"/>
        <v>0.10530000000000199</v>
      </c>
      <c r="AG947" s="3">
        <f t="shared" si="53"/>
        <v>-0.58724446634284055</v>
      </c>
      <c r="AH947" s="3">
        <f t="shared" si="54"/>
        <v>945</v>
      </c>
    </row>
    <row r="948" spans="32:34" x14ac:dyDescent="0.2">
      <c r="AF948" s="3">
        <f t="shared" si="52"/>
        <v>0.10540000000000199</v>
      </c>
      <c r="AG948" s="3">
        <f t="shared" si="53"/>
        <v>-0.58755427858912623</v>
      </c>
      <c r="AH948" s="3">
        <f t="shared" si="54"/>
        <v>946</v>
      </c>
    </row>
    <row r="949" spans="32:34" x14ac:dyDescent="0.2">
      <c r="AF949" s="3">
        <f t="shared" si="52"/>
        <v>0.10550000000000199</v>
      </c>
      <c r="AG949" s="3">
        <f t="shared" si="53"/>
        <v>-0.58786385577161937</v>
      </c>
      <c r="AH949" s="3">
        <f t="shared" si="54"/>
        <v>947</v>
      </c>
    </row>
    <row r="950" spans="32:34" x14ac:dyDescent="0.2">
      <c r="AF950" s="3">
        <f t="shared" si="52"/>
        <v>0.105600000000002</v>
      </c>
      <c r="AG950" s="3">
        <f t="shared" si="53"/>
        <v>-0.58817319811312962</v>
      </c>
      <c r="AH950" s="3">
        <f t="shared" si="54"/>
        <v>948</v>
      </c>
    </row>
    <row r="951" spans="32:34" x14ac:dyDescent="0.2">
      <c r="AF951" s="3">
        <f t="shared" si="52"/>
        <v>0.105700000000002</v>
      </c>
      <c r="AG951" s="3">
        <f t="shared" si="53"/>
        <v>-0.58848230583604411</v>
      </c>
      <c r="AH951" s="3">
        <f t="shared" si="54"/>
        <v>949</v>
      </c>
    </row>
    <row r="952" spans="32:34" x14ac:dyDescent="0.2">
      <c r="AF952" s="3">
        <f t="shared" si="52"/>
        <v>0.105800000000002</v>
      </c>
      <c r="AG952" s="3">
        <f t="shared" si="53"/>
        <v>-0.58879117916232959</v>
      </c>
      <c r="AH952" s="3">
        <f t="shared" si="54"/>
        <v>950</v>
      </c>
    </row>
    <row r="953" spans="32:34" x14ac:dyDescent="0.2">
      <c r="AF953" s="3">
        <f t="shared" ref="AF953:AF990" si="55">AF952+0.0001</f>
        <v>0.10590000000000201</v>
      </c>
      <c r="AG953" s="3">
        <f t="shared" si="53"/>
        <v>-0.58909981831353275</v>
      </c>
      <c r="AH953" s="3">
        <f t="shared" si="54"/>
        <v>951</v>
      </c>
    </row>
    <row r="954" spans="32:34" x14ac:dyDescent="0.2">
      <c r="AF954" s="3">
        <f t="shared" si="55"/>
        <v>0.10600000000000201</v>
      </c>
      <c r="AG954" s="3">
        <f t="shared" si="53"/>
        <v>-0.58940822351078248</v>
      </c>
      <c r="AH954" s="3">
        <f t="shared" si="54"/>
        <v>952</v>
      </c>
    </row>
    <row r="955" spans="32:34" x14ac:dyDescent="0.2">
      <c r="AF955" s="3">
        <f t="shared" si="55"/>
        <v>0.10610000000000201</v>
      </c>
      <c r="AG955" s="3">
        <f t="shared" si="53"/>
        <v>-0.58971639497479011</v>
      </c>
      <c r="AH955" s="3">
        <f t="shared" si="54"/>
        <v>953</v>
      </c>
    </row>
    <row r="956" spans="32:34" x14ac:dyDescent="0.2">
      <c r="AF956" s="3">
        <f t="shared" si="55"/>
        <v>0.10620000000000202</v>
      </c>
      <c r="AG956" s="3">
        <f t="shared" si="53"/>
        <v>-0.59002433292585055</v>
      </c>
      <c r="AH956" s="3">
        <f t="shared" si="54"/>
        <v>954</v>
      </c>
    </row>
    <row r="957" spans="32:34" x14ac:dyDescent="0.2">
      <c r="AF957" s="3">
        <f t="shared" si="55"/>
        <v>0.10630000000000202</v>
      </c>
      <c r="AG957" s="3">
        <f t="shared" si="53"/>
        <v>-0.59033203758384467</v>
      </c>
      <c r="AH957" s="3">
        <f t="shared" si="54"/>
        <v>955</v>
      </c>
    </row>
    <row r="958" spans="32:34" x14ac:dyDescent="0.2">
      <c r="AF958" s="3">
        <f t="shared" si="55"/>
        <v>0.10640000000000202</v>
      </c>
      <c r="AG958" s="3">
        <f t="shared" si="53"/>
        <v>-0.59063950916823904</v>
      </c>
      <c r="AH958" s="3">
        <f t="shared" si="54"/>
        <v>956</v>
      </c>
    </row>
    <row r="959" spans="32:34" x14ac:dyDescent="0.2">
      <c r="AF959" s="3">
        <f t="shared" si="55"/>
        <v>0.10650000000000202</v>
      </c>
      <c r="AG959" s="3">
        <f t="shared" si="53"/>
        <v>-0.59094674789808777</v>
      </c>
      <c r="AH959" s="3">
        <f t="shared" si="54"/>
        <v>957</v>
      </c>
    </row>
    <row r="960" spans="32:34" x14ac:dyDescent="0.2">
      <c r="AF960" s="3">
        <f t="shared" si="55"/>
        <v>0.10660000000000203</v>
      </c>
      <c r="AG960" s="3">
        <f t="shared" si="53"/>
        <v>-0.59125375399203384</v>
      </c>
      <c r="AH960" s="3">
        <f t="shared" si="54"/>
        <v>958</v>
      </c>
    </row>
    <row r="961" spans="32:34" x14ac:dyDescent="0.2">
      <c r="AF961" s="3">
        <f t="shared" si="55"/>
        <v>0.10670000000000203</v>
      </c>
      <c r="AG961" s="3">
        <f t="shared" si="53"/>
        <v>-0.59156052766830969</v>
      </c>
      <c r="AH961" s="3">
        <f t="shared" si="54"/>
        <v>959</v>
      </c>
    </row>
    <row r="962" spans="32:34" x14ac:dyDescent="0.2">
      <c r="AF962" s="3">
        <f t="shared" si="55"/>
        <v>0.10680000000000203</v>
      </c>
      <c r="AG962" s="3">
        <f t="shared" si="53"/>
        <v>-0.59186706914473919</v>
      </c>
      <c r="AH962" s="3">
        <f t="shared" si="54"/>
        <v>960</v>
      </c>
    </row>
    <row r="963" spans="32:34" x14ac:dyDescent="0.2">
      <c r="AF963" s="3">
        <f t="shared" si="55"/>
        <v>0.10690000000000204</v>
      </c>
      <c r="AG963" s="3">
        <f t="shared" ref="AG963:AG1026" si="56">RT0*AF963*LN(AF963)</f>
        <v>-0.59217337863873765</v>
      </c>
      <c r="AH963" s="3">
        <f t="shared" si="54"/>
        <v>961</v>
      </c>
    </row>
    <row r="964" spans="32:34" x14ac:dyDescent="0.2">
      <c r="AF964" s="3">
        <f t="shared" si="55"/>
        <v>0.10700000000000204</v>
      </c>
      <c r="AG964" s="3">
        <f t="shared" si="56"/>
        <v>-0.59247945636731414</v>
      </c>
      <c r="AH964" s="3">
        <f t="shared" si="54"/>
        <v>962</v>
      </c>
    </row>
    <row r="965" spans="32:34" x14ac:dyDescent="0.2">
      <c r="AF965" s="3">
        <f t="shared" si="55"/>
        <v>0.10710000000000204</v>
      </c>
      <c r="AG965" s="3">
        <f t="shared" si="56"/>
        <v>-0.59278530254707174</v>
      </c>
      <c r="AH965" s="3">
        <f t="shared" ref="AH965:AH1028" si="57">AH964+1</f>
        <v>963</v>
      </c>
    </row>
    <row r="966" spans="32:34" x14ac:dyDescent="0.2">
      <c r="AF966" s="3">
        <f t="shared" si="55"/>
        <v>0.10720000000000204</v>
      </c>
      <c r="AG966" s="3">
        <f t="shared" si="56"/>
        <v>-0.5930909173942096</v>
      </c>
      <c r="AH966" s="3">
        <f t="shared" si="57"/>
        <v>964</v>
      </c>
    </row>
    <row r="967" spans="32:34" x14ac:dyDescent="0.2">
      <c r="AF967" s="3">
        <f t="shared" si="55"/>
        <v>0.10730000000000205</v>
      </c>
      <c r="AG967" s="3">
        <f t="shared" si="56"/>
        <v>-0.59339630112452268</v>
      </c>
      <c r="AH967" s="3">
        <f t="shared" si="57"/>
        <v>965</v>
      </c>
    </row>
    <row r="968" spans="32:34" x14ac:dyDescent="0.2">
      <c r="AF968" s="3">
        <f t="shared" si="55"/>
        <v>0.10740000000000205</v>
      </c>
      <c r="AG968" s="3">
        <f t="shared" si="56"/>
        <v>-0.59370145395340457</v>
      </c>
      <c r="AH968" s="3">
        <f t="shared" si="57"/>
        <v>966</v>
      </c>
    </row>
    <row r="969" spans="32:34" x14ac:dyDescent="0.2">
      <c r="AF969" s="3">
        <f t="shared" si="55"/>
        <v>0.10750000000000205</v>
      </c>
      <c r="AG969" s="3">
        <f t="shared" si="56"/>
        <v>-0.59400637609584706</v>
      </c>
      <c r="AH969" s="3">
        <f t="shared" si="57"/>
        <v>967</v>
      </c>
    </row>
    <row r="970" spans="32:34" x14ac:dyDescent="0.2">
      <c r="AF970" s="3">
        <f t="shared" si="55"/>
        <v>0.10760000000000206</v>
      </c>
      <c r="AG970" s="3">
        <f t="shared" si="56"/>
        <v>-0.59431106776644227</v>
      </c>
      <c r="AH970" s="3">
        <f t="shared" si="57"/>
        <v>968</v>
      </c>
    </row>
    <row r="971" spans="32:34" x14ac:dyDescent="0.2">
      <c r="AF971" s="3">
        <f t="shared" si="55"/>
        <v>0.10770000000000206</v>
      </c>
      <c r="AG971" s="3">
        <f t="shared" si="56"/>
        <v>-0.59461552917938376</v>
      </c>
      <c r="AH971" s="3">
        <f t="shared" si="57"/>
        <v>969</v>
      </c>
    </row>
    <row r="972" spans="32:34" x14ac:dyDescent="0.2">
      <c r="AF972" s="3">
        <f t="shared" si="55"/>
        <v>0.10780000000000206</v>
      </c>
      <c r="AG972" s="3">
        <f t="shared" si="56"/>
        <v>-0.59491976054846651</v>
      </c>
      <c r="AH972" s="3">
        <f t="shared" si="57"/>
        <v>970</v>
      </c>
    </row>
    <row r="973" spans="32:34" x14ac:dyDescent="0.2">
      <c r="AF973" s="3">
        <f t="shared" si="55"/>
        <v>0.10790000000000206</v>
      </c>
      <c r="AG973" s="3">
        <f t="shared" si="56"/>
        <v>-0.59522376208708971</v>
      </c>
      <c r="AH973" s="3">
        <f t="shared" si="57"/>
        <v>971</v>
      </c>
    </row>
    <row r="974" spans="32:34" x14ac:dyDescent="0.2">
      <c r="AF974" s="3">
        <f t="shared" si="55"/>
        <v>0.10800000000000207</v>
      </c>
      <c r="AG974" s="3">
        <f t="shared" si="56"/>
        <v>-0.59552753400825642</v>
      </c>
      <c r="AH974" s="3">
        <f t="shared" si="57"/>
        <v>972</v>
      </c>
    </row>
    <row r="975" spans="32:34" x14ac:dyDescent="0.2">
      <c r="AF975" s="3">
        <f t="shared" si="55"/>
        <v>0.10810000000000207</v>
      </c>
      <c r="AG975" s="3">
        <f t="shared" si="56"/>
        <v>-0.59583107652457568</v>
      </c>
      <c r="AH975" s="3">
        <f t="shared" si="57"/>
        <v>973</v>
      </c>
    </row>
    <row r="976" spans="32:34" x14ac:dyDescent="0.2">
      <c r="AF976" s="3">
        <f t="shared" si="55"/>
        <v>0.10820000000000207</v>
      </c>
      <c r="AG976" s="3">
        <f t="shared" si="56"/>
        <v>-0.59613438984826261</v>
      </c>
      <c r="AH976" s="3">
        <f t="shared" si="57"/>
        <v>974</v>
      </c>
    </row>
    <row r="977" spans="32:34" x14ac:dyDescent="0.2">
      <c r="AF977" s="3">
        <f t="shared" si="55"/>
        <v>0.10830000000000208</v>
      </c>
      <c r="AG977" s="3">
        <f t="shared" si="56"/>
        <v>-0.59643747419114079</v>
      </c>
      <c r="AH977" s="3">
        <f t="shared" si="57"/>
        <v>975</v>
      </c>
    </row>
    <row r="978" spans="32:34" x14ac:dyDescent="0.2">
      <c r="AF978" s="3">
        <f t="shared" si="55"/>
        <v>0.10840000000000208</v>
      </c>
      <c r="AG978" s="3">
        <f t="shared" si="56"/>
        <v>-0.59674032976464186</v>
      </c>
      <c r="AH978" s="3">
        <f t="shared" si="57"/>
        <v>976</v>
      </c>
    </row>
    <row r="979" spans="32:34" x14ac:dyDescent="0.2">
      <c r="AF979" s="3">
        <f t="shared" si="55"/>
        <v>0.10850000000000208</v>
      </c>
      <c r="AG979" s="3">
        <f t="shared" si="56"/>
        <v>-0.59704295677980812</v>
      </c>
      <c r="AH979" s="3">
        <f t="shared" si="57"/>
        <v>977</v>
      </c>
    </row>
    <row r="980" spans="32:34" x14ac:dyDescent="0.2">
      <c r="AF980" s="3">
        <f t="shared" si="55"/>
        <v>0.10860000000000208</v>
      </c>
      <c r="AG980" s="3">
        <f t="shared" si="56"/>
        <v>-0.59734535544729217</v>
      </c>
      <c r="AH980" s="3">
        <f t="shared" si="57"/>
        <v>978</v>
      </c>
    </row>
    <row r="981" spans="32:34" x14ac:dyDescent="0.2">
      <c r="AF981" s="3">
        <f t="shared" si="55"/>
        <v>0.10870000000000209</v>
      </c>
      <c r="AG981" s="3">
        <f t="shared" si="56"/>
        <v>-0.59764752597735904</v>
      </c>
      <c r="AH981" s="3">
        <f t="shared" si="57"/>
        <v>979</v>
      </c>
    </row>
    <row r="982" spans="32:34" x14ac:dyDescent="0.2">
      <c r="AF982" s="3">
        <f t="shared" si="55"/>
        <v>0.10880000000000209</v>
      </c>
      <c r="AG982" s="3">
        <f t="shared" si="56"/>
        <v>-0.59794946857988696</v>
      </c>
      <c r="AH982" s="3">
        <f t="shared" si="57"/>
        <v>980</v>
      </c>
    </row>
    <row r="983" spans="32:34" x14ac:dyDescent="0.2">
      <c r="AF983" s="3">
        <f t="shared" si="55"/>
        <v>0.10890000000000209</v>
      </c>
      <c r="AG983" s="3">
        <f t="shared" si="56"/>
        <v>-0.59825118346436812</v>
      </c>
      <c r="AH983" s="3">
        <f t="shared" si="57"/>
        <v>981</v>
      </c>
    </row>
    <row r="984" spans="32:34" x14ac:dyDescent="0.2">
      <c r="AF984" s="3">
        <f t="shared" si="55"/>
        <v>0.1090000000000021</v>
      </c>
      <c r="AG984" s="3">
        <f t="shared" si="56"/>
        <v>-0.59855267083991004</v>
      </c>
      <c r="AH984" s="3">
        <f t="shared" si="57"/>
        <v>982</v>
      </c>
    </row>
    <row r="985" spans="32:34" x14ac:dyDescent="0.2">
      <c r="AF985" s="3">
        <f t="shared" si="55"/>
        <v>0.1091000000000021</v>
      </c>
      <c r="AG985" s="3">
        <f t="shared" si="56"/>
        <v>-0.59885393091523642</v>
      </c>
      <c r="AH985" s="3">
        <f t="shared" si="57"/>
        <v>983</v>
      </c>
    </row>
    <row r="986" spans="32:34" x14ac:dyDescent="0.2">
      <c r="AF986" s="3">
        <f t="shared" si="55"/>
        <v>0.1092000000000021</v>
      </c>
      <c r="AG986" s="3">
        <f t="shared" si="56"/>
        <v>-0.59915496389868883</v>
      </c>
      <c r="AH986" s="3">
        <f t="shared" si="57"/>
        <v>984</v>
      </c>
    </row>
    <row r="987" spans="32:34" x14ac:dyDescent="0.2">
      <c r="AF987" s="3">
        <f t="shared" si="55"/>
        <v>0.1093000000000021</v>
      </c>
      <c r="AG987" s="3">
        <f t="shared" si="56"/>
        <v>-0.59945576999822658</v>
      </c>
      <c r="AH987" s="3">
        <f t="shared" si="57"/>
        <v>985</v>
      </c>
    </row>
    <row r="988" spans="32:34" x14ac:dyDescent="0.2">
      <c r="AF988" s="3">
        <f t="shared" si="55"/>
        <v>0.10940000000000211</v>
      </c>
      <c r="AG988" s="3">
        <f t="shared" si="56"/>
        <v>-0.5997563494214293</v>
      </c>
      <c r="AH988" s="3">
        <f t="shared" si="57"/>
        <v>986</v>
      </c>
    </row>
    <row r="989" spans="32:34" x14ac:dyDescent="0.2">
      <c r="AF989" s="3">
        <f t="shared" si="55"/>
        <v>0.10950000000000211</v>
      </c>
      <c r="AG989" s="3">
        <f t="shared" si="56"/>
        <v>-0.60005670237549602</v>
      </c>
      <c r="AH989" s="3">
        <f t="shared" si="57"/>
        <v>987</v>
      </c>
    </row>
    <row r="990" spans="32:34" x14ac:dyDescent="0.2">
      <c r="AF990" s="3">
        <f t="shared" si="55"/>
        <v>0.10960000000000211</v>
      </c>
      <c r="AG990" s="3">
        <f t="shared" si="56"/>
        <v>-0.6003568290672483</v>
      </c>
      <c r="AH990" s="3">
        <f t="shared" si="57"/>
        <v>988</v>
      </c>
    </row>
    <row r="991" spans="32:34" x14ac:dyDescent="0.2">
      <c r="AF991" s="3">
        <f>AF990+0.0001</f>
        <v>0.10970000000000212</v>
      </c>
      <c r="AG991" s="3">
        <f t="shared" si="56"/>
        <v>-0.60065672970312967</v>
      </c>
      <c r="AH991" s="3">
        <f t="shared" si="57"/>
        <v>989</v>
      </c>
    </row>
    <row r="992" spans="32:34" x14ac:dyDescent="0.2">
      <c r="AF992" s="3">
        <f t="shared" ref="AF992:AF1055" si="58">AF991+0.0001</f>
        <v>0.10980000000000212</v>
      </c>
      <c r="AG992" s="3">
        <f t="shared" si="56"/>
        <v>-0.60095640448920762</v>
      </c>
      <c r="AH992" s="3">
        <f t="shared" si="57"/>
        <v>990</v>
      </c>
    </row>
    <row r="993" spans="32:34" x14ac:dyDescent="0.2">
      <c r="AF993" s="3">
        <f t="shared" si="58"/>
        <v>0.10990000000000212</v>
      </c>
      <c r="AG993" s="3">
        <f t="shared" si="56"/>
        <v>-0.6012558536311744</v>
      </c>
      <c r="AH993" s="3">
        <f t="shared" si="57"/>
        <v>991</v>
      </c>
    </row>
    <row r="994" spans="32:34" x14ac:dyDescent="0.2">
      <c r="AF994" s="3">
        <f t="shared" si="58"/>
        <v>0.11000000000000212</v>
      </c>
      <c r="AG994" s="3">
        <f t="shared" si="56"/>
        <v>-0.60155507733434743</v>
      </c>
      <c r="AH994" s="3">
        <f t="shared" si="57"/>
        <v>992</v>
      </c>
    </row>
    <row r="995" spans="32:34" x14ac:dyDescent="0.2">
      <c r="AF995" s="3">
        <f t="shared" si="58"/>
        <v>0.11010000000000213</v>
      </c>
      <c r="AG995" s="3">
        <f t="shared" si="56"/>
        <v>-0.60185407580367134</v>
      </c>
      <c r="AH995" s="3">
        <f t="shared" si="57"/>
        <v>993</v>
      </c>
    </row>
    <row r="996" spans="32:34" x14ac:dyDescent="0.2">
      <c r="AF996" s="3">
        <f t="shared" si="58"/>
        <v>0.11020000000000213</v>
      </c>
      <c r="AG996" s="3">
        <f t="shared" si="56"/>
        <v>-0.60215284924371815</v>
      </c>
      <c r="AH996" s="3">
        <f t="shared" si="57"/>
        <v>994</v>
      </c>
    </row>
    <row r="997" spans="32:34" x14ac:dyDescent="0.2">
      <c r="AF997" s="3">
        <f t="shared" si="58"/>
        <v>0.11030000000000213</v>
      </c>
      <c r="AG997" s="3">
        <f t="shared" si="56"/>
        <v>-0.60245139785868862</v>
      </c>
      <c r="AH997" s="3">
        <f t="shared" si="57"/>
        <v>995</v>
      </c>
    </row>
    <row r="998" spans="32:34" x14ac:dyDescent="0.2">
      <c r="AF998" s="3">
        <f t="shared" si="58"/>
        <v>0.11040000000000214</v>
      </c>
      <c r="AG998" s="3">
        <f t="shared" si="56"/>
        <v>-0.60274972185241371</v>
      </c>
      <c r="AH998" s="3">
        <f t="shared" si="57"/>
        <v>996</v>
      </c>
    </row>
    <row r="999" spans="32:34" x14ac:dyDescent="0.2">
      <c r="AF999" s="3">
        <f t="shared" si="58"/>
        <v>0.11050000000000214</v>
      </c>
      <c r="AG999" s="3">
        <f t="shared" si="56"/>
        <v>-0.60304782142835422</v>
      </c>
      <c r="AH999" s="3">
        <f t="shared" si="57"/>
        <v>997</v>
      </c>
    </row>
    <row r="1000" spans="32:34" x14ac:dyDescent="0.2">
      <c r="AF1000" s="3">
        <f t="shared" si="58"/>
        <v>0.11060000000000214</v>
      </c>
      <c r="AG1000" s="3">
        <f t="shared" si="56"/>
        <v>-0.6033456967896037</v>
      </c>
      <c r="AH1000" s="3">
        <f t="shared" si="57"/>
        <v>998</v>
      </c>
    </row>
    <row r="1001" spans="32:34" x14ac:dyDescent="0.2">
      <c r="AF1001" s="3">
        <f t="shared" si="58"/>
        <v>0.11070000000000214</v>
      </c>
      <c r="AG1001" s="3">
        <f t="shared" si="56"/>
        <v>-0.60364334813888754</v>
      </c>
      <c r="AH1001" s="3">
        <f t="shared" si="57"/>
        <v>999</v>
      </c>
    </row>
    <row r="1002" spans="32:34" x14ac:dyDescent="0.2">
      <c r="AF1002" s="3">
        <f t="shared" si="58"/>
        <v>0.11080000000000215</v>
      </c>
      <c r="AG1002" s="3">
        <f t="shared" si="56"/>
        <v>-0.60394077567856574</v>
      </c>
      <c r="AH1002" s="3">
        <f t="shared" si="57"/>
        <v>1000</v>
      </c>
    </row>
    <row r="1003" spans="32:34" x14ac:dyDescent="0.2">
      <c r="AF1003" s="3">
        <f t="shared" si="58"/>
        <v>0.11090000000000215</v>
      </c>
      <c r="AG1003" s="3">
        <f t="shared" si="56"/>
        <v>-0.60423797961063208</v>
      </c>
      <c r="AH1003" s="3">
        <f t="shared" si="57"/>
        <v>1001</v>
      </c>
    </row>
    <row r="1004" spans="32:34" x14ac:dyDescent="0.2">
      <c r="AF1004" s="3">
        <f t="shared" si="58"/>
        <v>0.11100000000000215</v>
      </c>
      <c r="AG1004" s="3">
        <f t="shared" si="56"/>
        <v>-0.60453496013671704</v>
      </c>
      <c r="AH1004" s="3">
        <f t="shared" si="57"/>
        <v>1002</v>
      </c>
    </row>
    <row r="1005" spans="32:34" x14ac:dyDescent="0.2">
      <c r="AF1005" s="3">
        <f t="shared" si="58"/>
        <v>0.11110000000000216</v>
      </c>
      <c r="AG1005" s="3">
        <f t="shared" si="56"/>
        <v>-0.60483171745808706</v>
      </c>
      <c r="AH1005" s="3">
        <f t="shared" si="57"/>
        <v>1003</v>
      </c>
    </row>
    <row r="1006" spans="32:34" x14ac:dyDescent="0.2">
      <c r="AF1006" s="3">
        <f t="shared" si="58"/>
        <v>0.11120000000000216</v>
      </c>
      <c r="AG1006" s="3">
        <f t="shared" si="56"/>
        <v>-0.60512825177564666</v>
      </c>
      <c r="AH1006" s="3">
        <f t="shared" si="57"/>
        <v>1004</v>
      </c>
    </row>
    <row r="1007" spans="32:34" x14ac:dyDescent="0.2">
      <c r="AF1007" s="3">
        <f t="shared" si="58"/>
        <v>0.11130000000000216</v>
      </c>
      <c r="AG1007" s="3">
        <f t="shared" si="56"/>
        <v>-0.60542456328993888</v>
      </c>
      <c r="AH1007" s="3">
        <f t="shared" si="57"/>
        <v>1005</v>
      </c>
    </row>
    <row r="1008" spans="32:34" x14ac:dyDescent="0.2">
      <c r="AF1008" s="3">
        <f t="shared" si="58"/>
        <v>0.11140000000000216</v>
      </c>
      <c r="AG1008" s="3">
        <f t="shared" si="56"/>
        <v>-0.60572065220114613</v>
      </c>
      <c r="AH1008" s="3">
        <f t="shared" si="57"/>
        <v>1006</v>
      </c>
    </row>
    <row r="1009" spans="32:34" x14ac:dyDescent="0.2">
      <c r="AF1009" s="3">
        <f t="shared" si="58"/>
        <v>0.11150000000000217</v>
      </c>
      <c r="AG1009" s="3">
        <f t="shared" si="56"/>
        <v>-0.60601651870909212</v>
      </c>
      <c r="AH1009" s="3">
        <f t="shared" si="57"/>
        <v>1007</v>
      </c>
    </row>
    <row r="1010" spans="32:34" x14ac:dyDescent="0.2">
      <c r="AF1010" s="3">
        <f t="shared" si="58"/>
        <v>0.11160000000000217</v>
      </c>
      <c r="AG1010" s="3">
        <f t="shared" si="56"/>
        <v>-0.60631216301324131</v>
      </c>
      <c r="AH1010" s="3">
        <f t="shared" si="57"/>
        <v>1008</v>
      </c>
    </row>
    <row r="1011" spans="32:34" x14ac:dyDescent="0.2">
      <c r="AF1011" s="3">
        <f t="shared" si="58"/>
        <v>0.11170000000000217</v>
      </c>
      <c r="AG1011" s="3">
        <f t="shared" si="56"/>
        <v>-0.60660758531270143</v>
      </c>
      <c r="AH1011" s="3">
        <f t="shared" si="57"/>
        <v>1009</v>
      </c>
    </row>
    <row r="1012" spans="32:34" x14ac:dyDescent="0.2">
      <c r="AF1012" s="3">
        <f t="shared" si="58"/>
        <v>0.11180000000000218</v>
      </c>
      <c r="AG1012" s="3">
        <f t="shared" si="56"/>
        <v>-0.60690278580622303</v>
      </c>
      <c r="AH1012" s="3">
        <f t="shared" si="57"/>
        <v>1010</v>
      </c>
    </row>
    <row r="1013" spans="32:34" x14ac:dyDescent="0.2">
      <c r="AF1013" s="3">
        <f t="shared" si="58"/>
        <v>0.11190000000000218</v>
      </c>
      <c r="AG1013" s="3">
        <f t="shared" si="56"/>
        <v>-0.60719776469220199</v>
      </c>
      <c r="AH1013" s="3">
        <f t="shared" si="57"/>
        <v>1011</v>
      </c>
    </row>
    <row r="1014" spans="32:34" x14ac:dyDescent="0.2">
      <c r="AF1014" s="3">
        <f t="shared" si="58"/>
        <v>0.11200000000000218</v>
      </c>
      <c r="AG1014" s="3">
        <f t="shared" si="56"/>
        <v>-0.60749252216867866</v>
      </c>
      <c r="AH1014" s="3">
        <f t="shared" si="57"/>
        <v>1012</v>
      </c>
    </row>
    <row r="1015" spans="32:34" x14ac:dyDescent="0.2">
      <c r="AF1015" s="3">
        <f t="shared" si="58"/>
        <v>0.11210000000000218</v>
      </c>
      <c r="AG1015" s="3">
        <f t="shared" si="56"/>
        <v>-0.60778705843334002</v>
      </c>
      <c r="AH1015" s="3">
        <f t="shared" si="57"/>
        <v>1013</v>
      </c>
    </row>
    <row r="1016" spans="32:34" x14ac:dyDescent="0.2">
      <c r="AF1016" s="3">
        <f t="shared" si="58"/>
        <v>0.11220000000000219</v>
      </c>
      <c r="AG1016" s="3">
        <f t="shared" si="56"/>
        <v>-0.60808137368352089</v>
      </c>
      <c r="AH1016" s="3">
        <f t="shared" si="57"/>
        <v>1014</v>
      </c>
    </row>
    <row r="1017" spans="32:34" x14ac:dyDescent="0.2">
      <c r="AF1017" s="3">
        <f t="shared" si="58"/>
        <v>0.11230000000000219</v>
      </c>
      <c r="AG1017" s="3">
        <f t="shared" si="56"/>
        <v>-0.60837546811620358</v>
      </c>
      <c r="AH1017" s="3">
        <f t="shared" si="57"/>
        <v>1015</v>
      </c>
    </row>
    <row r="1018" spans="32:34" x14ac:dyDescent="0.2">
      <c r="AF1018" s="3">
        <f t="shared" si="58"/>
        <v>0.11240000000000219</v>
      </c>
      <c r="AG1018" s="3">
        <f t="shared" si="56"/>
        <v>-0.60866934192802014</v>
      </c>
      <c r="AH1018" s="3">
        <f t="shared" si="57"/>
        <v>1016</v>
      </c>
    </row>
    <row r="1019" spans="32:34" x14ac:dyDescent="0.2">
      <c r="AF1019" s="3">
        <f t="shared" si="58"/>
        <v>0.1125000000000022</v>
      </c>
      <c r="AG1019" s="3">
        <f t="shared" si="56"/>
        <v>-0.60896299531525233</v>
      </c>
      <c r="AH1019" s="3">
        <f t="shared" si="57"/>
        <v>1017</v>
      </c>
    </row>
    <row r="1020" spans="32:34" x14ac:dyDescent="0.2">
      <c r="AF1020" s="3">
        <f t="shared" si="58"/>
        <v>0.1126000000000022</v>
      </c>
      <c r="AG1020" s="3">
        <f t="shared" si="56"/>
        <v>-0.60925642847383354</v>
      </c>
      <c r="AH1020" s="3">
        <f t="shared" si="57"/>
        <v>1018</v>
      </c>
    </row>
    <row r="1021" spans="32:34" x14ac:dyDescent="0.2">
      <c r="AF1021" s="3">
        <f t="shared" si="58"/>
        <v>0.1127000000000022</v>
      </c>
      <c r="AG1021" s="3">
        <f t="shared" si="56"/>
        <v>-0.60954964159934832</v>
      </c>
      <c r="AH1021" s="3">
        <f t="shared" si="57"/>
        <v>1019</v>
      </c>
    </row>
    <row r="1022" spans="32:34" x14ac:dyDescent="0.2">
      <c r="AF1022" s="3">
        <f t="shared" si="58"/>
        <v>0.1128000000000022</v>
      </c>
      <c r="AG1022" s="3">
        <f t="shared" si="56"/>
        <v>-0.60984263488703483</v>
      </c>
      <c r="AH1022" s="3">
        <f t="shared" si="57"/>
        <v>1020</v>
      </c>
    </row>
    <row r="1023" spans="32:34" x14ac:dyDescent="0.2">
      <c r="AF1023" s="3">
        <f t="shared" si="58"/>
        <v>0.11290000000000221</v>
      </c>
      <c r="AG1023" s="3">
        <f t="shared" si="56"/>
        <v>-0.61013540853178483</v>
      </c>
      <c r="AH1023" s="3">
        <f t="shared" si="57"/>
        <v>1021</v>
      </c>
    </row>
    <row r="1024" spans="32:34" x14ac:dyDescent="0.2">
      <c r="AF1024" s="3">
        <f t="shared" si="58"/>
        <v>0.11300000000000221</v>
      </c>
      <c r="AG1024" s="3">
        <f t="shared" si="56"/>
        <v>-0.6104279627281447</v>
      </c>
      <c r="AH1024" s="3">
        <f t="shared" si="57"/>
        <v>1022</v>
      </c>
    </row>
    <row r="1025" spans="32:34" x14ac:dyDescent="0.2">
      <c r="AF1025" s="3">
        <f t="shared" si="58"/>
        <v>0.11310000000000221</v>
      </c>
      <c r="AG1025" s="3">
        <f t="shared" si="56"/>
        <v>-0.61072029767031677</v>
      </c>
      <c r="AH1025" s="3">
        <f t="shared" si="57"/>
        <v>1023</v>
      </c>
    </row>
    <row r="1026" spans="32:34" x14ac:dyDescent="0.2">
      <c r="AF1026" s="3">
        <f t="shared" si="58"/>
        <v>0.11320000000000222</v>
      </c>
      <c r="AG1026" s="3">
        <f t="shared" si="56"/>
        <v>-0.61101241355215963</v>
      </c>
      <c r="AH1026" s="3">
        <f t="shared" si="57"/>
        <v>1024</v>
      </c>
    </row>
    <row r="1027" spans="32:34" x14ac:dyDescent="0.2">
      <c r="AF1027" s="3">
        <f t="shared" si="58"/>
        <v>0.11330000000000222</v>
      </c>
      <c r="AG1027" s="3">
        <f t="shared" ref="AG1027:AG1090" si="59">RT0*AF1027*LN(AF1027)</f>
        <v>-0.61130431056718948</v>
      </c>
      <c r="AH1027" s="3">
        <f t="shared" si="57"/>
        <v>1025</v>
      </c>
    </row>
    <row r="1028" spans="32:34" x14ac:dyDescent="0.2">
      <c r="AF1028" s="3">
        <f t="shared" si="58"/>
        <v>0.11340000000000222</v>
      </c>
      <c r="AG1028" s="3">
        <f t="shared" si="59"/>
        <v>-0.61159598890858102</v>
      </c>
      <c r="AH1028" s="3">
        <f t="shared" si="57"/>
        <v>1026</v>
      </c>
    </row>
    <row r="1029" spans="32:34" x14ac:dyDescent="0.2">
      <c r="AF1029" s="3">
        <f t="shared" si="58"/>
        <v>0.11350000000000222</v>
      </c>
      <c r="AG1029" s="3">
        <f t="shared" si="59"/>
        <v>-0.61188744876916845</v>
      </c>
      <c r="AH1029" s="3">
        <f t="shared" ref="AH1029:AH1092" si="60">AH1028+1</f>
        <v>1027</v>
      </c>
    </row>
    <row r="1030" spans="32:34" x14ac:dyDescent="0.2">
      <c r="AF1030" s="3">
        <f t="shared" si="58"/>
        <v>0.11360000000000223</v>
      </c>
      <c r="AG1030" s="3">
        <f t="shared" si="59"/>
        <v>-0.61217869034144545</v>
      </c>
      <c r="AH1030" s="3">
        <f t="shared" si="60"/>
        <v>1028</v>
      </c>
    </row>
    <row r="1031" spans="32:34" x14ac:dyDescent="0.2">
      <c r="AF1031" s="3">
        <f t="shared" si="58"/>
        <v>0.11370000000000223</v>
      </c>
      <c r="AG1031" s="3">
        <f t="shared" si="59"/>
        <v>-0.61246971381756765</v>
      </c>
      <c r="AH1031" s="3">
        <f t="shared" si="60"/>
        <v>1029</v>
      </c>
    </row>
    <row r="1032" spans="32:34" x14ac:dyDescent="0.2">
      <c r="AF1032" s="3">
        <f t="shared" si="58"/>
        <v>0.11380000000000223</v>
      </c>
      <c r="AG1032" s="3">
        <f t="shared" si="59"/>
        <v>-0.61276051938935228</v>
      </c>
      <c r="AH1032" s="3">
        <f t="shared" si="60"/>
        <v>1030</v>
      </c>
    </row>
    <row r="1033" spans="32:34" x14ac:dyDescent="0.2">
      <c r="AF1033" s="3">
        <f t="shared" si="58"/>
        <v>0.11390000000000224</v>
      </c>
      <c r="AG1033" s="3">
        <f t="shared" si="59"/>
        <v>-0.61305110724827916</v>
      </c>
      <c r="AH1033" s="3">
        <f t="shared" si="60"/>
        <v>1031</v>
      </c>
    </row>
    <row r="1034" spans="32:34" x14ac:dyDescent="0.2">
      <c r="AF1034" s="3">
        <f t="shared" si="58"/>
        <v>0.11400000000000224</v>
      </c>
      <c r="AG1034" s="3">
        <f t="shared" si="59"/>
        <v>-0.61334147758549251</v>
      </c>
      <c r="AH1034" s="3">
        <f t="shared" si="60"/>
        <v>1032</v>
      </c>
    </row>
    <row r="1035" spans="32:34" x14ac:dyDescent="0.2">
      <c r="AF1035" s="3">
        <f t="shared" si="58"/>
        <v>0.11410000000000224</v>
      </c>
      <c r="AG1035" s="3">
        <f t="shared" si="59"/>
        <v>-0.6136316305918007</v>
      </c>
      <c r="AH1035" s="3">
        <f t="shared" si="60"/>
        <v>1033</v>
      </c>
    </row>
    <row r="1036" spans="32:34" x14ac:dyDescent="0.2">
      <c r="AF1036" s="3">
        <f t="shared" si="58"/>
        <v>0.11420000000000224</v>
      </c>
      <c r="AG1036" s="3">
        <f t="shared" si="59"/>
        <v>-0.61392156645767815</v>
      </c>
      <c r="AH1036" s="3">
        <f t="shared" si="60"/>
        <v>1034</v>
      </c>
    </row>
    <row r="1037" spans="32:34" x14ac:dyDescent="0.2">
      <c r="AF1037" s="3">
        <f t="shared" si="58"/>
        <v>0.11430000000000225</v>
      </c>
      <c r="AG1037" s="3">
        <f t="shared" si="59"/>
        <v>-0.61421128537326497</v>
      </c>
      <c r="AH1037" s="3">
        <f t="shared" si="60"/>
        <v>1035</v>
      </c>
    </row>
    <row r="1038" spans="32:34" x14ac:dyDescent="0.2">
      <c r="AF1038" s="3">
        <f t="shared" si="58"/>
        <v>0.11440000000000225</v>
      </c>
      <c r="AG1038" s="3">
        <f t="shared" si="59"/>
        <v>-0.61450078752836934</v>
      </c>
      <c r="AH1038" s="3">
        <f t="shared" si="60"/>
        <v>1036</v>
      </c>
    </row>
    <row r="1039" spans="32:34" x14ac:dyDescent="0.2">
      <c r="AF1039" s="3">
        <f t="shared" si="58"/>
        <v>0.11450000000000225</v>
      </c>
      <c r="AG1039" s="3">
        <f t="shared" si="59"/>
        <v>-0.61479007311246692</v>
      </c>
      <c r="AH1039" s="3">
        <f t="shared" si="60"/>
        <v>1037</v>
      </c>
    </row>
    <row r="1040" spans="32:34" x14ac:dyDescent="0.2">
      <c r="AF1040" s="3">
        <f t="shared" si="58"/>
        <v>0.11460000000000226</v>
      </c>
      <c r="AG1040" s="3">
        <f t="shared" si="59"/>
        <v>-0.61507914231470306</v>
      </c>
      <c r="AH1040" s="3">
        <f t="shared" si="60"/>
        <v>1038</v>
      </c>
    </row>
    <row r="1041" spans="32:34" x14ac:dyDescent="0.2">
      <c r="AF1041" s="3">
        <f t="shared" si="58"/>
        <v>0.11470000000000226</v>
      </c>
      <c r="AG1041" s="3">
        <f t="shared" si="59"/>
        <v>-0.61536799532389264</v>
      </c>
      <c r="AH1041" s="3">
        <f t="shared" si="60"/>
        <v>1039</v>
      </c>
    </row>
    <row r="1042" spans="32:34" x14ac:dyDescent="0.2">
      <c r="AF1042" s="3">
        <f t="shared" si="58"/>
        <v>0.11480000000000226</v>
      </c>
      <c r="AG1042" s="3">
        <f t="shared" si="59"/>
        <v>-0.61565663232852119</v>
      </c>
      <c r="AH1042" s="3">
        <f t="shared" si="60"/>
        <v>1040</v>
      </c>
    </row>
    <row r="1043" spans="32:34" x14ac:dyDescent="0.2">
      <c r="AF1043" s="3">
        <f t="shared" si="58"/>
        <v>0.11490000000000226</v>
      </c>
      <c r="AG1043" s="3">
        <f t="shared" si="59"/>
        <v>-0.61594505351674622</v>
      </c>
      <c r="AH1043" s="3">
        <f t="shared" si="60"/>
        <v>1041</v>
      </c>
    </row>
    <row r="1044" spans="32:34" x14ac:dyDescent="0.2">
      <c r="AF1044" s="3">
        <f t="shared" si="58"/>
        <v>0.11500000000000227</v>
      </c>
      <c r="AG1044" s="3">
        <f t="shared" si="59"/>
        <v>-0.61623325907639714</v>
      </c>
      <c r="AH1044" s="3">
        <f t="shared" si="60"/>
        <v>1042</v>
      </c>
    </row>
    <row r="1045" spans="32:34" x14ac:dyDescent="0.2">
      <c r="AF1045" s="3">
        <f t="shared" si="58"/>
        <v>0.11510000000000227</v>
      </c>
      <c r="AG1045" s="3">
        <f t="shared" si="59"/>
        <v>-0.61652124919497786</v>
      </c>
      <c r="AH1045" s="3">
        <f t="shared" si="60"/>
        <v>1043</v>
      </c>
    </row>
    <row r="1046" spans="32:34" x14ac:dyDescent="0.2">
      <c r="AF1046" s="3">
        <f t="shared" si="58"/>
        <v>0.11520000000000227</v>
      </c>
      <c r="AG1046" s="3">
        <f t="shared" si="59"/>
        <v>-0.61680902405966498</v>
      </c>
      <c r="AH1046" s="3">
        <f t="shared" si="60"/>
        <v>1044</v>
      </c>
    </row>
    <row r="1047" spans="32:34" x14ac:dyDescent="0.2">
      <c r="AF1047" s="3">
        <f t="shared" si="58"/>
        <v>0.11530000000000228</v>
      </c>
      <c r="AG1047" s="3">
        <f t="shared" si="59"/>
        <v>-0.61709658385731136</v>
      </c>
      <c r="AH1047" s="3">
        <f t="shared" si="60"/>
        <v>1045</v>
      </c>
    </row>
    <row r="1048" spans="32:34" x14ac:dyDescent="0.2">
      <c r="AF1048" s="3">
        <f t="shared" si="58"/>
        <v>0.11540000000000228</v>
      </c>
      <c r="AG1048" s="3">
        <f t="shared" si="59"/>
        <v>-0.61738392877444515</v>
      </c>
      <c r="AH1048" s="3">
        <f t="shared" si="60"/>
        <v>1046</v>
      </c>
    </row>
    <row r="1049" spans="32:34" x14ac:dyDescent="0.2">
      <c r="AF1049" s="3">
        <f t="shared" si="58"/>
        <v>0.11550000000000228</v>
      </c>
      <c r="AG1049" s="3">
        <f t="shared" si="59"/>
        <v>-0.61767105899727126</v>
      </c>
      <c r="AH1049" s="3">
        <f t="shared" si="60"/>
        <v>1047</v>
      </c>
    </row>
    <row r="1050" spans="32:34" x14ac:dyDescent="0.2">
      <c r="AF1050" s="3">
        <f t="shared" si="58"/>
        <v>0.11560000000000228</v>
      </c>
      <c r="AG1050" s="3">
        <f t="shared" si="59"/>
        <v>-0.61795797471167235</v>
      </c>
      <c r="AH1050" s="3">
        <f t="shared" si="60"/>
        <v>1048</v>
      </c>
    </row>
    <row r="1051" spans="32:34" x14ac:dyDescent="0.2">
      <c r="AF1051" s="3">
        <f t="shared" si="58"/>
        <v>0.11570000000000229</v>
      </c>
      <c r="AG1051" s="3">
        <f t="shared" si="59"/>
        <v>-0.61824467610320921</v>
      </c>
      <c r="AH1051" s="3">
        <f t="shared" si="60"/>
        <v>1049</v>
      </c>
    </row>
    <row r="1052" spans="32:34" x14ac:dyDescent="0.2">
      <c r="AF1052" s="3">
        <f t="shared" si="58"/>
        <v>0.11580000000000229</v>
      </c>
      <c r="AG1052" s="3">
        <f t="shared" si="59"/>
        <v>-0.61853116335712244</v>
      </c>
      <c r="AH1052" s="3">
        <f t="shared" si="60"/>
        <v>1050</v>
      </c>
    </row>
    <row r="1053" spans="32:34" x14ac:dyDescent="0.2">
      <c r="AF1053" s="3">
        <f t="shared" si="58"/>
        <v>0.11590000000000229</v>
      </c>
      <c r="AG1053" s="3">
        <f t="shared" si="59"/>
        <v>-0.61881743665833167</v>
      </c>
      <c r="AH1053" s="3">
        <f t="shared" si="60"/>
        <v>1051</v>
      </c>
    </row>
    <row r="1054" spans="32:34" x14ac:dyDescent="0.2">
      <c r="AF1054" s="3">
        <f t="shared" si="58"/>
        <v>0.1160000000000023</v>
      </c>
      <c r="AG1054" s="3">
        <f t="shared" si="59"/>
        <v>-0.61910349619143878</v>
      </c>
      <c r="AH1054" s="3">
        <f t="shared" si="60"/>
        <v>1052</v>
      </c>
    </row>
    <row r="1055" spans="32:34" x14ac:dyDescent="0.2">
      <c r="AF1055" s="3">
        <f t="shared" si="58"/>
        <v>0.1161000000000023</v>
      </c>
      <c r="AG1055" s="3">
        <f t="shared" si="59"/>
        <v>-0.61938934214072605</v>
      </c>
      <c r="AH1055" s="3">
        <f t="shared" si="60"/>
        <v>1053</v>
      </c>
    </row>
    <row r="1056" spans="32:34" x14ac:dyDescent="0.2">
      <c r="AF1056" s="3">
        <f t="shared" ref="AF1056:AF1119" si="61">AF1055+0.0001</f>
        <v>0.1162000000000023</v>
      </c>
      <c r="AG1056" s="3">
        <f t="shared" si="59"/>
        <v>-0.61967497469015942</v>
      </c>
      <c r="AH1056" s="3">
        <f t="shared" si="60"/>
        <v>1054</v>
      </c>
    </row>
    <row r="1057" spans="32:34" x14ac:dyDescent="0.2">
      <c r="AF1057" s="3">
        <f t="shared" si="61"/>
        <v>0.1163000000000023</v>
      </c>
      <c r="AG1057" s="3">
        <f t="shared" si="59"/>
        <v>-0.61996039402338732</v>
      </c>
      <c r="AH1057" s="3">
        <f t="shared" si="60"/>
        <v>1055</v>
      </c>
    </row>
    <row r="1058" spans="32:34" x14ac:dyDescent="0.2">
      <c r="AF1058" s="3">
        <f t="shared" si="61"/>
        <v>0.11640000000000231</v>
      </c>
      <c r="AG1058" s="3">
        <f t="shared" si="59"/>
        <v>-0.6202456003237431</v>
      </c>
      <c r="AH1058" s="3">
        <f t="shared" si="60"/>
        <v>1056</v>
      </c>
    </row>
    <row r="1059" spans="32:34" x14ac:dyDescent="0.2">
      <c r="AF1059" s="3">
        <f t="shared" si="61"/>
        <v>0.11650000000000231</v>
      </c>
      <c r="AG1059" s="3">
        <f t="shared" si="59"/>
        <v>-0.62053059377424435</v>
      </c>
      <c r="AH1059" s="3">
        <f t="shared" si="60"/>
        <v>1057</v>
      </c>
    </row>
    <row r="1060" spans="32:34" x14ac:dyDescent="0.2">
      <c r="AF1060" s="3">
        <f t="shared" si="61"/>
        <v>0.11660000000000231</v>
      </c>
      <c r="AG1060" s="3">
        <f t="shared" si="59"/>
        <v>-0.62081537455759495</v>
      </c>
      <c r="AH1060" s="3">
        <f t="shared" si="60"/>
        <v>1058</v>
      </c>
    </row>
    <row r="1061" spans="32:34" x14ac:dyDescent="0.2">
      <c r="AF1061" s="3">
        <f t="shared" si="61"/>
        <v>0.11670000000000232</v>
      </c>
      <c r="AG1061" s="3">
        <f t="shared" si="59"/>
        <v>-0.62109994285618553</v>
      </c>
      <c r="AH1061" s="3">
        <f t="shared" si="60"/>
        <v>1059</v>
      </c>
    </row>
    <row r="1062" spans="32:34" x14ac:dyDescent="0.2">
      <c r="AF1062" s="3">
        <f t="shared" si="61"/>
        <v>0.11680000000000232</v>
      </c>
      <c r="AG1062" s="3">
        <f t="shared" si="59"/>
        <v>-0.62138429885209367</v>
      </c>
      <c r="AH1062" s="3">
        <f t="shared" si="60"/>
        <v>1060</v>
      </c>
    </row>
    <row r="1063" spans="32:34" x14ac:dyDescent="0.2">
      <c r="AF1063" s="3">
        <f t="shared" si="61"/>
        <v>0.11690000000000232</v>
      </c>
      <c r="AG1063" s="3">
        <f t="shared" si="59"/>
        <v>-0.62166844272708544</v>
      </c>
      <c r="AH1063" s="3">
        <f t="shared" si="60"/>
        <v>1061</v>
      </c>
    </row>
    <row r="1064" spans="32:34" x14ac:dyDescent="0.2">
      <c r="AF1064" s="3">
        <f t="shared" si="61"/>
        <v>0.11700000000000232</v>
      </c>
      <c r="AG1064" s="3">
        <f t="shared" si="59"/>
        <v>-0.62195237466261599</v>
      </c>
      <c r="AH1064" s="3">
        <f t="shared" si="60"/>
        <v>1062</v>
      </c>
    </row>
    <row r="1065" spans="32:34" x14ac:dyDescent="0.2">
      <c r="AF1065" s="3">
        <f t="shared" si="61"/>
        <v>0.11710000000000233</v>
      </c>
      <c r="AG1065" s="3">
        <f t="shared" si="59"/>
        <v>-0.62223609483983022</v>
      </c>
      <c r="AH1065" s="3">
        <f t="shared" si="60"/>
        <v>1063</v>
      </c>
    </row>
    <row r="1066" spans="32:34" x14ac:dyDescent="0.2">
      <c r="AF1066" s="3">
        <f t="shared" si="61"/>
        <v>0.11720000000000233</v>
      </c>
      <c r="AG1066" s="3">
        <f t="shared" si="59"/>
        <v>-0.62251960343956336</v>
      </c>
      <c r="AH1066" s="3">
        <f t="shared" si="60"/>
        <v>1064</v>
      </c>
    </row>
    <row r="1067" spans="32:34" x14ac:dyDescent="0.2">
      <c r="AF1067" s="3">
        <f t="shared" si="61"/>
        <v>0.11730000000000233</v>
      </c>
      <c r="AG1067" s="3">
        <f t="shared" si="59"/>
        <v>-0.62280290064234278</v>
      </c>
      <c r="AH1067" s="3">
        <f t="shared" si="60"/>
        <v>1065</v>
      </c>
    </row>
    <row r="1068" spans="32:34" x14ac:dyDescent="0.2">
      <c r="AF1068" s="3">
        <f t="shared" si="61"/>
        <v>0.11740000000000234</v>
      </c>
      <c r="AG1068" s="3">
        <f t="shared" si="59"/>
        <v>-0.62308598662838732</v>
      </c>
      <c r="AH1068" s="3">
        <f t="shared" si="60"/>
        <v>1066</v>
      </c>
    </row>
    <row r="1069" spans="32:34" x14ac:dyDescent="0.2">
      <c r="AF1069" s="3">
        <f t="shared" si="61"/>
        <v>0.11750000000000234</v>
      </c>
      <c r="AG1069" s="3">
        <f t="shared" si="59"/>
        <v>-0.62336886157760885</v>
      </c>
      <c r="AH1069" s="3">
        <f t="shared" si="60"/>
        <v>1067</v>
      </c>
    </row>
    <row r="1070" spans="32:34" x14ac:dyDescent="0.2">
      <c r="AF1070" s="3">
        <f t="shared" si="61"/>
        <v>0.11760000000000234</v>
      </c>
      <c r="AG1070" s="3">
        <f t="shared" si="59"/>
        <v>-0.62365152566961357</v>
      </c>
      <c r="AH1070" s="3">
        <f t="shared" si="60"/>
        <v>1068</v>
      </c>
    </row>
    <row r="1071" spans="32:34" x14ac:dyDescent="0.2">
      <c r="AF1071" s="3">
        <f t="shared" si="61"/>
        <v>0.11770000000000234</v>
      </c>
      <c r="AG1071" s="3">
        <f t="shared" si="59"/>
        <v>-0.62393397908370174</v>
      </c>
      <c r="AH1071" s="3">
        <f t="shared" si="60"/>
        <v>1069</v>
      </c>
    </row>
    <row r="1072" spans="32:34" x14ac:dyDescent="0.2">
      <c r="AF1072" s="3">
        <f t="shared" si="61"/>
        <v>0.11780000000000235</v>
      </c>
      <c r="AG1072" s="3">
        <f t="shared" si="59"/>
        <v>-0.62421622199886906</v>
      </c>
      <c r="AH1072" s="3">
        <f t="shared" si="60"/>
        <v>1070</v>
      </c>
    </row>
    <row r="1073" spans="32:34" x14ac:dyDescent="0.2">
      <c r="AF1073" s="3">
        <f t="shared" si="61"/>
        <v>0.11790000000000235</v>
      </c>
      <c r="AG1073" s="3">
        <f t="shared" si="59"/>
        <v>-0.62449825459380737</v>
      </c>
      <c r="AH1073" s="3">
        <f t="shared" si="60"/>
        <v>1071</v>
      </c>
    </row>
    <row r="1074" spans="32:34" x14ac:dyDescent="0.2">
      <c r="AF1074" s="3">
        <f t="shared" si="61"/>
        <v>0.11800000000000235</v>
      </c>
      <c r="AG1074" s="3">
        <f t="shared" si="59"/>
        <v>-0.62478007704690541</v>
      </c>
      <c r="AH1074" s="3">
        <f t="shared" si="60"/>
        <v>1072</v>
      </c>
    </row>
    <row r="1075" spans="32:34" x14ac:dyDescent="0.2">
      <c r="AF1075" s="3">
        <f t="shared" si="61"/>
        <v>0.11810000000000236</v>
      </c>
      <c r="AG1075" s="3">
        <f t="shared" si="59"/>
        <v>-0.62506168953624963</v>
      </c>
      <c r="AH1075" s="3">
        <f t="shared" si="60"/>
        <v>1073</v>
      </c>
    </row>
    <row r="1076" spans="32:34" x14ac:dyDescent="0.2">
      <c r="AF1076" s="3">
        <f t="shared" si="61"/>
        <v>0.11820000000000236</v>
      </c>
      <c r="AG1076" s="3">
        <f t="shared" si="59"/>
        <v>-0.62534309223962448</v>
      </c>
      <c r="AH1076" s="3">
        <f t="shared" si="60"/>
        <v>1074</v>
      </c>
    </row>
    <row r="1077" spans="32:34" x14ac:dyDescent="0.2">
      <c r="AF1077" s="3">
        <f t="shared" si="61"/>
        <v>0.11830000000000236</v>
      </c>
      <c r="AG1077" s="3">
        <f t="shared" si="59"/>
        <v>-0.62562428533451409</v>
      </c>
      <c r="AH1077" s="3">
        <f t="shared" si="60"/>
        <v>1075</v>
      </c>
    </row>
    <row r="1078" spans="32:34" x14ac:dyDescent="0.2">
      <c r="AF1078" s="3">
        <f t="shared" si="61"/>
        <v>0.11840000000000236</v>
      </c>
      <c r="AG1078" s="3">
        <f t="shared" si="59"/>
        <v>-0.6259052689981025</v>
      </c>
      <c r="AH1078" s="3">
        <f t="shared" si="60"/>
        <v>1076</v>
      </c>
    </row>
    <row r="1079" spans="32:34" x14ac:dyDescent="0.2">
      <c r="AF1079" s="3">
        <f t="shared" si="61"/>
        <v>0.11850000000000237</v>
      </c>
      <c r="AG1079" s="3">
        <f t="shared" si="59"/>
        <v>-0.62618604340727402</v>
      </c>
      <c r="AH1079" s="3">
        <f t="shared" si="60"/>
        <v>1077</v>
      </c>
    </row>
    <row r="1080" spans="32:34" x14ac:dyDescent="0.2">
      <c r="AF1080" s="3">
        <f t="shared" si="61"/>
        <v>0.11860000000000237</v>
      </c>
      <c r="AG1080" s="3">
        <f t="shared" si="59"/>
        <v>-0.62646660873861482</v>
      </c>
      <c r="AH1080" s="3">
        <f t="shared" si="60"/>
        <v>1078</v>
      </c>
    </row>
    <row r="1081" spans="32:34" x14ac:dyDescent="0.2">
      <c r="AF1081" s="3">
        <f t="shared" si="61"/>
        <v>0.11870000000000237</v>
      </c>
      <c r="AG1081" s="3">
        <f t="shared" si="59"/>
        <v>-0.62674696516841322</v>
      </c>
      <c r="AH1081" s="3">
        <f t="shared" si="60"/>
        <v>1079</v>
      </c>
    </row>
    <row r="1082" spans="32:34" x14ac:dyDescent="0.2">
      <c r="AF1082" s="3">
        <f t="shared" si="61"/>
        <v>0.11880000000000238</v>
      </c>
      <c r="AG1082" s="3">
        <f t="shared" si="59"/>
        <v>-0.62702711287266033</v>
      </c>
      <c r="AH1082" s="3">
        <f t="shared" si="60"/>
        <v>1080</v>
      </c>
    </row>
    <row r="1083" spans="32:34" x14ac:dyDescent="0.2">
      <c r="AF1083" s="3">
        <f t="shared" si="61"/>
        <v>0.11890000000000238</v>
      </c>
      <c r="AG1083" s="3">
        <f t="shared" si="59"/>
        <v>-0.62730705202705128</v>
      </c>
      <c r="AH1083" s="3">
        <f t="shared" si="60"/>
        <v>1081</v>
      </c>
    </row>
    <row r="1084" spans="32:34" x14ac:dyDescent="0.2">
      <c r="AF1084" s="3">
        <f t="shared" si="61"/>
        <v>0.11900000000000238</v>
      </c>
      <c r="AG1084" s="3">
        <f t="shared" si="59"/>
        <v>-0.62758678280698521</v>
      </c>
      <c r="AH1084" s="3">
        <f t="shared" si="60"/>
        <v>1082</v>
      </c>
    </row>
    <row r="1085" spans="32:34" x14ac:dyDescent="0.2">
      <c r="AF1085" s="3">
        <f t="shared" si="61"/>
        <v>0.11910000000000238</v>
      </c>
      <c r="AG1085" s="3">
        <f t="shared" si="59"/>
        <v>-0.62786630538756694</v>
      </c>
      <c r="AH1085" s="3">
        <f t="shared" si="60"/>
        <v>1083</v>
      </c>
    </row>
    <row r="1086" spans="32:34" x14ac:dyDescent="0.2">
      <c r="AF1086" s="3">
        <f t="shared" si="61"/>
        <v>0.11920000000000239</v>
      </c>
      <c r="AG1086" s="3">
        <f t="shared" si="59"/>
        <v>-0.62814561994360718</v>
      </c>
      <c r="AH1086" s="3">
        <f t="shared" si="60"/>
        <v>1084</v>
      </c>
    </row>
    <row r="1087" spans="32:34" x14ac:dyDescent="0.2">
      <c r="AF1087" s="3">
        <f t="shared" si="61"/>
        <v>0.11930000000000239</v>
      </c>
      <c r="AG1087" s="3">
        <f t="shared" si="59"/>
        <v>-0.62842472664962268</v>
      </c>
      <c r="AH1087" s="3">
        <f t="shared" si="60"/>
        <v>1085</v>
      </c>
    </row>
    <row r="1088" spans="32:34" x14ac:dyDescent="0.2">
      <c r="AF1088" s="3">
        <f t="shared" si="61"/>
        <v>0.11940000000000239</v>
      </c>
      <c r="AG1088" s="3">
        <f t="shared" si="59"/>
        <v>-0.62870362567983895</v>
      </c>
      <c r="AH1088" s="3">
        <f t="shared" si="60"/>
        <v>1086</v>
      </c>
    </row>
    <row r="1089" spans="32:34" x14ac:dyDescent="0.2">
      <c r="AF1089" s="3">
        <f t="shared" si="61"/>
        <v>0.1195000000000024</v>
      </c>
      <c r="AG1089" s="3">
        <f t="shared" si="59"/>
        <v>-0.62898231720818809</v>
      </c>
      <c r="AH1089" s="3">
        <f t="shared" si="60"/>
        <v>1087</v>
      </c>
    </row>
    <row r="1090" spans="32:34" x14ac:dyDescent="0.2">
      <c r="AF1090" s="3">
        <f t="shared" si="61"/>
        <v>0.1196000000000024</v>
      </c>
      <c r="AG1090" s="3">
        <f t="shared" si="59"/>
        <v>-0.62926080140831231</v>
      </c>
      <c r="AH1090" s="3">
        <f t="shared" si="60"/>
        <v>1088</v>
      </c>
    </row>
    <row r="1091" spans="32:34" x14ac:dyDescent="0.2">
      <c r="AF1091" s="3">
        <f t="shared" si="61"/>
        <v>0.1197000000000024</v>
      </c>
      <c r="AG1091" s="3">
        <f t="shared" ref="AG1091:AG1154" si="62">RT0*AF1091*LN(AF1091)</f>
        <v>-0.62953907845356283</v>
      </c>
      <c r="AH1091" s="3">
        <f t="shared" si="60"/>
        <v>1089</v>
      </c>
    </row>
    <row r="1092" spans="32:34" x14ac:dyDescent="0.2">
      <c r="AF1092" s="3">
        <f t="shared" si="61"/>
        <v>0.1198000000000024</v>
      </c>
      <c r="AG1092" s="3">
        <f t="shared" si="62"/>
        <v>-0.62981714851700166</v>
      </c>
      <c r="AH1092" s="3">
        <f t="shared" si="60"/>
        <v>1090</v>
      </c>
    </row>
    <row r="1093" spans="32:34" x14ac:dyDescent="0.2">
      <c r="AF1093" s="3">
        <f t="shared" si="61"/>
        <v>0.11990000000000241</v>
      </c>
      <c r="AG1093" s="3">
        <f t="shared" si="62"/>
        <v>-0.63009501177140137</v>
      </c>
      <c r="AH1093" s="3">
        <f t="shared" ref="AH1093:AH1156" si="63">AH1092+1</f>
        <v>1091</v>
      </c>
    </row>
    <row r="1094" spans="32:34" x14ac:dyDescent="0.2">
      <c r="AF1094" s="3">
        <f t="shared" si="61"/>
        <v>0.12000000000000241</v>
      </c>
      <c r="AG1094" s="3">
        <f t="shared" si="62"/>
        <v>-0.63037266838924655</v>
      </c>
      <c r="AH1094" s="3">
        <f t="shared" si="63"/>
        <v>1092</v>
      </c>
    </row>
    <row r="1095" spans="32:34" x14ac:dyDescent="0.2">
      <c r="AF1095" s="3">
        <f t="shared" si="61"/>
        <v>0.12010000000000241</v>
      </c>
      <c r="AG1095" s="3">
        <f t="shared" si="62"/>
        <v>-0.63065011854273456</v>
      </c>
      <c r="AH1095" s="3">
        <f t="shared" si="63"/>
        <v>1093</v>
      </c>
    </row>
    <row r="1096" spans="32:34" x14ac:dyDescent="0.2">
      <c r="AF1096" s="3">
        <f t="shared" si="61"/>
        <v>0.12020000000000242</v>
      </c>
      <c r="AG1096" s="3">
        <f t="shared" si="62"/>
        <v>-0.63092736240377567</v>
      </c>
      <c r="AH1096" s="3">
        <f t="shared" si="63"/>
        <v>1094</v>
      </c>
    </row>
    <row r="1097" spans="32:34" x14ac:dyDescent="0.2">
      <c r="AF1097" s="3">
        <f t="shared" si="61"/>
        <v>0.12030000000000242</v>
      </c>
      <c r="AG1097" s="3">
        <f t="shared" si="62"/>
        <v>-0.63120440014399459</v>
      </c>
      <c r="AH1097" s="3">
        <f t="shared" si="63"/>
        <v>1095</v>
      </c>
    </row>
    <row r="1098" spans="32:34" x14ac:dyDescent="0.2">
      <c r="AF1098" s="3">
        <f t="shared" si="61"/>
        <v>0.12040000000000242</v>
      </c>
      <c r="AG1098" s="3">
        <f t="shared" si="62"/>
        <v>-0.63148123193472983</v>
      </c>
      <c r="AH1098" s="3">
        <f t="shared" si="63"/>
        <v>1096</v>
      </c>
    </row>
    <row r="1099" spans="32:34" x14ac:dyDescent="0.2">
      <c r="AF1099" s="3">
        <f t="shared" si="61"/>
        <v>0.12050000000000242</v>
      </c>
      <c r="AG1099" s="3">
        <f t="shared" si="62"/>
        <v>-0.63175785794703632</v>
      </c>
      <c r="AH1099" s="3">
        <f t="shared" si="63"/>
        <v>1097</v>
      </c>
    </row>
    <row r="1100" spans="32:34" x14ac:dyDescent="0.2">
      <c r="AF1100" s="3">
        <f t="shared" si="61"/>
        <v>0.12060000000000243</v>
      </c>
      <c r="AG1100" s="3">
        <f t="shared" si="62"/>
        <v>-0.63203427835168424</v>
      </c>
      <c r="AH1100" s="3">
        <f t="shared" si="63"/>
        <v>1098</v>
      </c>
    </row>
    <row r="1101" spans="32:34" x14ac:dyDescent="0.2">
      <c r="AF1101" s="3">
        <f t="shared" si="61"/>
        <v>0.12070000000000243</v>
      </c>
      <c r="AG1101" s="3">
        <f t="shared" si="62"/>
        <v>-0.632310493319161</v>
      </c>
      <c r="AH1101" s="3">
        <f t="shared" si="63"/>
        <v>1099</v>
      </c>
    </row>
    <row r="1102" spans="32:34" x14ac:dyDescent="0.2">
      <c r="AF1102" s="3">
        <f t="shared" si="61"/>
        <v>0.12080000000000243</v>
      </c>
      <c r="AG1102" s="3">
        <f t="shared" si="62"/>
        <v>-0.63258650301967145</v>
      </c>
      <c r="AH1102" s="3">
        <f t="shared" si="63"/>
        <v>1100</v>
      </c>
    </row>
    <row r="1103" spans="32:34" x14ac:dyDescent="0.2">
      <c r="AF1103" s="3">
        <f t="shared" si="61"/>
        <v>0.12090000000000244</v>
      </c>
      <c r="AG1103" s="3">
        <f t="shared" si="62"/>
        <v>-0.63286230762313855</v>
      </c>
      <c r="AH1103" s="3">
        <f t="shared" si="63"/>
        <v>1101</v>
      </c>
    </row>
    <row r="1104" spans="32:34" x14ac:dyDescent="0.2">
      <c r="AF1104" s="3">
        <f t="shared" si="61"/>
        <v>0.12100000000000244</v>
      </c>
      <c r="AG1104" s="3">
        <f t="shared" si="62"/>
        <v>-0.63313790729920461</v>
      </c>
      <c r="AH1104" s="3">
        <f t="shared" si="63"/>
        <v>1102</v>
      </c>
    </row>
    <row r="1105" spans="32:34" x14ac:dyDescent="0.2">
      <c r="AF1105" s="3">
        <f t="shared" si="61"/>
        <v>0.12110000000000244</v>
      </c>
      <c r="AG1105" s="3">
        <f t="shared" si="62"/>
        <v>-0.63341330221723047</v>
      </c>
      <c r="AH1105" s="3">
        <f t="shared" si="63"/>
        <v>1103</v>
      </c>
    </row>
    <row r="1106" spans="32:34" x14ac:dyDescent="0.2">
      <c r="AF1106" s="3">
        <f t="shared" si="61"/>
        <v>0.12120000000000244</v>
      </c>
      <c r="AG1106" s="3">
        <f t="shared" si="62"/>
        <v>-0.63368849254629844</v>
      </c>
      <c r="AH1106" s="3">
        <f t="shared" si="63"/>
        <v>1104</v>
      </c>
    </row>
    <row r="1107" spans="32:34" x14ac:dyDescent="0.2">
      <c r="AF1107" s="3">
        <f t="shared" si="61"/>
        <v>0.12130000000000245</v>
      </c>
      <c r="AG1107" s="3">
        <f t="shared" si="62"/>
        <v>-0.63396347845521117</v>
      </c>
      <c r="AH1107" s="3">
        <f t="shared" si="63"/>
        <v>1105</v>
      </c>
    </row>
    <row r="1108" spans="32:34" x14ac:dyDescent="0.2">
      <c r="AF1108" s="3">
        <f t="shared" si="61"/>
        <v>0.12140000000000245</v>
      </c>
      <c r="AG1108" s="3">
        <f t="shared" si="62"/>
        <v>-0.63423826011249329</v>
      </c>
      <c r="AH1108" s="3">
        <f t="shared" si="63"/>
        <v>1106</v>
      </c>
    </row>
    <row r="1109" spans="32:34" x14ac:dyDescent="0.2">
      <c r="AF1109" s="3">
        <f t="shared" si="61"/>
        <v>0.12150000000000245</v>
      </c>
      <c r="AG1109" s="3">
        <f t="shared" si="62"/>
        <v>-0.63451283768639133</v>
      </c>
      <c r="AH1109" s="3">
        <f t="shared" si="63"/>
        <v>1107</v>
      </c>
    </row>
    <row r="1110" spans="32:34" x14ac:dyDescent="0.2">
      <c r="AF1110" s="3">
        <f t="shared" si="61"/>
        <v>0.12160000000000246</v>
      </c>
      <c r="AG1110" s="3">
        <f t="shared" si="62"/>
        <v>-0.63478721134487559</v>
      </c>
      <c r="AH1110" s="3">
        <f t="shared" si="63"/>
        <v>1108</v>
      </c>
    </row>
    <row r="1111" spans="32:34" x14ac:dyDescent="0.2">
      <c r="AF1111" s="3">
        <f t="shared" si="61"/>
        <v>0.12170000000000246</v>
      </c>
      <c r="AG1111" s="3">
        <f t="shared" si="62"/>
        <v>-0.6350613812556396</v>
      </c>
      <c r="AH1111" s="3">
        <f t="shared" si="63"/>
        <v>1109</v>
      </c>
    </row>
    <row r="1112" spans="32:34" x14ac:dyDescent="0.2">
      <c r="AF1112" s="3">
        <f t="shared" si="61"/>
        <v>0.12180000000000246</v>
      </c>
      <c r="AG1112" s="3">
        <f t="shared" si="62"/>
        <v>-0.63533534758610111</v>
      </c>
      <c r="AH1112" s="3">
        <f t="shared" si="63"/>
        <v>1110</v>
      </c>
    </row>
    <row r="1113" spans="32:34" x14ac:dyDescent="0.2">
      <c r="AF1113" s="3">
        <f t="shared" si="61"/>
        <v>0.12190000000000246</v>
      </c>
      <c r="AG1113" s="3">
        <f t="shared" si="62"/>
        <v>-0.63560911050340363</v>
      </c>
      <c r="AH1113" s="3">
        <f t="shared" si="63"/>
        <v>1111</v>
      </c>
    </row>
    <row r="1114" spans="32:34" x14ac:dyDescent="0.2">
      <c r="AF1114" s="3">
        <f t="shared" si="61"/>
        <v>0.12200000000000247</v>
      </c>
      <c r="AG1114" s="3">
        <f t="shared" si="62"/>
        <v>-0.63588267017441569</v>
      </c>
      <c r="AH1114" s="3">
        <f t="shared" si="63"/>
        <v>1112</v>
      </c>
    </row>
    <row r="1115" spans="32:34" x14ac:dyDescent="0.2">
      <c r="AF1115" s="3">
        <f t="shared" si="61"/>
        <v>0.12210000000000247</v>
      </c>
      <c r="AG1115" s="3">
        <f t="shared" si="62"/>
        <v>-0.63615602676573302</v>
      </c>
      <c r="AH1115" s="3">
        <f t="shared" si="63"/>
        <v>1113</v>
      </c>
    </row>
    <row r="1116" spans="32:34" x14ac:dyDescent="0.2">
      <c r="AF1116" s="3">
        <f t="shared" si="61"/>
        <v>0.12220000000000247</v>
      </c>
      <c r="AG1116" s="3">
        <f t="shared" si="62"/>
        <v>-0.63642918044367791</v>
      </c>
      <c r="AH1116" s="3">
        <f t="shared" si="63"/>
        <v>1114</v>
      </c>
    </row>
    <row r="1117" spans="32:34" x14ac:dyDescent="0.2">
      <c r="AF1117" s="3">
        <f t="shared" si="61"/>
        <v>0.12230000000000248</v>
      </c>
      <c r="AG1117" s="3">
        <f t="shared" si="62"/>
        <v>-0.63670213137430087</v>
      </c>
      <c r="AH1117" s="3">
        <f t="shared" si="63"/>
        <v>1115</v>
      </c>
    </row>
    <row r="1118" spans="32:34" x14ac:dyDescent="0.2">
      <c r="AF1118" s="3">
        <f t="shared" si="61"/>
        <v>0.12240000000000248</v>
      </c>
      <c r="AG1118" s="3">
        <f t="shared" si="62"/>
        <v>-0.63697487972338018</v>
      </c>
      <c r="AH1118" s="3">
        <f t="shared" si="63"/>
        <v>1116</v>
      </c>
    </row>
    <row r="1119" spans="32:34" x14ac:dyDescent="0.2">
      <c r="AF1119" s="3">
        <f t="shared" si="61"/>
        <v>0.12250000000000248</v>
      </c>
      <c r="AG1119" s="3">
        <f t="shared" si="62"/>
        <v>-0.637247425656424</v>
      </c>
      <c r="AH1119" s="3">
        <f t="shared" si="63"/>
        <v>1117</v>
      </c>
    </row>
    <row r="1120" spans="32:34" x14ac:dyDescent="0.2">
      <c r="AF1120" s="3">
        <f t="shared" ref="AF1120:AF1183" si="64">AF1119+0.0001</f>
        <v>0.12260000000000248</v>
      </c>
      <c r="AG1120" s="3">
        <f t="shared" si="62"/>
        <v>-0.63751976933866983</v>
      </c>
      <c r="AH1120" s="3">
        <f t="shared" si="63"/>
        <v>1118</v>
      </c>
    </row>
    <row r="1121" spans="32:34" x14ac:dyDescent="0.2">
      <c r="AF1121" s="3">
        <f t="shared" si="64"/>
        <v>0.12270000000000249</v>
      </c>
      <c r="AG1121" s="3">
        <f t="shared" si="62"/>
        <v>-0.63779191093508569</v>
      </c>
      <c r="AH1121" s="3">
        <f t="shared" si="63"/>
        <v>1119</v>
      </c>
    </row>
    <row r="1122" spans="32:34" x14ac:dyDescent="0.2">
      <c r="AF1122" s="3">
        <f t="shared" si="64"/>
        <v>0.12280000000000249</v>
      </c>
      <c r="AG1122" s="3">
        <f t="shared" si="62"/>
        <v>-0.63806385061037096</v>
      </c>
      <c r="AH1122" s="3">
        <f t="shared" si="63"/>
        <v>1120</v>
      </c>
    </row>
    <row r="1123" spans="32:34" x14ac:dyDescent="0.2">
      <c r="AF1123" s="3">
        <f t="shared" si="64"/>
        <v>0.12290000000000249</v>
      </c>
      <c r="AG1123" s="3">
        <f t="shared" si="62"/>
        <v>-0.63833558852895611</v>
      </c>
      <c r="AH1123" s="3">
        <f t="shared" si="63"/>
        <v>1121</v>
      </c>
    </row>
    <row r="1124" spans="32:34" x14ac:dyDescent="0.2">
      <c r="AF1124" s="3">
        <f t="shared" si="64"/>
        <v>0.1230000000000025</v>
      </c>
      <c r="AG1124" s="3">
        <f t="shared" si="62"/>
        <v>-0.63860712485500515</v>
      </c>
      <c r="AH1124" s="3">
        <f t="shared" si="63"/>
        <v>1122</v>
      </c>
    </row>
    <row r="1125" spans="32:34" x14ac:dyDescent="0.2">
      <c r="AF1125" s="3">
        <f t="shared" si="64"/>
        <v>0.1231000000000025</v>
      </c>
      <c r="AG1125" s="3">
        <f t="shared" si="62"/>
        <v>-0.63887845975241386</v>
      </c>
      <c r="AH1125" s="3">
        <f t="shared" si="63"/>
        <v>1123</v>
      </c>
    </row>
    <row r="1126" spans="32:34" x14ac:dyDescent="0.2">
      <c r="AF1126" s="3">
        <f t="shared" si="64"/>
        <v>0.1232000000000025</v>
      </c>
      <c r="AG1126" s="3">
        <f t="shared" si="62"/>
        <v>-0.6391495933848127</v>
      </c>
      <c r="AH1126" s="3">
        <f t="shared" si="63"/>
        <v>1124</v>
      </c>
    </row>
    <row r="1127" spans="32:34" x14ac:dyDescent="0.2">
      <c r="AF1127" s="3">
        <f t="shared" si="64"/>
        <v>0.1233000000000025</v>
      </c>
      <c r="AG1127" s="3">
        <f t="shared" si="62"/>
        <v>-0.63942052591556597</v>
      </c>
      <c r="AH1127" s="3">
        <f t="shared" si="63"/>
        <v>1125</v>
      </c>
    </row>
    <row r="1128" spans="32:34" x14ac:dyDescent="0.2">
      <c r="AF1128" s="3">
        <f t="shared" si="64"/>
        <v>0.12340000000000251</v>
      </c>
      <c r="AG1128" s="3">
        <f t="shared" si="62"/>
        <v>-0.63969125750777345</v>
      </c>
      <c r="AH1128" s="3">
        <f t="shared" si="63"/>
        <v>1126</v>
      </c>
    </row>
    <row r="1129" spans="32:34" x14ac:dyDescent="0.2">
      <c r="AF1129" s="3">
        <f t="shared" si="64"/>
        <v>0.12350000000000251</v>
      </c>
      <c r="AG1129" s="3">
        <f t="shared" si="62"/>
        <v>-0.63996178832427009</v>
      </c>
      <c r="AH1129" s="3">
        <f t="shared" si="63"/>
        <v>1127</v>
      </c>
    </row>
    <row r="1130" spans="32:34" x14ac:dyDescent="0.2">
      <c r="AF1130" s="3">
        <f t="shared" si="64"/>
        <v>0.12360000000000251</v>
      </c>
      <c r="AG1130" s="3">
        <f t="shared" si="62"/>
        <v>-0.6402321185276274</v>
      </c>
      <c r="AH1130" s="3">
        <f t="shared" si="63"/>
        <v>1128</v>
      </c>
    </row>
    <row r="1131" spans="32:34" x14ac:dyDescent="0.2">
      <c r="AF1131" s="3">
        <f t="shared" si="64"/>
        <v>0.12370000000000252</v>
      </c>
      <c r="AG1131" s="3">
        <f t="shared" si="62"/>
        <v>-0.64050224828015379</v>
      </c>
      <c r="AH1131" s="3">
        <f t="shared" si="63"/>
        <v>1129</v>
      </c>
    </row>
    <row r="1132" spans="32:34" x14ac:dyDescent="0.2">
      <c r="AF1132" s="3">
        <f t="shared" si="64"/>
        <v>0.12380000000000252</v>
      </c>
      <c r="AG1132" s="3">
        <f t="shared" si="62"/>
        <v>-0.64077217774389517</v>
      </c>
      <c r="AH1132" s="3">
        <f t="shared" si="63"/>
        <v>1130</v>
      </c>
    </row>
    <row r="1133" spans="32:34" x14ac:dyDescent="0.2">
      <c r="AF1133" s="3">
        <f t="shared" si="64"/>
        <v>0.12390000000000252</v>
      </c>
      <c r="AG1133" s="3">
        <f t="shared" si="62"/>
        <v>-0.64104190708063591</v>
      </c>
      <c r="AH1133" s="3">
        <f t="shared" si="63"/>
        <v>1131</v>
      </c>
    </row>
    <row r="1134" spans="32:34" x14ac:dyDescent="0.2">
      <c r="AF1134" s="3">
        <f t="shared" si="64"/>
        <v>0.12400000000000252</v>
      </c>
      <c r="AG1134" s="3">
        <f t="shared" si="62"/>
        <v>-0.6413114364518987</v>
      </c>
      <c r="AH1134" s="3">
        <f t="shared" si="63"/>
        <v>1132</v>
      </c>
    </row>
    <row r="1135" spans="32:34" x14ac:dyDescent="0.2">
      <c r="AF1135" s="3">
        <f t="shared" si="64"/>
        <v>0.12410000000000253</v>
      </c>
      <c r="AG1135" s="3">
        <f t="shared" si="62"/>
        <v>-0.64158076601894654</v>
      </c>
      <c r="AH1135" s="3">
        <f t="shared" si="63"/>
        <v>1133</v>
      </c>
    </row>
    <row r="1136" spans="32:34" x14ac:dyDescent="0.2">
      <c r="AF1136" s="3">
        <f t="shared" si="64"/>
        <v>0.12420000000000253</v>
      </c>
      <c r="AG1136" s="3">
        <f t="shared" si="62"/>
        <v>-0.64184989594278163</v>
      </c>
      <c r="AH1136" s="3">
        <f t="shared" si="63"/>
        <v>1134</v>
      </c>
    </row>
    <row r="1137" spans="32:34" x14ac:dyDescent="0.2">
      <c r="AF1137" s="3">
        <f t="shared" si="64"/>
        <v>0.12430000000000253</v>
      </c>
      <c r="AG1137" s="3">
        <f t="shared" si="62"/>
        <v>-0.64211882638414752</v>
      </c>
      <c r="AH1137" s="3">
        <f t="shared" si="63"/>
        <v>1135</v>
      </c>
    </row>
    <row r="1138" spans="32:34" x14ac:dyDescent="0.2">
      <c r="AF1138" s="3">
        <f t="shared" si="64"/>
        <v>0.12440000000000254</v>
      </c>
      <c r="AG1138" s="3">
        <f t="shared" si="62"/>
        <v>-0.64238755750352905</v>
      </c>
      <c r="AH1138" s="3">
        <f t="shared" si="63"/>
        <v>1136</v>
      </c>
    </row>
    <row r="1139" spans="32:34" x14ac:dyDescent="0.2">
      <c r="AF1139" s="3">
        <f t="shared" si="64"/>
        <v>0.12450000000000254</v>
      </c>
      <c r="AG1139" s="3">
        <f t="shared" si="62"/>
        <v>-0.6426560894611526</v>
      </c>
      <c r="AH1139" s="3">
        <f t="shared" si="63"/>
        <v>1137</v>
      </c>
    </row>
    <row r="1140" spans="32:34" x14ac:dyDescent="0.2">
      <c r="AF1140" s="3">
        <f t="shared" si="64"/>
        <v>0.12460000000000254</v>
      </c>
      <c r="AG1140" s="3">
        <f t="shared" si="62"/>
        <v>-0.64292442241698777</v>
      </c>
      <c r="AH1140" s="3">
        <f t="shared" si="63"/>
        <v>1138</v>
      </c>
    </row>
    <row r="1141" spans="32:34" x14ac:dyDescent="0.2">
      <c r="AF1141" s="3">
        <f t="shared" si="64"/>
        <v>0.12470000000000254</v>
      </c>
      <c r="AG1141" s="3">
        <f t="shared" si="62"/>
        <v>-0.64319255653074692</v>
      </c>
      <c r="AH1141" s="3">
        <f t="shared" si="63"/>
        <v>1139</v>
      </c>
    </row>
    <row r="1142" spans="32:34" x14ac:dyDescent="0.2">
      <c r="AF1142" s="3">
        <f t="shared" si="64"/>
        <v>0.12480000000000255</v>
      </c>
      <c r="AG1142" s="3">
        <f t="shared" si="62"/>
        <v>-0.64346049196188682</v>
      </c>
      <c r="AH1142" s="3">
        <f t="shared" si="63"/>
        <v>1140</v>
      </c>
    </row>
    <row r="1143" spans="32:34" x14ac:dyDescent="0.2">
      <c r="AF1143" s="3">
        <f t="shared" si="64"/>
        <v>0.12490000000000255</v>
      </c>
      <c r="AG1143" s="3">
        <f t="shared" si="62"/>
        <v>-0.64372822886960779</v>
      </c>
      <c r="AH1143" s="3">
        <f t="shared" si="63"/>
        <v>1141</v>
      </c>
    </row>
    <row r="1144" spans="32:34" x14ac:dyDescent="0.2">
      <c r="AF1144" s="3">
        <f t="shared" si="64"/>
        <v>0.12500000000000255</v>
      </c>
      <c r="AG1144" s="3">
        <f t="shared" si="62"/>
        <v>-0.64399576741285602</v>
      </c>
      <c r="AH1144" s="3">
        <f t="shared" si="63"/>
        <v>1142</v>
      </c>
    </row>
    <row r="1145" spans="32:34" x14ac:dyDescent="0.2">
      <c r="AF1145" s="3">
        <f t="shared" si="64"/>
        <v>0.12510000000000254</v>
      </c>
      <c r="AG1145" s="3">
        <f t="shared" si="62"/>
        <v>-0.64426310775032325</v>
      </c>
      <c r="AH1145" s="3">
        <f t="shared" si="63"/>
        <v>1143</v>
      </c>
    </row>
    <row r="1146" spans="32:34" x14ac:dyDescent="0.2">
      <c r="AF1146" s="3">
        <f t="shared" si="64"/>
        <v>0.12520000000000253</v>
      </c>
      <c r="AG1146" s="3">
        <f t="shared" si="62"/>
        <v>-0.64453025004044706</v>
      </c>
      <c r="AH1146" s="3">
        <f t="shared" si="63"/>
        <v>1144</v>
      </c>
    </row>
    <row r="1147" spans="32:34" x14ac:dyDescent="0.2">
      <c r="AF1147" s="3">
        <f t="shared" si="64"/>
        <v>0.12530000000000252</v>
      </c>
      <c r="AG1147" s="3">
        <f t="shared" si="62"/>
        <v>-0.64479719444141259</v>
      </c>
      <c r="AH1147" s="3">
        <f t="shared" si="63"/>
        <v>1145</v>
      </c>
    </row>
    <row r="1148" spans="32:34" x14ac:dyDescent="0.2">
      <c r="AF1148" s="3">
        <f t="shared" si="64"/>
        <v>0.12540000000000251</v>
      </c>
      <c r="AG1148" s="3">
        <f t="shared" si="62"/>
        <v>-0.64506394111115195</v>
      </c>
      <c r="AH1148" s="3">
        <f t="shared" si="63"/>
        <v>1146</v>
      </c>
    </row>
    <row r="1149" spans="32:34" x14ac:dyDescent="0.2">
      <c r="AF1149" s="3">
        <f t="shared" si="64"/>
        <v>0.1255000000000025</v>
      </c>
      <c r="AG1149" s="3">
        <f t="shared" si="62"/>
        <v>-0.64533049020734568</v>
      </c>
      <c r="AH1149" s="3">
        <f t="shared" si="63"/>
        <v>1147</v>
      </c>
    </row>
    <row r="1150" spans="32:34" x14ac:dyDescent="0.2">
      <c r="AF1150" s="3">
        <f t="shared" si="64"/>
        <v>0.12560000000000249</v>
      </c>
      <c r="AG1150" s="3">
        <f t="shared" si="62"/>
        <v>-0.64559684188742283</v>
      </c>
      <c r="AH1150" s="3">
        <f t="shared" si="63"/>
        <v>1148</v>
      </c>
    </row>
    <row r="1151" spans="32:34" x14ac:dyDescent="0.2">
      <c r="AF1151" s="3">
        <f t="shared" si="64"/>
        <v>0.12570000000000248</v>
      </c>
      <c r="AG1151" s="3">
        <f t="shared" si="62"/>
        <v>-0.64586299630856203</v>
      </c>
      <c r="AH1151" s="3">
        <f t="shared" si="63"/>
        <v>1149</v>
      </c>
    </row>
    <row r="1152" spans="32:34" x14ac:dyDescent="0.2">
      <c r="AF1152" s="3">
        <f t="shared" si="64"/>
        <v>0.12580000000000247</v>
      </c>
      <c r="AG1152" s="3">
        <f t="shared" si="62"/>
        <v>-0.6461289536276914</v>
      </c>
      <c r="AH1152" s="3">
        <f t="shared" si="63"/>
        <v>1150</v>
      </c>
    </row>
    <row r="1153" spans="32:34" x14ac:dyDescent="0.2">
      <c r="AF1153" s="3">
        <f t="shared" si="64"/>
        <v>0.12590000000000245</v>
      </c>
      <c r="AG1153" s="3">
        <f t="shared" si="62"/>
        <v>-0.64639471400149018</v>
      </c>
      <c r="AH1153" s="3">
        <f t="shared" si="63"/>
        <v>1151</v>
      </c>
    </row>
    <row r="1154" spans="32:34" x14ac:dyDescent="0.2">
      <c r="AF1154" s="3">
        <f t="shared" si="64"/>
        <v>0.12600000000000244</v>
      </c>
      <c r="AG1154" s="3">
        <f t="shared" si="62"/>
        <v>-0.64666027758638822</v>
      </c>
      <c r="AH1154" s="3">
        <f t="shared" si="63"/>
        <v>1152</v>
      </c>
    </row>
    <row r="1155" spans="32:34" x14ac:dyDescent="0.2">
      <c r="AF1155" s="3">
        <f t="shared" si="64"/>
        <v>0.12610000000000243</v>
      </c>
      <c r="AG1155" s="3">
        <f t="shared" ref="AG1155:AG1218" si="65">RT0*AF1155*LN(AF1155)</f>
        <v>-0.64692564453856716</v>
      </c>
      <c r="AH1155" s="3">
        <f t="shared" si="63"/>
        <v>1153</v>
      </c>
    </row>
    <row r="1156" spans="32:34" x14ac:dyDescent="0.2">
      <c r="AF1156" s="3">
        <f t="shared" si="64"/>
        <v>0.12620000000000242</v>
      </c>
      <c r="AG1156" s="3">
        <f t="shared" si="65"/>
        <v>-0.64719081501396092</v>
      </c>
      <c r="AH1156" s="3">
        <f t="shared" si="63"/>
        <v>1154</v>
      </c>
    </row>
    <row r="1157" spans="32:34" x14ac:dyDescent="0.2">
      <c r="AF1157" s="3">
        <f t="shared" si="64"/>
        <v>0.12630000000000241</v>
      </c>
      <c r="AG1157" s="3">
        <f t="shared" si="65"/>
        <v>-0.64745578916825663</v>
      </c>
      <c r="AH1157" s="3">
        <f t="shared" ref="AH1157:AH1220" si="66">AH1156+1</f>
        <v>1155</v>
      </c>
    </row>
    <row r="1158" spans="32:34" x14ac:dyDescent="0.2">
      <c r="AF1158" s="3">
        <f t="shared" si="64"/>
        <v>0.1264000000000024</v>
      </c>
      <c r="AG1158" s="3">
        <f t="shared" si="65"/>
        <v>-0.64772056715689441</v>
      </c>
      <c r="AH1158" s="3">
        <f t="shared" si="66"/>
        <v>1156</v>
      </c>
    </row>
    <row r="1159" spans="32:34" x14ac:dyDescent="0.2">
      <c r="AF1159" s="3">
        <f t="shared" si="64"/>
        <v>0.12650000000000239</v>
      </c>
      <c r="AG1159" s="3">
        <f t="shared" si="65"/>
        <v>-0.64798514913506877</v>
      </c>
      <c r="AH1159" s="3">
        <f t="shared" si="66"/>
        <v>1157</v>
      </c>
    </row>
    <row r="1160" spans="32:34" x14ac:dyDescent="0.2">
      <c r="AF1160" s="3">
        <f t="shared" si="64"/>
        <v>0.12660000000000238</v>
      </c>
      <c r="AG1160" s="3">
        <f t="shared" si="65"/>
        <v>-0.64824953525772866</v>
      </c>
      <c r="AH1160" s="3">
        <f t="shared" si="66"/>
        <v>1158</v>
      </c>
    </row>
    <row r="1161" spans="32:34" x14ac:dyDescent="0.2">
      <c r="AF1161" s="3">
        <f t="shared" si="64"/>
        <v>0.12670000000000237</v>
      </c>
      <c r="AG1161" s="3">
        <f t="shared" si="65"/>
        <v>-0.64851372567957821</v>
      </c>
      <c r="AH1161" s="3">
        <f t="shared" si="66"/>
        <v>1159</v>
      </c>
    </row>
    <row r="1162" spans="32:34" x14ac:dyDescent="0.2">
      <c r="AF1162" s="3">
        <f t="shared" si="64"/>
        <v>0.12680000000000236</v>
      </c>
      <c r="AG1162" s="3">
        <f t="shared" si="65"/>
        <v>-0.64877772055507765</v>
      </c>
      <c r="AH1162" s="3">
        <f t="shared" si="66"/>
        <v>1160</v>
      </c>
    </row>
    <row r="1163" spans="32:34" x14ac:dyDescent="0.2">
      <c r="AF1163" s="3">
        <f t="shared" si="64"/>
        <v>0.12690000000000234</v>
      </c>
      <c r="AG1163" s="3">
        <f t="shared" si="65"/>
        <v>-0.64904152003844318</v>
      </c>
      <c r="AH1163" s="3">
        <f t="shared" si="66"/>
        <v>1161</v>
      </c>
    </row>
    <row r="1164" spans="32:34" x14ac:dyDescent="0.2">
      <c r="AF1164" s="3">
        <f t="shared" si="64"/>
        <v>0.12700000000000233</v>
      </c>
      <c r="AG1164" s="3">
        <f t="shared" si="65"/>
        <v>-0.64930512428364839</v>
      </c>
      <c r="AH1164" s="3">
        <f t="shared" si="66"/>
        <v>1162</v>
      </c>
    </row>
    <row r="1165" spans="32:34" x14ac:dyDescent="0.2">
      <c r="AF1165" s="3">
        <f t="shared" si="64"/>
        <v>0.12710000000000232</v>
      </c>
      <c r="AG1165" s="3">
        <f t="shared" si="65"/>
        <v>-0.64956853344442378</v>
      </c>
      <c r="AH1165" s="3">
        <f t="shared" si="66"/>
        <v>1163</v>
      </c>
    </row>
    <row r="1166" spans="32:34" x14ac:dyDescent="0.2">
      <c r="AF1166" s="3">
        <f t="shared" si="64"/>
        <v>0.12720000000000231</v>
      </c>
      <c r="AG1166" s="3">
        <f t="shared" si="65"/>
        <v>-0.64983174767425878</v>
      </c>
      <c r="AH1166" s="3">
        <f t="shared" si="66"/>
        <v>1164</v>
      </c>
    </row>
    <row r="1167" spans="32:34" x14ac:dyDescent="0.2">
      <c r="AF1167" s="3">
        <f t="shared" si="64"/>
        <v>0.1273000000000023</v>
      </c>
      <c r="AG1167" s="3">
        <f t="shared" si="65"/>
        <v>-0.65009476712640046</v>
      </c>
      <c r="AH1167" s="3">
        <f t="shared" si="66"/>
        <v>1165</v>
      </c>
    </row>
    <row r="1168" spans="32:34" x14ac:dyDescent="0.2">
      <c r="AF1168" s="3">
        <f t="shared" si="64"/>
        <v>0.12740000000000229</v>
      </c>
      <c r="AG1168" s="3">
        <f t="shared" si="65"/>
        <v>-0.65035759195385601</v>
      </c>
      <c r="AH1168" s="3">
        <f t="shared" si="66"/>
        <v>1166</v>
      </c>
    </row>
    <row r="1169" spans="32:34" x14ac:dyDescent="0.2">
      <c r="AF1169" s="3">
        <f t="shared" si="64"/>
        <v>0.12750000000000228</v>
      </c>
      <c r="AG1169" s="3">
        <f t="shared" si="65"/>
        <v>-0.6506202223093922</v>
      </c>
      <c r="AH1169" s="3">
        <f t="shared" si="66"/>
        <v>1167</v>
      </c>
    </row>
    <row r="1170" spans="32:34" x14ac:dyDescent="0.2">
      <c r="AF1170" s="3">
        <f t="shared" si="64"/>
        <v>0.12760000000000227</v>
      </c>
      <c r="AG1170" s="3">
        <f t="shared" si="65"/>
        <v>-0.65088265834553594</v>
      </c>
      <c r="AH1170" s="3">
        <f t="shared" si="66"/>
        <v>1168</v>
      </c>
    </row>
    <row r="1171" spans="32:34" x14ac:dyDescent="0.2">
      <c r="AF1171" s="3">
        <f t="shared" si="64"/>
        <v>0.12770000000000226</v>
      </c>
      <c r="AG1171" s="3">
        <f t="shared" si="65"/>
        <v>-0.65114490021457505</v>
      </c>
      <c r="AH1171" s="3">
        <f t="shared" si="66"/>
        <v>1169</v>
      </c>
    </row>
    <row r="1172" spans="32:34" x14ac:dyDescent="0.2">
      <c r="AF1172" s="3">
        <f t="shared" si="64"/>
        <v>0.12780000000000225</v>
      </c>
      <c r="AG1172" s="3">
        <f t="shared" si="65"/>
        <v>-0.65140694806855926</v>
      </c>
      <c r="AH1172" s="3">
        <f t="shared" si="66"/>
        <v>1170</v>
      </c>
    </row>
    <row r="1173" spans="32:34" x14ac:dyDescent="0.2">
      <c r="AF1173" s="3">
        <f t="shared" si="64"/>
        <v>0.12790000000000223</v>
      </c>
      <c r="AG1173" s="3">
        <f t="shared" si="65"/>
        <v>-0.65166880205929978</v>
      </c>
      <c r="AH1173" s="3">
        <f t="shared" si="66"/>
        <v>1171</v>
      </c>
    </row>
    <row r="1174" spans="32:34" x14ac:dyDescent="0.2">
      <c r="AF1174" s="3">
        <f t="shared" si="64"/>
        <v>0.12800000000000222</v>
      </c>
      <c r="AG1174" s="3">
        <f t="shared" si="65"/>
        <v>-0.65193046233837093</v>
      </c>
      <c r="AH1174" s="3">
        <f t="shared" si="66"/>
        <v>1172</v>
      </c>
    </row>
    <row r="1175" spans="32:34" x14ac:dyDescent="0.2">
      <c r="AF1175" s="3">
        <f t="shared" si="64"/>
        <v>0.12810000000000221</v>
      </c>
      <c r="AG1175" s="3">
        <f t="shared" si="65"/>
        <v>-0.65219192905710976</v>
      </c>
      <c r="AH1175" s="3">
        <f t="shared" si="66"/>
        <v>1173</v>
      </c>
    </row>
    <row r="1176" spans="32:34" x14ac:dyDescent="0.2">
      <c r="AF1176" s="3">
        <f t="shared" si="64"/>
        <v>0.1282000000000022</v>
      </c>
      <c r="AG1176" s="3">
        <f t="shared" si="65"/>
        <v>-0.65245320236661741</v>
      </c>
      <c r="AH1176" s="3">
        <f t="shared" si="66"/>
        <v>1174</v>
      </c>
    </row>
    <row r="1177" spans="32:34" x14ac:dyDescent="0.2">
      <c r="AF1177" s="3">
        <f t="shared" si="64"/>
        <v>0.12830000000000219</v>
      </c>
      <c r="AG1177" s="3">
        <f t="shared" si="65"/>
        <v>-0.65271428241775931</v>
      </c>
      <c r="AH1177" s="3">
        <f t="shared" si="66"/>
        <v>1175</v>
      </c>
    </row>
    <row r="1178" spans="32:34" x14ac:dyDescent="0.2">
      <c r="AF1178" s="3">
        <f t="shared" si="64"/>
        <v>0.12840000000000218</v>
      </c>
      <c r="AG1178" s="3">
        <f t="shared" si="65"/>
        <v>-0.65297516936116518</v>
      </c>
      <c r="AH1178" s="3">
        <f t="shared" si="66"/>
        <v>1176</v>
      </c>
    </row>
    <row r="1179" spans="32:34" x14ac:dyDescent="0.2">
      <c r="AF1179" s="3">
        <f t="shared" si="64"/>
        <v>0.12850000000000217</v>
      </c>
      <c r="AG1179" s="3">
        <f t="shared" si="65"/>
        <v>-0.65323586334723072</v>
      </c>
      <c r="AH1179" s="3">
        <f t="shared" si="66"/>
        <v>1177</v>
      </c>
    </row>
    <row r="1180" spans="32:34" x14ac:dyDescent="0.2">
      <c r="AF1180" s="3">
        <f t="shared" si="64"/>
        <v>0.12860000000000216</v>
      </c>
      <c r="AG1180" s="3">
        <f t="shared" si="65"/>
        <v>-0.65349636452611726</v>
      </c>
      <c r="AH1180" s="3">
        <f t="shared" si="66"/>
        <v>1178</v>
      </c>
    </row>
    <row r="1181" spans="32:34" x14ac:dyDescent="0.2">
      <c r="AF1181" s="3">
        <f t="shared" si="64"/>
        <v>0.12870000000000215</v>
      </c>
      <c r="AG1181" s="3">
        <f t="shared" si="65"/>
        <v>-0.65375667304775265</v>
      </c>
      <c r="AH1181" s="3">
        <f t="shared" si="66"/>
        <v>1179</v>
      </c>
    </row>
    <row r="1182" spans="32:34" x14ac:dyDescent="0.2">
      <c r="AF1182" s="3">
        <f t="shared" si="64"/>
        <v>0.12880000000000214</v>
      </c>
      <c r="AG1182" s="3">
        <f t="shared" si="65"/>
        <v>-0.65401678906183192</v>
      </c>
      <c r="AH1182" s="3">
        <f t="shared" si="66"/>
        <v>1180</v>
      </c>
    </row>
    <row r="1183" spans="32:34" x14ac:dyDescent="0.2">
      <c r="AF1183" s="3">
        <f t="shared" si="64"/>
        <v>0.12890000000000212</v>
      </c>
      <c r="AG1183" s="3">
        <f t="shared" si="65"/>
        <v>-0.65427671271781707</v>
      </c>
      <c r="AH1183" s="3">
        <f t="shared" si="66"/>
        <v>1181</v>
      </c>
    </row>
    <row r="1184" spans="32:34" x14ac:dyDescent="0.2">
      <c r="AF1184" s="3">
        <f t="shared" ref="AF1184:AF1247" si="67">AF1183+0.0001</f>
        <v>0.12900000000000211</v>
      </c>
      <c r="AG1184" s="3">
        <f t="shared" si="65"/>
        <v>-0.65453644416493884</v>
      </c>
      <c r="AH1184" s="3">
        <f t="shared" si="66"/>
        <v>1182</v>
      </c>
    </row>
    <row r="1185" spans="32:34" x14ac:dyDescent="0.2">
      <c r="AF1185" s="3">
        <f t="shared" si="67"/>
        <v>0.1291000000000021</v>
      </c>
      <c r="AG1185" s="3">
        <f t="shared" si="65"/>
        <v>-0.65479598355219659</v>
      </c>
      <c r="AH1185" s="3">
        <f t="shared" si="66"/>
        <v>1183</v>
      </c>
    </row>
    <row r="1186" spans="32:34" x14ac:dyDescent="0.2">
      <c r="AF1186" s="3">
        <f t="shared" si="67"/>
        <v>0.12920000000000209</v>
      </c>
      <c r="AG1186" s="3">
        <f t="shared" si="65"/>
        <v>-0.65505533102835856</v>
      </c>
      <c r="AH1186" s="3">
        <f t="shared" si="66"/>
        <v>1184</v>
      </c>
    </row>
    <row r="1187" spans="32:34" x14ac:dyDescent="0.2">
      <c r="AF1187" s="3">
        <f t="shared" si="67"/>
        <v>0.12930000000000208</v>
      </c>
      <c r="AG1187" s="3">
        <f t="shared" si="65"/>
        <v>-0.65531448674196258</v>
      </c>
      <c r="AH1187" s="3">
        <f t="shared" si="66"/>
        <v>1185</v>
      </c>
    </row>
    <row r="1188" spans="32:34" x14ac:dyDescent="0.2">
      <c r="AF1188" s="3">
        <f t="shared" si="67"/>
        <v>0.12940000000000207</v>
      </c>
      <c r="AG1188" s="3">
        <f t="shared" si="65"/>
        <v>-0.65557345084131691</v>
      </c>
      <c r="AH1188" s="3">
        <f t="shared" si="66"/>
        <v>1186</v>
      </c>
    </row>
    <row r="1189" spans="32:34" x14ac:dyDescent="0.2">
      <c r="AF1189" s="3">
        <f t="shared" si="67"/>
        <v>0.12950000000000206</v>
      </c>
      <c r="AG1189" s="3">
        <f t="shared" si="65"/>
        <v>-0.65583222347450087</v>
      </c>
      <c r="AH1189" s="3">
        <f t="shared" si="66"/>
        <v>1187</v>
      </c>
    </row>
    <row r="1190" spans="32:34" x14ac:dyDescent="0.2">
      <c r="AF1190" s="3">
        <f t="shared" si="67"/>
        <v>0.12960000000000205</v>
      </c>
      <c r="AG1190" s="3">
        <f t="shared" si="65"/>
        <v>-0.65609080478936455</v>
      </c>
      <c r="AH1190" s="3">
        <f t="shared" si="66"/>
        <v>1188</v>
      </c>
    </row>
    <row r="1191" spans="32:34" x14ac:dyDescent="0.2">
      <c r="AF1191" s="3">
        <f t="shared" si="67"/>
        <v>0.12970000000000204</v>
      </c>
      <c r="AG1191" s="3">
        <f t="shared" si="65"/>
        <v>-0.65634919493353039</v>
      </c>
      <c r="AH1191" s="3">
        <f t="shared" si="66"/>
        <v>1189</v>
      </c>
    </row>
    <row r="1192" spans="32:34" x14ac:dyDescent="0.2">
      <c r="AF1192" s="3">
        <f t="shared" si="67"/>
        <v>0.12980000000000202</v>
      </c>
      <c r="AG1192" s="3">
        <f t="shared" si="65"/>
        <v>-0.65660739405439272</v>
      </c>
      <c r="AH1192" s="3">
        <f t="shared" si="66"/>
        <v>1190</v>
      </c>
    </row>
    <row r="1193" spans="32:34" x14ac:dyDescent="0.2">
      <c r="AF1193" s="3">
        <f t="shared" si="67"/>
        <v>0.12990000000000201</v>
      </c>
      <c r="AG1193" s="3">
        <f t="shared" si="65"/>
        <v>-0.65686540229911894</v>
      </c>
      <c r="AH1193" s="3">
        <f t="shared" si="66"/>
        <v>1191</v>
      </c>
    </row>
    <row r="1194" spans="32:34" x14ac:dyDescent="0.2">
      <c r="AF1194" s="3">
        <f t="shared" si="67"/>
        <v>0.130000000000002</v>
      </c>
      <c r="AG1194" s="3">
        <f t="shared" si="65"/>
        <v>-0.65712321981465016</v>
      </c>
      <c r="AH1194" s="3">
        <f t="shared" si="66"/>
        <v>1192</v>
      </c>
    </row>
    <row r="1195" spans="32:34" x14ac:dyDescent="0.2">
      <c r="AF1195" s="3">
        <f t="shared" si="67"/>
        <v>0.13010000000000199</v>
      </c>
      <c r="AG1195" s="3">
        <f t="shared" si="65"/>
        <v>-0.65738084674770114</v>
      </c>
      <c r="AH1195" s="3">
        <f t="shared" si="66"/>
        <v>1193</v>
      </c>
    </row>
    <row r="1196" spans="32:34" x14ac:dyDescent="0.2">
      <c r="AF1196" s="3">
        <f t="shared" si="67"/>
        <v>0.13020000000000198</v>
      </c>
      <c r="AG1196" s="3">
        <f t="shared" si="65"/>
        <v>-0.65763828324476092</v>
      </c>
      <c r="AH1196" s="3">
        <f t="shared" si="66"/>
        <v>1194</v>
      </c>
    </row>
    <row r="1197" spans="32:34" x14ac:dyDescent="0.2">
      <c r="AF1197" s="3">
        <f t="shared" si="67"/>
        <v>0.13030000000000197</v>
      </c>
      <c r="AG1197" s="3">
        <f t="shared" si="65"/>
        <v>-0.65789552945209384</v>
      </c>
      <c r="AH1197" s="3">
        <f t="shared" si="66"/>
        <v>1195</v>
      </c>
    </row>
    <row r="1198" spans="32:34" x14ac:dyDescent="0.2">
      <c r="AF1198" s="3">
        <f t="shared" si="67"/>
        <v>0.13040000000000196</v>
      </c>
      <c r="AG1198" s="3">
        <f t="shared" si="65"/>
        <v>-0.65815258551573974</v>
      </c>
      <c r="AH1198" s="3">
        <f t="shared" si="66"/>
        <v>1196</v>
      </c>
    </row>
    <row r="1199" spans="32:34" x14ac:dyDescent="0.2">
      <c r="AF1199" s="3">
        <f t="shared" si="67"/>
        <v>0.13050000000000195</v>
      </c>
      <c r="AG1199" s="3">
        <f t="shared" si="65"/>
        <v>-0.65840945158151409</v>
      </c>
      <c r="AH1199" s="3">
        <f t="shared" si="66"/>
        <v>1197</v>
      </c>
    </row>
    <row r="1200" spans="32:34" x14ac:dyDescent="0.2">
      <c r="AF1200" s="3">
        <f t="shared" si="67"/>
        <v>0.13060000000000194</v>
      </c>
      <c r="AG1200" s="3">
        <f t="shared" si="65"/>
        <v>-0.65866612779500944</v>
      </c>
      <c r="AH1200" s="3">
        <f t="shared" si="66"/>
        <v>1198</v>
      </c>
    </row>
    <row r="1201" spans="32:34" x14ac:dyDescent="0.2">
      <c r="AF1201" s="3">
        <f t="shared" si="67"/>
        <v>0.13070000000000193</v>
      </c>
      <c r="AG1201" s="3">
        <f t="shared" si="65"/>
        <v>-0.65892261430159482</v>
      </c>
      <c r="AH1201" s="3">
        <f t="shared" si="66"/>
        <v>1199</v>
      </c>
    </row>
    <row r="1202" spans="32:34" x14ac:dyDescent="0.2">
      <c r="AF1202" s="3">
        <f t="shared" si="67"/>
        <v>0.13080000000000191</v>
      </c>
      <c r="AG1202" s="3">
        <f t="shared" si="65"/>
        <v>-0.65917891124641748</v>
      </c>
      <c r="AH1202" s="3">
        <f t="shared" si="66"/>
        <v>1200</v>
      </c>
    </row>
    <row r="1203" spans="32:34" x14ac:dyDescent="0.2">
      <c r="AF1203" s="3">
        <f t="shared" si="67"/>
        <v>0.1309000000000019</v>
      </c>
      <c r="AG1203" s="3">
        <f t="shared" si="65"/>
        <v>-0.65943501877440203</v>
      </c>
      <c r="AH1203" s="3">
        <f t="shared" si="66"/>
        <v>1201</v>
      </c>
    </row>
    <row r="1204" spans="32:34" x14ac:dyDescent="0.2">
      <c r="AF1204" s="3">
        <f t="shared" si="67"/>
        <v>0.13100000000000189</v>
      </c>
      <c r="AG1204" s="3">
        <f t="shared" si="65"/>
        <v>-0.65969093703025194</v>
      </c>
      <c r="AH1204" s="3">
        <f t="shared" si="66"/>
        <v>1202</v>
      </c>
    </row>
    <row r="1205" spans="32:34" x14ac:dyDescent="0.2">
      <c r="AF1205" s="3">
        <f t="shared" si="67"/>
        <v>0.13110000000000188</v>
      </c>
      <c r="AG1205" s="3">
        <f t="shared" si="65"/>
        <v>-0.6599466661584501</v>
      </c>
      <c r="AH1205" s="3">
        <f t="shared" si="66"/>
        <v>1203</v>
      </c>
    </row>
    <row r="1206" spans="32:34" x14ac:dyDescent="0.2">
      <c r="AF1206" s="3">
        <f t="shared" si="67"/>
        <v>0.13120000000000187</v>
      </c>
      <c r="AG1206" s="3">
        <f t="shared" si="65"/>
        <v>-0.66020220630325832</v>
      </c>
      <c r="AH1206" s="3">
        <f t="shared" si="66"/>
        <v>1204</v>
      </c>
    </row>
    <row r="1207" spans="32:34" x14ac:dyDescent="0.2">
      <c r="AF1207" s="3">
        <f t="shared" si="67"/>
        <v>0.13130000000000186</v>
      </c>
      <c r="AG1207" s="3">
        <f t="shared" si="65"/>
        <v>-0.66045755760871905</v>
      </c>
      <c r="AH1207" s="3">
        <f t="shared" si="66"/>
        <v>1205</v>
      </c>
    </row>
    <row r="1208" spans="32:34" x14ac:dyDescent="0.2">
      <c r="AF1208" s="3">
        <f t="shared" si="67"/>
        <v>0.13140000000000185</v>
      </c>
      <c r="AG1208" s="3">
        <f t="shared" si="65"/>
        <v>-0.66071272021865513</v>
      </c>
      <c r="AH1208" s="3">
        <f t="shared" si="66"/>
        <v>1206</v>
      </c>
    </row>
    <row r="1209" spans="32:34" x14ac:dyDescent="0.2">
      <c r="AF1209" s="3">
        <f t="shared" si="67"/>
        <v>0.13150000000000184</v>
      </c>
      <c r="AG1209" s="3">
        <f t="shared" si="65"/>
        <v>-0.66096769427667024</v>
      </c>
      <c r="AH1209" s="3">
        <f t="shared" si="66"/>
        <v>1207</v>
      </c>
    </row>
    <row r="1210" spans="32:34" x14ac:dyDescent="0.2">
      <c r="AF1210" s="3">
        <f t="shared" si="67"/>
        <v>0.13160000000000183</v>
      </c>
      <c r="AG1210" s="3">
        <f t="shared" si="65"/>
        <v>-0.66122247992615013</v>
      </c>
      <c r="AH1210" s="3">
        <f t="shared" si="66"/>
        <v>1208</v>
      </c>
    </row>
    <row r="1211" spans="32:34" x14ac:dyDescent="0.2">
      <c r="AF1211" s="3">
        <f t="shared" si="67"/>
        <v>0.13170000000000182</v>
      </c>
      <c r="AG1211" s="3">
        <f t="shared" si="65"/>
        <v>-0.66147707731026251</v>
      </c>
      <c r="AH1211" s="3">
        <f t="shared" si="66"/>
        <v>1209</v>
      </c>
    </row>
    <row r="1212" spans="32:34" x14ac:dyDescent="0.2">
      <c r="AF1212" s="3">
        <f t="shared" si="67"/>
        <v>0.1318000000000018</v>
      </c>
      <c r="AG1212" s="3">
        <f t="shared" si="65"/>
        <v>-0.66173148657195724</v>
      </c>
      <c r="AH1212" s="3">
        <f t="shared" si="66"/>
        <v>1210</v>
      </c>
    </row>
    <row r="1213" spans="32:34" x14ac:dyDescent="0.2">
      <c r="AF1213" s="3">
        <f t="shared" si="67"/>
        <v>0.13190000000000179</v>
      </c>
      <c r="AG1213" s="3">
        <f t="shared" si="65"/>
        <v>-0.66198570785396782</v>
      </c>
      <c r="AH1213" s="3">
        <f t="shared" si="66"/>
        <v>1211</v>
      </c>
    </row>
    <row r="1214" spans="32:34" x14ac:dyDescent="0.2">
      <c r="AF1214" s="3">
        <f t="shared" si="67"/>
        <v>0.13200000000000178</v>
      </c>
      <c r="AG1214" s="3">
        <f t="shared" si="65"/>
        <v>-0.66223974129881125</v>
      </c>
      <c r="AH1214" s="3">
        <f t="shared" si="66"/>
        <v>1212</v>
      </c>
    </row>
    <row r="1215" spans="32:34" x14ac:dyDescent="0.2">
      <c r="AF1215" s="3">
        <f t="shared" si="67"/>
        <v>0.13210000000000177</v>
      </c>
      <c r="AG1215" s="3">
        <f t="shared" si="65"/>
        <v>-0.66249358704878802</v>
      </c>
      <c r="AH1215" s="3">
        <f t="shared" si="66"/>
        <v>1213</v>
      </c>
    </row>
    <row r="1216" spans="32:34" x14ac:dyDescent="0.2">
      <c r="AF1216" s="3">
        <f t="shared" si="67"/>
        <v>0.13220000000000176</v>
      </c>
      <c r="AG1216" s="3">
        <f t="shared" si="65"/>
        <v>-0.66274724524598372</v>
      </c>
      <c r="AH1216" s="3">
        <f t="shared" si="66"/>
        <v>1214</v>
      </c>
    </row>
    <row r="1217" spans="32:34" x14ac:dyDescent="0.2">
      <c r="AF1217" s="3">
        <f t="shared" si="67"/>
        <v>0.13230000000000175</v>
      </c>
      <c r="AG1217" s="3">
        <f t="shared" si="65"/>
        <v>-0.66300071603226907</v>
      </c>
      <c r="AH1217" s="3">
        <f t="shared" si="66"/>
        <v>1215</v>
      </c>
    </row>
    <row r="1218" spans="32:34" x14ac:dyDescent="0.2">
      <c r="AF1218" s="3">
        <f t="shared" si="67"/>
        <v>0.13240000000000174</v>
      </c>
      <c r="AG1218" s="3">
        <f t="shared" si="65"/>
        <v>-0.66325399954930009</v>
      </c>
      <c r="AH1218" s="3">
        <f t="shared" si="66"/>
        <v>1216</v>
      </c>
    </row>
    <row r="1219" spans="32:34" x14ac:dyDescent="0.2">
      <c r="AF1219" s="3">
        <f t="shared" si="67"/>
        <v>0.13250000000000173</v>
      </c>
      <c r="AG1219" s="3">
        <f t="shared" ref="AG1219:AG1282" si="68">RT0*AF1219*LN(AF1219)</f>
        <v>-0.66350709593851875</v>
      </c>
      <c r="AH1219" s="3">
        <f t="shared" si="66"/>
        <v>1217</v>
      </c>
    </row>
    <row r="1220" spans="32:34" x14ac:dyDescent="0.2">
      <c r="AF1220" s="3">
        <f t="shared" si="67"/>
        <v>0.13260000000000172</v>
      </c>
      <c r="AG1220" s="3">
        <f t="shared" si="68"/>
        <v>-0.66376000534115354</v>
      </c>
      <c r="AH1220" s="3">
        <f t="shared" si="66"/>
        <v>1218</v>
      </c>
    </row>
    <row r="1221" spans="32:34" x14ac:dyDescent="0.2">
      <c r="AF1221" s="3">
        <f t="shared" si="67"/>
        <v>0.13270000000000171</v>
      </c>
      <c r="AG1221" s="3">
        <f t="shared" si="68"/>
        <v>-0.66401272789822008</v>
      </c>
      <c r="AH1221" s="3">
        <f t="shared" ref="AH1221:AH1284" si="69">AH1220+1</f>
        <v>1219</v>
      </c>
    </row>
    <row r="1222" spans="32:34" x14ac:dyDescent="0.2">
      <c r="AF1222" s="3">
        <f t="shared" si="67"/>
        <v>0.13280000000000169</v>
      </c>
      <c r="AG1222" s="3">
        <f t="shared" si="68"/>
        <v>-0.66426526375052153</v>
      </c>
      <c r="AH1222" s="3">
        <f t="shared" si="69"/>
        <v>1220</v>
      </c>
    </row>
    <row r="1223" spans="32:34" x14ac:dyDescent="0.2">
      <c r="AF1223" s="3">
        <f t="shared" si="67"/>
        <v>0.13290000000000168</v>
      </c>
      <c r="AG1223" s="3">
        <f t="shared" si="68"/>
        <v>-0.66451761303864854</v>
      </c>
      <c r="AH1223" s="3">
        <f t="shared" si="69"/>
        <v>1221</v>
      </c>
    </row>
    <row r="1224" spans="32:34" x14ac:dyDescent="0.2">
      <c r="AF1224" s="3">
        <f t="shared" si="67"/>
        <v>0.13300000000000167</v>
      </c>
      <c r="AG1224" s="3">
        <f t="shared" si="68"/>
        <v>-0.66476977590298081</v>
      </c>
      <c r="AH1224" s="3">
        <f t="shared" si="69"/>
        <v>1222</v>
      </c>
    </row>
    <row r="1225" spans="32:34" x14ac:dyDescent="0.2">
      <c r="AF1225" s="3">
        <f t="shared" si="67"/>
        <v>0.13310000000000166</v>
      </c>
      <c r="AG1225" s="3">
        <f t="shared" si="68"/>
        <v>-0.66502175248368656</v>
      </c>
      <c r="AH1225" s="3">
        <f t="shared" si="69"/>
        <v>1223</v>
      </c>
    </row>
    <row r="1226" spans="32:34" x14ac:dyDescent="0.2">
      <c r="AF1226" s="3">
        <f t="shared" si="67"/>
        <v>0.13320000000000165</v>
      </c>
      <c r="AG1226" s="3">
        <f t="shared" si="68"/>
        <v>-0.66527354292072338</v>
      </c>
      <c r="AH1226" s="3">
        <f t="shared" si="69"/>
        <v>1224</v>
      </c>
    </row>
    <row r="1227" spans="32:34" x14ac:dyDescent="0.2">
      <c r="AF1227" s="3">
        <f t="shared" si="67"/>
        <v>0.13330000000000164</v>
      </c>
      <c r="AG1227" s="3">
        <f t="shared" si="68"/>
        <v>-0.66552514735383861</v>
      </c>
      <c r="AH1227" s="3">
        <f t="shared" si="69"/>
        <v>1225</v>
      </c>
    </row>
    <row r="1228" spans="32:34" x14ac:dyDescent="0.2">
      <c r="AF1228" s="3">
        <f t="shared" si="67"/>
        <v>0.13340000000000163</v>
      </c>
      <c r="AG1228" s="3">
        <f t="shared" si="68"/>
        <v>-0.66577656592257062</v>
      </c>
      <c r="AH1228" s="3">
        <f t="shared" si="69"/>
        <v>1226</v>
      </c>
    </row>
    <row r="1229" spans="32:34" x14ac:dyDescent="0.2">
      <c r="AF1229" s="3">
        <f t="shared" si="67"/>
        <v>0.13350000000000162</v>
      </c>
      <c r="AG1229" s="3">
        <f t="shared" si="68"/>
        <v>-0.66602779876624751</v>
      </c>
      <c r="AH1229" s="3">
        <f t="shared" si="69"/>
        <v>1227</v>
      </c>
    </row>
    <row r="1230" spans="32:34" x14ac:dyDescent="0.2">
      <c r="AF1230" s="3">
        <f t="shared" si="67"/>
        <v>0.13360000000000161</v>
      </c>
      <c r="AG1230" s="3">
        <f t="shared" si="68"/>
        <v>-0.66627884602398957</v>
      </c>
      <c r="AH1230" s="3">
        <f t="shared" si="69"/>
        <v>1228</v>
      </c>
    </row>
    <row r="1231" spans="32:34" x14ac:dyDescent="0.2">
      <c r="AF1231" s="3">
        <f t="shared" si="67"/>
        <v>0.1337000000000016</v>
      </c>
      <c r="AG1231" s="3">
        <f t="shared" si="68"/>
        <v>-0.66652970783470844</v>
      </c>
      <c r="AH1231" s="3">
        <f t="shared" si="69"/>
        <v>1229</v>
      </c>
    </row>
    <row r="1232" spans="32:34" x14ac:dyDescent="0.2">
      <c r="AF1232" s="3">
        <f t="shared" si="67"/>
        <v>0.13380000000000158</v>
      </c>
      <c r="AG1232" s="3">
        <f t="shared" si="68"/>
        <v>-0.66678038433710751</v>
      </c>
      <c r="AH1232" s="3">
        <f t="shared" si="69"/>
        <v>1230</v>
      </c>
    </row>
    <row r="1233" spans="32:34" x14ac:dyDescent="0.2">
      <c r="AF1233" s="3">
        <f t="shared" si="67"/>
        <v>0.13390000000000157</v>
      </c>
      <c r="AG1233" s="3">
        <f t="shared" si="68"/>
        <v>-0.66703087566968389</v>
      </c>
      <c r="AH1233" s="3">
        <f t="shared" si="69"/>
        <v>1231</v>
      </c>
    </row>
    <row r="1234" spans="32:34" x14ac:dyDescent="0.2">
      <c r="AF1234" s="3">
        <f t="shared" si="67"/>
        <v>0.13400000000000156</v>
      </c>
      <c r="AG1234" s="3">
        <f t="shared" si="68"/>
        <v>-0.66728118197072706</v>
      </c>
      <c r="AH1234" s="3">
        <f t="shared" si="69"/>
        <v>1232</v>
      </c>
    </row>
    <row r="1235" spans="32:34" x14ac:dyDescent="0.2">
      <c r="AF1235" s="3">
        <f t="shared" si="67"/>
        <v>0.13410000000000155</v>
      </c>
      <c r="AG1235" s="3">
        <f t="shared" si="68"/>
        <v>-0.66753130337832012</v>
      </c>
      <c r="AH1235" s="3">
        <f t="shared" si="69"/>
        <v>1233</v>
      </c>
    </row>
    <row r="1236" spans="32:34" x14ac:dyDescent="0.2">
      <c r="AF1236" s="3">
        <f t="shared" si="67"/>
        <v>0.13420000000000154</v>
      </c>
      <c r="AG1236" s="3">
        <f t="shared" si="68"/>
        <v>-0.66778124003034056</v>
      </c>
      <c r="AH1236" s="3">
        <f t="shared" si="69"/>
        <v>1234</v>
      </c>
    </row>
    <row r="1237" spans="32:34" x14ac:dyDescent="0.2">
      <c r="AF1237" s="3">
        <f t="shared" si="67"/>
        <v>0.13430000000000153</v>
      </c>
      <c r="AG1237" s="3">
        <f t="shared" si="68"/>
        <v>-0.66803099206446015</v>
      </c>
      <c r="AH1237" s="3">
        <f t="shared" si="69"/>
        <v>1235</v>
      </c>
    </row>
    <row r="1238" spans="32:34" x14ac:dyDescent="0.2">
      <c r="AF1238" s="3">
        <f t="shared" si="67"/>
        <v>0.13440000000000152</v>
      </c>
      <c r="AG1238" s="3">
        <f t="shared" si="68"/>
        <v>-0.6682805596181457</v>
      </c>
      <c r="AH1238" s="3">
        <f t="shared" si="69"/>
        <v>1236</v>
      </c>
    </row>
    <row r="1239" spans="32:34" x14ac:dyDescent="0.2">
      <c r="AF1239" s="3">
        <f t="shared" si="67"/>
        <v>0.13450000000000151</v>
      </c>
      <c r="AG1239" s="3">
        <f t="shared" si="68"/>
        <v>-0.66852994282865952</v>
      </c>
      <c r="AH1239" s="3">
        <f t="shared" si="69"/>
        <v>1237</v>
      </c>
    </row>
    <row r="1240" spans="32:34" x14ac:dyDescent="0.2">
      <c r="AF1240" s="3">
        <f t="shared" si="67"/>
        <v>0.1346000000000015</v>
      </c>
      <c r="AG1240" s="3">
        <f t="shared" si="68"/>
        <v>-0.66877914183305964</v>
      </c>
      <c r="AH1240" s="3">
        <f t="shared" si="69"/>
        <v>1238</v>
      </c>
    </row>
    <row r="1241" spans="32:34" x14ac:dyDescent="0.2">
      <c r="AF1241" s="3">
        <f t="shared" si="67"/>
        <v>0.13470000000000149</v>
      </c>
      <c r="AG1241" s="3">
        <f t="shared" si="68"/>
        <v>-0.6690281567682006</v>
      </c>
      <c r="AH1241" s="3">
        <f t="shared" si="69"/>
        <v>1239</v>
      </c>
    </row>
    <row r="1242" spans="32:34" x14ac:dyDescent="0.2">
      <c r="AF1242" s="3">
        <f t="shared" si="67"/>
        <v>0.13480000000000147</v>
      </c>
      <c r="AG1242" s="3">
        <f t="shared" si="68"/>
        <v>-0.66927698777073386</v>
      </c>
      <c r="AH1242" s="3">
        <f t="shared" si="69"/>
        <v>1240</v>
      </c>
    </row>
    <row r="1243" spans="32:34" x14ac:dyDescent="0.2">
      <c r="AF1243" s="3">
        <f t="shared" si="67"/>
        <v>0.13490000000000146</v>
      </c>
      <c r="AG1243" s="3">
        <f t="shared" si="68"/>
        <v>-0.66952563497710782</v>
      </c>
      <c r="AH1243" s="3">
        <f t="shared" si="69"/>
        <v>1241</v>
      </c>
    </row>
    <row r="1244" spans="32:34" x14ac:dyDescent="0.2">
      <c r="AF1244" s="3">
        <f t="shared" si="67"/>
        <v>0.13500000000000145</v>
      </c>
      <c r="AG1244" s="3">
        <f t="shared" si="68"/>
        <v>-0.66977409852356873</v>
      </c>
      <c r="AH1244" s="3">
        <f t="shared" si="69"/>
        <v>1242</v>
      </c>
    </row>
    <row r="1245" spans="32:34" x14ac:dyDescent="0.2">
      <c r="AF1245" s="3">
        <f t="shared" si="67"/>
        <v>0.13510000000000144</v>
      </c>
      <c r="AG1245" s="3">
        <f t="shared" si="68"/>
        <v>-0.67002237854616087</v>
      </c>
      <c r="AH1245" s="3">
        <f t="shared" si="69"/>
        <v>1243</v>
      </c>
    </row>
    <row r="1246" spans="32:34" x14ac:dyDescent="0.2">
      <c r="AF1246" s="3">
        <f t="shared" si="67"/>
        <v>0.13520000000000143</v>
      </c>
      <c r="AG1246" s="3">
        <f t="shared" si="68"/>
        <v>-0.67027047518072758</v>
      </c>
      <c r="AH1246" s="3">
        <f t="shared" si="69"/>
        <v>1244</v>
      </c>
    </row>
    <row r="1247" spans="32:34" x14ac:dyDescent="0.2">
      <c r="AF1247" s="3">
        <f t="shared" si="67"/>
        <v>0.13530000000000142</v>
      </c>
      <c r="AG1247" s="3">
        <f t="shared" si="68"/>
        <v>-0.67051838856291057</v>
      </c>
      <c r="AH1247" s="3">
        <f t="shared" si="69"/>
        <v>1245</v>
      </c>
    </row>
    <row r="1248" spans="32:34" x14ac:dyDescent="0.2">
      <c r="AF1248" s="3">
        <f t="shared" ref="AF1248:AF1311" si="70">AF1247+0.0001</f>
        <v>0.13540000000000141</v>
      </c>
      <c r="AG1248" s="3">
        <f t="shared" si="68"/>
        <v>-0.67076611882815163</v>
      </c>
      <c r="AH1248" s="3">
        <f t="shared" si="69"/>
        <v>1246</v>
      </c>
    </row>
    <row r="1249" spans="32:34" x14ac:dyDescent="0.2">
      <c r="AF1249" s="3">
        <f t="shared" si="70"/>
        <v>0.1355000000000014</v>
      </c>
      <c r="AG1249" s="3">
        <f t="shared" si="68"/>
        <v>-0.671013666111692</v>
      </c>
      <c r="AH1249" s="3">
        <f t="shared" si="69"/>
        <v>1247</v>
      </c>
    </row>
    <row r="1250" spans="32:34" x14ac:dyDescent="0.2">
      <c r="AF1250" s="3">
        <f t="shared" si="70"/>
        <v>0.13560000000000139</v>
      </c>
      <c r="AG1250" s="3">
        <f t="shared" si="68"/>
        <v>-0.67126103054857378</v>
      </c>
      <c r="AH1250" s="3">
        <f t="shared" si="69"/>
        <v>1248</v>
      </c>
    </row>
    <row r="1251" spans="32:34" x14ac:dyDescent="0.2">
      <c r="AF1251" s="3">
        <f t="shared" si="70"/>
        <v>0.13570000000000138</v>
      </c>
      <c r="AG1251" s="3">
        <f t="shared" si="68"/>
        <v>-0.67150821227363966</v>
      </c>
      <c r="AH1251" s="3">
        <f t="shared" si="69"/>
        <v>1249</v>
      </c>
    </row>
    <row r="1252" spans="32:34" x14ac:dyDescent="0.2">
      <c r="AF1252" s="3">
        <f t="shared" si="70"/>
        <v>0.13580000000000136</v>
      </c>
      <c r="AG1252" s="3">
        <f t="shared" si="68"/>
        <v>-0.67175521142153349</v>
      </c>
      <c r="AH1252" s="3">
        <f t="shared" si="69"/>
        <v>1250</v>
      </c>
    </row>
    <row r="1253" spans="32:34" x14ac:dyDescent="0.2">
      <c r="AF1253" s="3">
        <f t="shared" si="70"/>
        <v>0.13590000000000135</v>
      </c>
      <c r="AG1253" s="3">
        <f t="shared" si="68"/>
        <v>-0.67200202812670096</v>
      </c>
      <c r="AH1253" s="3">
        <f t="shared" si="69"/>
        <v>1251</v>
      </c>
    </row>
    <row r="1254" spans="32:34" x14ac:dyDescent="0.2">
      <c r="AF1254" s="3">
        <f t="shared" si="70"/>
        <v>0.13600000000000134</v>
      </c>
      <c r="AG1254" s="3">
        <f t="shared" si="68"/>
        <v>-0.67224866252338977</v>
      </c>
      <c r="AH1254" s="3">
        <f t="shared" si="69"/>
        <v>1252</v>
      </c>
    </row>
    <row r="1255" spans="32:34" x14ac:dyDescent="0.2">
      <c r="AF1255" s="3">
        <f t="shared" si="70"/>
        <v>0.13610000000000133</v>
      </c>
      <c r="AG1255" s="3">
        <f t="shared" si="68"/>
        <v>-0.6724951147456506</v>
      </c>
      <c r="AH1255" s="3">
        <f t="shared" si="69"/>
        <v>1253</v>
      </c>
    </row>
    <row r="1256" spans="32:34" x14ac:dyDescent="0.2">
      <c r="AF1256" s="3">
        <f t="shared" si="70"/>
        <v>0.13620000000000132</v>
      </c>
      <c r="AG1256" s="3">
        <f t="shared" si="68"/>
        <v>-0.67274138492733648</v>
      </c>
      <c r="AH1256" s="3">
        <f t="shared" si="69"/>
        <v>1254</v>
      </c>
    </row>
    <row r="1257" spans="32:34" x14ac:dyDescent="0.2">
      <c r="AF1257" s="3">
        <f t="shared" si="70"/>
        <v>0.13630000000000131</v>
      </c>
      <c r="AG1257" s="3">
        <f t="shared" si="68"/>
        <v>-0.6729874732021045</v>
      </c>
      <c r="AH1257" s="3">
        <f t="shared" si="69"/>
        <v>1255</v>
      </c>
    </row>
    <row r="1258" spans="32:34" x14ac:dyDescent="0.2">
      <c r="AF1258" s="3">
        <f t="shared" si="70"/>
        <v>0.1364000000000013</v>
      </c>
      <c r="AG1258" s="3">
        <f t="shared" si="68"/>
        <v>-0.67323337970341524</v>
      </c>
      <c r="AH1258" s="3">
        <f t="shared" si="69"/>
        <v>1256</v>
      </c>
    </row>
    <row r="1259" spans="32:34" x14ac:dyDescent="0.2">
      <c r="AF1259" s="3">
        <f t="shared" si="70"/>
        <v>0.13650000000000129</v>
      </c>
      <c r="AG1259" s="3">
        <f t="shared" si="68"/>
        <v>-0.67347910456453375</v>
      </c>
      <c r="AH1259" s="3">
        <f t="shared" si="69"/>
        <v>1257</v>
      </c>
    </row>
    <row r="1260" spans="32:34" x14ac:dyDescent="0.2">
      <c r="AF1260" s="3">
        <f t="shared" si="70"/>
        <v>0.13660000000000128</v>
      </c>
      <c r="AG1260" s="3">
        <f t="shared" si="68"/>
        <v>-0.67372464791852982</v>
      </c>
      <c r="AH1260" s="3">
        <f t="shared" si="69"/>
        <v>1258</v>
      </c>
    </row>
    <row r="1261" spans="32:34" x14ac:dyDescent="0.2">
      <c r="AF1261" s="3">
        <f t="shared" si="70"/>
        <v>0.13670000000000126</v>
      </c>
      <c r="AG1261" s="3">
        <f t="shared" si="68"/>
        <v>-0.67397000989827838</v>
      </c>
      <c r="AH1261" s="3">
        <f t="shared" si="69"/>
        <v>1259</v>
      </c>
    </row>
    <row r="1262" spans="32:34" x14ac:dyDescent="0.2">
      <c r="AF1262" s="3">
        <f t="shared" si="70"/>
        <v>0.13680000000000125</v>
      </c>
      <c r="AG1262" s="3">
        <f t="shared" si="68"/>
        <v>-0.67421519063645985</v>
      </c>
      <c r="AH1262" s="3">
        <f t="shared" si="69"/>
        <v>1260</v>
      </c>
    </row>
    <row r="1263" spans="32:34" x14ac:dyDescent="0.2">
      <c r="AF1263" s="3">
        <f t="shared" si="70"/>
        <v>0.13690000000000124</v>
      </c>
      <c r="AG1263" s="3">
        <f t="shared" si="68"/>
        <v>-0.67446019026556081</v>
      </c>
      <c r="AH1263" s="3">
        <f t="shared" si="69"/>
        <v>1261</v>
      </c>
    </row>
    <row r="1264" spans="32:34" x14ac:dyDescent="0.2">
      <c r="AF1264" s="3">
        <f t="shared" si="70"/>
        <v>0.13700000000000123</v>
      </c>
      <c r="AG1264" s="3">
        <f t="shared" si="68"/>
        <v>-0.67470500891787444</v>
      </c>
      <c r="AH1264" s="3">
        <f t="shared" si="69"/>
        <v>1262</v>
      </c>
    </row>
    <row r="1265" spans="32:34" x14ac:dyDescent="0.2">
      <c r="AF1265" s="3">
        <f t="shared" si="70"/>
        <v>0.13710000000000122</v>
      </c>
      <c r="AG1265" s="3">
        <f t="shared" si="68"/>
        <v>-0.67494964672550029</v>
      </c>
      <c r="AH1265" s="3">
        <f t="shared" si="69"/>
        <v>1263</v>
      </c>
    </row>
    <row r="1266" spans="32:34" x14ac:dyDescent="0.2">
      <c r="AF1266" s="3">
        <f t="shared" si="70"/>
        <v>0.13720000000000121</v>
      </c>
      <c r="AG1266" s="3">
        <f t="shared" si="68"/>
        <v>-0.67519410382034595</v>
      </c>
      <c r="AH1266" s="3">
        <f t="shared" si="69"/>
        <v>1264</v>
      </c>
    </row>
    <row r="1267" spans="32:34" x14ac:dyDescent="0.2">
      <c r="AF1267" s="3">
        <f t="shared" si="70"/>
        <v>0.1373000000000012</v>
      </c>
      <c r="AG1267" s="3">
        <f t="shared" si="68"/>
        <v>-0.67543838033412595</v>
      </c>
      <c r="AH1267" s="3">
        <f t="shared" si="69"/>
        <v>1265</v>
      </c>
    </row>
    <row r="1268" spans="32:34" x14ac:dyDescent="0.2">
      <c r="AF1268" s="3">
        <f t="shared" si="70"/>
        <v>0.13740000000000119</v>
      </c>
      <c r="AG1268" s="3">
        <f t="shared" si="68"/>
        <v>-0.67568247639836343</v>
      </c>
      <c r="AH1268" s="3">
        <f t="shared" si="69"/>
        <v>1266</v>
      </c>
    </row>
    <row r="1269" spans="32:34" x14ac:dyDescent="0.2">
      <c r="AF1269" s="3">
        <f t="shared" si="70"/>
        <v>0.13750000000000118</v>
      </c>
      <c r="AG1269" s="3">
        <f t="shared" si="68"/>
        <v>-0.67592639214438999</v>
      </c>
      <c r="AH1269" s="3">
        <f t="shared" si="69"/>
        <v>1267</v>
      </c>
    </row>
    <row r="1270" spans="32:34" x14ac:dyDescent="0.2">
      <c r="AF1270" s="3">
        <f t="shared" si="70"/>
        <v>0.13760000000000117</v>
      </c>
      <c r="AG1270" s="3">
        <f t="shared" si="68"/>
        <v>-0.67617012770334606</v>
      </c>
      <c r="AH1270" s="3">
        <f t="shared" si="69"/>
        <v>1268</v>
      </c>
    </row>
    <row r="1271" spans="32:34" x14ac:dyDescent="0.2">
      <c r="AF1271" s="3">
        <f t="shared" si="70"/>
        <v>0.13770000000000115</v>
      </c>
      <c r="AG1271" s="3">
        <f t="shared" si="68"/>
        <v>-0.67641368320618156</v>
      </c>
      <c r="AH1271" s="3">
        <f t="shared" si="69"/>
        <v>1269</v>
      </c>
    </row>
    <row r="1272" spans="32:34" x14ac:dyDescent="0.2">
      <c r="AF1272" s="3">
        <f t="shared" si="70"/>
        <v>0.13780000000000114</v>
      </c>
      <c r="AG1272" s="3">
        <f t="shared" si="68"/>
        <v>-0.67665705878365645</v>
      </c>
      <c r="AH1272" s="3">
        <f t="shared" si="69"/>
        <v>1270</v>
      </c>
    </row>
    <row r="1273" spans="32:34" x14ac:dyDescent="0.2">
      <c r="AF1273" s="3">
        <f t="shared" si="70"/>
        <v>0.13790000000000113</v>
      </c>
      <c r="AG1273" s="3">
        <f t="shared" si="68"/>
        <v>-0.67690025456634051</v>
      </c>
      <c r="AH1273" s="3">
        <f t="shared" si="69"/>
        <v>1271</v>
      </c>
    </row>
    <row r="1274" spans="32:34" x14ac:dyDescent="0.2">
      <c r="AF1274" s="3">
        <f t="shared" si="70"/>
        <v>0.13800000000000112</v>
      </c>
      <c r="AG1274" s="3">
        <f t="shared" si="68"/>
        <v>-0.67714327068461422</v>
      </c>
      <c r="AH1274" s="3">
        <f t="shared" si="69"/>
        <v>1272</v>
      </c>
    </row>
    <row r="1275" spans="32:34" x14ac:dyDescent="0.2">
      <c r="AF1275" s="3">
        <f t="shared" si="70"/>
        <v>0.13810000000000111</v>
      </c>
      <c r="AG1275" s="3">
        <f t="shared" si="68"/>
        <v>-0.67738610726866932</v>
      </c>
      <c r="AH1275" s="3">
        <f t="shared" si="69"/>
        <v>1273</v>
      </c>
    </row>
    <row r="1276" spans="32:34" x14ac:dyDescent="0.2">
      <c r="AF1276" s="3">
        <f t="shared" si="70"/>
        <v>0.1382000000000011</v>
      </c>
      <c r="AG1276" s="3">
        <f t="shared" si="68"/>
        <v>-0.67762876444850895</v>
      </c>
      <c r="AH1276" s="3">
        <f t="shared" si="69"/>
        <v>1274</v>
      </c>
    </row>
    <row r="1277" spans="32:34" x14ac:dyDescent="0.2">
      <c r="AF1277" s="3">
        <f t="shared" si="70"/>
        <v>0.13830000000000109</v>
      </c>
      <c r="AG1277" s="3">
        <f t="shared" si="68"/>
        <v>-0.67787124235394802</v>
      </c>
      <c r="AH1277" s="3">
        <f t="shared" si="69"/>
        <v>1275</v>
      </c>
    </row>
    <row r="1278" spans="32:34" x14ac:dyDescent="0.2">
      <c r="AF1278" s="3">
        <f t="shared" si="70"/>
        <v>0.13840000000000108</v>
      </c>
      <c r="AG1278" s="3">
        <f t="shared" si="68"/>
        <v>-0.67811354111461364</v>
      </c>
      <c r="AH1278" s="3">
        <f t="shared" si="69"/>
        <v>1276</v>
      </c>
    </row>
    <row r="1279" spans="32:34" x14ac:dyDescent="0.2">
      <c r="AF1279" s="3">
        <f t="shared" si="70"/>
        <v>0.13850000000000107</v>
      </c>
      <c r="AG1279" s="3">
        <f t="shared" si="68"/>
        <v>-0.67835566085994581</v>
      </c>
      <c r="AH1279" s="3">
        <f t="shared" si="69"/>
        <v>1277</v>
      </c>
    </row>
    <row r="1280" spans="32:34" x14ac:dyDescent="0.2">
      <c r="AF1280" s="3">
        <f t="shared" si="70"/>
        <v>0.13860000000000106</v>
      </c>
      <c r="AG1280" s="3">
        <f t="shared" si="68"/>
        <v>-0.67859760171919736</v>
      </c>
      <c r="AH1280" s="3">
        <f t="shared" si="69"/>
        <v>1278</v>
      </c>
    </row>
    <row r="1281" spans="32:34" x14ac:dyDescent="0.2">
      <c r="AF1281" s="3">
        <f t="shared" si="70"/>
        <v>0.13870000000000104</v>
      </c>
      <c r="AG1281" s="3">
        <f t="shared" si="68"/>
        <v>-0.67883936382143484</v>
      </c>
      <c r="AH1281" s="3">
        <f t="shared" si="69"/>
        <v>1279</v>
      </c>
    </row>
    <row r="1282" spans="32:34" x14ac:dyDescent="0.2">
      <c r="AF1282" s="3">
        <f t="shared" si="70"/>
        <v>0.13880000000000103</v>
      </c>
      <c r="AG1282" s="3">
        <f t="shared" si="68"/>
        <v>-0.67908094729553869</v>
      </c>
      <c r="AH1282" s="3">
        <f t="shared" si="69"/>
        <v>1280</v>
      </c>
    </row>
    <row r="1283" spans="32:34" x14ac:dyDescent="0.2">
      <c r="AF1283" s="3">
        <f t="shared" si="70"/>
        <v>0.13890000000000102</v>
      </c>
      <c r="AG1283" s="3">
        <f t="shared" ref="AG1283:AG1346" si="71">RT0*AF1283*LN(AF1283)</f>
        <v>-0.67932235227020343</v>
      </c>
      <c r="AH1283" s="3">
        <f t="shared" si="69"/>
        <v>1281</v>
      </c>
    </row>
    <row r="1284" spans="32:34" x14ac:dyDescent="0.2">
      <c r="AF1284" s="3">
        <f t="shared" si="70"/>
        <v>0.13900000000000101</v>
      </c>
      <c r="AG1284" s="3">
        <f t="shared" si="71"/>
        <v>-0.67956357887393848</v>
      </c>
      <c r="AH1284" s="3">
        <f t="shared" si="69"/>
        <v>1282</v>
      </c>
    </row>
    <row r="1285" spans="32:34" x14ac:dyDescent="0.2">
      <c r="AF1285" s="3">
        <f t="shared" si="70"/>
        <v>0.139100000000001</v>
      </c>
      <c r="AG1285" s="3">
        <f t="shared" si="71"/>
        <v>-0.67980462723506818</v>
      </c>
      <c r="AH1285" s="3">
        <f t="shared" ref="AH1285:AH1348" si="72">AH1284+1</f>
        <v>1283</v>
      </c>
    </row>
    <row r="1286" spans="32:34" x14ac:dyDescent="0.2">
      <c r="AF1286" s="3">
        <f t="shared" si="70"/>
        <v>0.13920000000000099</v>
      </c>
      <c r="AG1286" s="3">
        <f t="shared" si="71"/>
        <v>-0.6800454974817326</v>
      </c>
      <c r="AH1286" s="3">
        <f t="shared" si="72"/>
        <v>1284</v>
      </c>
    </row>
    <row r="1287" spans="32:34" x14ac:dyDescent="0.2">
      <c r="AF1287" s="3">
        <f t="shared" si="70"/>
        <v>0.13930000000000098</v>
      </c>
      <c r="AG1287" s="3">
        <f t="shared" si="71"/>
        <v>-0.68028618974188737</v>
      </c>
      <c r="AH1287" s="3">
        <f t="shared" si="72"/>
        <v>1285</v>
      </c>
    </row>
    <row r="1288" spans="32:34" x14ac:dyDescent="0.2">
      <c r="AF1288" s="3">
        <f t="shared" si="70"/>
        <v>0.13940000000000097</v>
      </c>
      <c r="AG1288" s="3">
        <f t="shared" si="71"/>
        <v>-0.68052670414330463</v>
      </c>
      <c r="AH1288" s="3">
        <f t="shared" si="72"/>
        <v>1286</v>
      </c>
    </row>
    <row r="1289" spans="32:34" x14ac:dyDescent="0.2">
      <c r="AF1289" s="3">
        <f t="shared" si="70"/>
        <v>0.13950000000000096</v>
      </c>
      <c r="AG1289" s="3">
        <f t="shared" si="71"/>
        <v>-0.68076704081357342</v>
      </c>
      <c r="AH1289" s="3">
        <f t="shared" si="72"/>
        <v>1287</v>
      </c>
    </row>
    <row r="1290" spans="32:34" x14ac:dyDescent="0.2">
      <c r="AF1290" s="3">
        <f t="shared" si="70"/>
        <v>0.13960000000000095</v>
      </c>
      <c r="AG1290" s="3">
        <f t="shared" si="71"/>
        <v>-0.68100719988009928</v>
      </c>
      <c r="AH1290" s="3">
        <f t="shared" si="72"/>
        <v>1288</v>
      </c>
    </row>
    <row r="1291" spans="32:34" x14ac:dyDescent="0.2">
      <c r="AF1291" s="3">
        <f t="shared" si="70"/>
        <v>0.13970000000000093</v>
      </c>
      <c r="AG1291" s="3">
        <f t="shared" si="71"/>
        <v>-0.68124718147010555</v>
      </c>
      <c r="AH1291" s="3">
        <f t="shared" si="72"/>
        <v>1289</v>
      </c>
    </row>
    <row r="1292" spans="32:34" x14ac:dyDescent="0.2">
      <c r="AF1292" s="3">
        <f t="shared" si="70"/>
        <v>0.13980000000000092</v>
      </c>
      <c r="AG1292" s="3">
        <f t="shared" si="71"/>
        <v>-0.6814869857106336</v>
      </c>
      <c r="AH1292" s="3">
        <f t="shared" si="72"/>
        <v>1290</v>
      </c>
    </row>
    <row r="1293" spans="32:34" x14ac:dyDescent="0.2">
      <c r="AF1293" s="3">
        <f t="shared" si="70"/>
        <v>0.13990000000000091</v>
      </c>
      <c r="AG1293" s="3">
        <f t="shared" si="71"/>
        <v>-0.68172661272854296</v>
      </c>
      <c r="AH1293" s="3">
        <f t="shared" si="72"/>
        <v>1291</v>
      </c>
    </row>
    <row r="1294" spans="32:34" x14ac:dyDescent="0.2">
      <c r="AF1294" s="3">
        <f t="shared" si="70"/>
        <v>0.1400000000000009</v>
      </c>
      <c r="AG1294" s="3">
        <f t="shared" si="71"/>
        <v>-0.68196606265051141</v>
      </c>
      <c r="AH1294" s="3">
        <f t="shared" si="72"/>
        <v>1292</v>
      </c>
    </row>
    <row r="1295" spans="32:34" x14ac:dyDescent="0.2">
      <c r="AF1295" s="3">
        <f t="shared" si="70"/>
        <v>0.14010000000000089</v>
      </c>
      <c r="AG1295" s="3">
        <f t="shared" si="71"/>
        <v>-0.68220533560303631</v>
      </c>
      <c r="AH1295" s="3">
        <f t="shared" si="72"/>
        <v>1293</v>
      </c>
    </row>
    <row r="1296" spans="32:34" x14ac:dyDescent="0.2">
      <c r="AF1296" s="3">
        <f t="shared" si="70"/>
        <v>0.14020000000000088</v>
      </c>
      <c r="AG1296" s="3">
        <f t="shared" si="71"/>
        <v>-0.68244443171243419</v>
      </c>
      <c r="AH1296" s="3">
        <f t="shared" si="72"/>
        <v>1294</v>
      </c>
    </row>
    <row r="1297" spans="32:34" x14ac:dyDescent="0.2">
      <c r="AF1297" s="3">
        <f t="shared" si="70"/>
        <v>0.14030000000000087</v>
      </c>
      <c r="AG1297" s="3">
        <f t="shared" si="71"/>
        <v>-0.68268335110484113</v>
      </c>
      <c r="AH1297" s="3">
        <f t="shared" si="72"/>
        <v>1295</v>
      </c>
    </row>
    <row r="1298" spans="32:34" x14ac:dyDescent="0.2">
      <c r="AF1298" s="3">
        <f t="shared" si="70"/>
        <v>0.14040000000000086</v>
      </c>
      <c r="AG1298" s="3">
        <f t="shared" si="71"/>
        <v>-0.68292209390621406</v>
      </c>
      <c r="AH1298" s="3">
        <f t="shared" si="72"/>
        <v>1296</v>
      </c>
    </row>
    <row r="1299" spans="32:34" x14ac:dyDescent="0.2">
      <c r="AF1299" s="3">
        <f t="shared" si="70"/>
        <v>0.14050000000000085</v>
      </c>
      <c r="AG1299" s="3">
        <f t="shared" si="71"/>
        <v>-0.6831606602423298</v>
      </c>
      <c r="AH1299" s="3">
        <f t="shared" si="72"/>
        <v>1297</v>
      </c>
    </row>
    <row r="1300" spans="32:34" x14ac:dyDescent="0.2">
      <c r="AF1300" s="3">
        <f t="shared" si="70"/>
        <v>0.14060000000000084</v>
      </c>
      <c r="AG1300" s="3">
        <f t="shared" si="71"/>
        <v>-0.68339905023878655</v>
      </c>
      <c r="AH1300" s="3">
        <f t="shared" si="72"/>
        <v>1298</v>
      </c>
    </row>
    <row r="1301" spans="32:34" x14ac:dyDescent="0.2">
      <c r="AF1301" s="3">
        <f t="shared" si="70"/>
        <v>0.14070000000000082</v>
      </c>
      <c r="AG1301" s="3">
        <f t="shared" si="71"/>
        <v>-0.68363726402100378</v>
      </c>
      <c r="AH1301" s="3">
        <f t="shared" si="72"/>
        <v>1299</v>
      </c>
    </row>
    <row r="1302" spans="32:34" x14ac:dyDescent="0.2">
      <c r="AF1302" s="3">
        <f t="shared" si="70"/>
        <v>0.14080000000000081</v>
      </c>
      <c r="AG1302" s="3">
        <f t="shared" si="71"/>
        <v>-0.68387530171422251</v>
      </c>
      <c r="AH1302" s="3">
        <f t="shared" si="72"/>
        <v>1300</v>
      </c>
    </row>
    <row r="1303" spans="32:34" x14ac:dyDescent="0.2">
      <c r="AF1303" s="3">
        <f t="shared" si="70"/>
        <v>0.1409000000000008</v>
      </c>
      <c r="AG1303" s="3">
        <f t="shared" si="71"/>
        <v>-0.68411316344350592</v>
      </c>
      <c r="AH1303" s="3">
        <f t="shared" si="72"/>
        <v>1301</v>
      </c>
    </row>
    <row r="1304" spans="32:34" x14ac:dyDescent="0.2">
      <c r="AF1304" s="3">
        <f t="shared" si="70"/>
        <v>0.14100000000000079</v>
      </c>
      <c r="AG1304" s="3">
        <f t="shared" si="71"/>
        <v>-0.6843508493337398</v>
      </c>
      <c r="AH1304" s="3">
        <f t="shared" si="72"/>
        <v>1302</v>
      </c>
    </row>
    <row r="1305" spans="32:34" x14ac:dyDescent="0.2">
      <c r="AF1305" s="3">
        <f t="shared" si="70"/>
        <v>0.14110000000000078</v>
      </c>
      <c r="AG1305" s="3">
        <f t="shared" si="71"/>
        <v>-0.68458835950963282</v>
      </c>
      <c r="AH1305" s="3">
        <f t="shared" si="72"/>
        <v>1303</v>
      </c>
    </row>
    <row r="1306" spans="32:34" x14ac:dyDescent="0.2">
      <c r="AF1306" s="3">
        <f t="shared" si="70"/>
        <v>0.14120000000000077</v>
      </c>
      <c r="AG1306" s="3">
        <f t="shared" si="71"/>
        <v>-0.68482569409571659</v>
      </c>
      <c r="AH1306" s="3">
        <f t="shared" si="72"/>
        <v>1304</v>
      </c>
    </row>
    <row r="1307" spans="32:34" x14ac:dyDescent="0.2">
      <c r="AF1307" s="3">
        <f t="shared" si="70"/>
        <v>0.14130000000000076</v>
      </c>
      <c r="AG1307" s="3">
        <f t="shared" si="71"/>
        <v>-0.68506285321634652</v>
      </c>
      <c r="AH1307" s="3">
        <f t="shared" si="72"/>
        <v>1305</v>
      </c>
    </row>
    <row r="1308" spans="32:34" x14ac:dyDescent="0.2">
      <c r="AF1308" s="3">
        <f t="shared" si="70"/>
        <v>0.14140000000000075</v>
      </c>
      <c r="AG1308" s="3">
        <f t="shared" si="71"/>
        <v>-0.68529983699570218</v>
      </c>
      <c r="AH1308" s="3">
        <f t="shared" si="72"/>
        <v>1306</v>
      </c>
    </row>
    <row r="1309" spans="32:34" x14ac:dyDescent="0.2">
      <c r="AF1309" s="3">
        <f t="shared" si="70"/>
        <v>0.14150000000000074</v>
      </c>
      <c r="AG1309" s="3">
        <f t="shared" si="71"/>
        <v>-0.68553664555778726</v>
      </c>
      <c r="AH1309" s="3">
        <f t="shared" si="72"/>
        <v>1307</v>
      </c>
    </row>
    <row r="1310" spans="32:34" x14ac:dyDescent="0.2">
      <c r="AF1310" s="3">
        <f t="shared" si="70"/>
        <v>0.14160000000000073</v>
      </c>
      <c r="AG1310" s="3">
        <f t="shared" si="71"/>
        <v>-0.68577327902643015</v>
      </c>
      <c r="AH1310" s="3">
        <f t="shared" si="72"/>
        <v>1308</v>
      </c>
    </row>
    <row r="1311" spans="32:34" x14ac:dyDescent="0.2">
      <c r="AF1311" s="3">
        <f t="shared" si="70"/>
        <v>0.14170000000000071</v>
      </c>
      <c r="AG1311" s="3">
        <f t="shared" si="71"/>
        <v>-0.68600973752528449</v>
      </c>
      <c r="AH1311" s="3">
        <f t="shared" si="72"/>
        <v>1309</v>
      </c>
    </row>
    <row r="1312" spans="32:34" x14ac:dyDescent="0.2">
      <c r="AF1312" s="3">
        <f t="shared" ref="AF1312:AF1375" si="73">AF1311+0.0001</f>
        <v>0.1418000000000007</v>
      </c>
      <c r="AG1312" s="3">
        <f t="shared" si="71"/>
        <v>-0.68624602117782929</v>
      </c>
      <c r="AH1312" s="3">
        <f t="shared" si="72"/>
        <v>1310</v>
      </c>
    </row>
    <row r="1313" spans="32:34" x14ac:dyDescent="0.2">
      <c r="AF1313" s="3">
        <f t="shared" si="73"/>
        <v>0.14190000000000069</v>
      </c>
      <c r="AG1313" s="3">
        <f t="shared" si="71"/>
        <v>-0.68648213010736936</v>
      </c>
      <c r="AH1313" s="3">
        <f t="shared" si="72"/>
        <v>1311</v>
      </c>
    </row>
    <row r="1314" spans="32:34" x14ac:dyDescent="0.2">
      <c r="AF1314" s="3">
        <f t="shared" si="73"/>
        <v>0.14200000000000068</v>
      </c>
      <c r="AG1314" s="3">
        <f t="shared" si="71"/>
        <v>-0.68671806443703609</v>
      </c>
      <c r="AH1314" s="3">
        <f t="shared" si="72"/>
        <v>1312</v>
      </c>
    </row>
    <row r="1315" spans="32:34" x14ac:dyDescent="0.2">
      <c r="AF1315" s="3">
        <f t="shared" si="73"/>
        <v>0.14210000000000067</v>
      </c>
      <c r="AG1315" s="3">
        <f t="shared" si="71"/>
        <v>-0.68695382428978702</v>
      </c>
      <c r="AH1315" s="3">
        <f t="shared" si="72"/>
        <v>1313</v>
      </c>
    </row>
    <row r="1316" spans="32:34" x14ac:dyDescent="0.2">
      <c r="AF1316" s="3">
        <f t="shared" si="73"/>
        <v>0.14220000000000066</v>
      </c>
      <c r="AG1316" s="3">
        <f t="shared" si="71"/>
        <v>-0.68718940978840659</v>
      </c>
      <c r="AH1316" s="3">
        <f t="shared" si="72"/>
        <v>1314</v>
      </c>
    </row>
    <row r="1317" spans="32:34" x14ac:dyDescent="0.2">
      <c r="AF1317" s="3">
        <f t="shared" si="73"/>
        <v>0.14230000000000065</v>
      </c>
      <c r="AG1317" s="3">
        <f t="shared" si="71"/>
        <v>-0.68742482105550706</v>
      </c>
      <c r="AH1317" s="3">
        <f t="shared" si="72"/>
        <v>1315</v>
      </c>
    </row>
    <row r="1318" spans="32:34" x14ac:dyDescent="0.2">
      <c r="AF1318" s="3">
        <f t="shared" si="73"/>
        <v>0.14240000000000064</v>
      </c>
      <c r="AG1318" s="3">
        <f t="shared" si="71"/>
        <v>-0.68766005821352783</v>
      </c>
      <c r="AH1318" s="3">
        <f t="shared" si="72"/>
        <v>1316</v>
      </c>
    </row>
    <row r="1319" spans="32:34" x14ac:dyDescent="0.2">
      <c r="AF1319" s="3">
        <f t="shared" si="73"/>
        <v>0.14250000000000063</v>
      </c>
      <c r="AG1319" s="3">
        <f t="shared" si="71"/>
        <v>-0.68789512138473641</v>
      </c>
      <c r="AH1319" s="3">
        <f t="shared" si="72"/>
        <v>1317</v>
      </c>
    </row>
    <row r="1320" spans="32:34" x14ac:dyDescent="0.2">
      <c r="AF1320" s="3">
        <f t="shared" si="73"/>
        <v>0.14260000000000062</v>
      </c>
      <c r="AG1320" s="3">
        <f t="shared" si="71"/>
        <v>-0.68813001069122903</v>
      </c>
      <c r="AH1320" s="3">
        <f t="shared" si="72"/>
        <v>1318</v>
      </c>
    </row>
    <row r="1321" spans="32:34" x14ac:dyDescent="0.2">
      <c r="AF1321" s="3">
        <f t="shared" si="73"/>
        <v>0.1427000000000006</v>
      </c>
      <c r="AG1321" s="3">
        <f t="shared" si="71"/>
        <v>-0.68836472625493039</v>
      </c>
      <c r="AH1321" s="3">
        <f t="shared" si="72"/>
        <v>1319</v>
      </c>
    </row>
    <row r="1322" spans="32:34" x14ac:dyDescent="0.2">
      <c r="AF1322" s="3">
        <f t="shared" si="73"/>
        <v>0.14280000000000059</v>
      </c>
      <c r="AG1322" s="3">
        <f t="shared" si="71"/>
        <v>-0.68859926819759454</v>
      </c>
      <c r="AH1322" s="3">
        <f t="shared" si="72"/>
        <v>1320</v>
      </c>
    </row>
    <row r="1323" spans="32:34" x14ac:dyDescent="0.2">
      <c r="AF1323" s="3">
        <f t="shared" si="73"/>
        <v>0.14290000000000058</v>
      </c>
      <c r="AG1323" s="3">
        <f t="shared" si="71"/>
        <v>-0.68883363664080455</v>
      </c>
      <c r="AH1323" s="3">
        <f t="shared" si="72"/>
        <v>1321</v>
      </c>
    </row>
    <row r="1324" spans="32:34" x14ac:dyDescent="0.2">
      <c r="AF1324" s="3">
        <f t="shared" si="73"/>
        <v>0.14300000000000057</v>
      </c>
      <c r="AG1324" s="3">
        <f t="shared" si="71"/>
        <v>-0.68906783170597397</v>
      </c>
      <c r="AH1324" s="3">
        <f t="shared" si="72"/>
        <v>1322</v>
      </c>
    </row>
    <row r="1325" spans="32:34" x14ac:dyDescent="0.2">
      <c r="AF1325" s="3">
        <f t="shared" si="73"/>
        <v>0.14310000000000056</v>
      </c>
      <c r="AG1325" s="3">
        <f t="shared" si="71"/>
        <v>-0.68930185351434592</v>
      </c>
      <c r="AH1325" s="3">
        <f t="shared" si="72"/>
        <v>1323</v>
      </c>
    </row>
    <row r="1326" spans="32:34" x14ac:dyDescent="0.2">
      <c r="AF1326" s="3">
        <f t="shared" si="73"/>
        <v>0.14320000000000055</v>
      </c>
      <c r="AG1326" s="3">
        <f t="shared" si="71"/>
        <v>-0.68953570218699456</v>
      </c>
      <c r="AH1326" s="3">
        <f t="shared" si="72"/>
        <v>1324</v>
      </c>
    </row>
    <row r="1327" spans="32:34" x14ac:dyDescent="0.2">
      <c r="AF1327" s="3">
        <f t="shared" si="73"/>
        <v>0.14330000000000054</v>
      </c>
      <c r="AG1327" s="3">
        <f t="shared" si="71"/>
        <v>-0.68976937784482473</v>
      </c>
      <c r="AH1327" s="3">
        <f t="shared" si="72"/>
        <v>1325</v>
      </c>
    </row>
    <row r="1328" spans="32:34" x14ac:dyDescent="0.2">
      <c r="AF1328" s="3">
        <f t="shared" si="73"/>
        <v>0.14340000000000053</v>
      </c>
      <c r="AG1328" s="3">
        <f t="shared" si="71"/>
        <v>-0.6900028806085724</v>
      </c>
      <c r="AH1328" s="3">
        <f t="shared" si="72"/>
        <v>1326</v>
      </c>
    </row>
    <row r="1329" spans="32:34" x14ac:dyDescent="0.2">
      <c r="AF1329" s="3">
        <f t="shared" si="73"/>
        <v>0.14350000000000052</v>
      </c>
      <c r="AG1329" s="3">
        <f t="shared" si="71"/>
        <v>-0.69023621059880536</v>
      </c>
      <c r="AH1329" s="3">
        <f t="shared" si="72"/>
        <v>1327</v>
      </c>
    </row>
    <row r="1330" spans="32:34" x14ac:dyDescent="0.2">
      <c r="AF1330" s="3">
        <f t="shared" si="73"/>
        <v>0.14360000000000051</v>
      </c>
      <c r="AG1330" s="3">
        <f t="shared" si="71"/>
        <v>-0.69046936793592317</v>
      </c>
      <c r="AH1330" s="3">
        <f t="shared" si="72"/>
        <v>1328</v>
      </c>
    </row>
    <row r="1331" spans="32:34" x14ac:dyDescent="0.2">
      <c r="AF1331" s="3">
        <f t="shared" si="73"/>
        <v>0.14370000000000049</v>
      </c>
      <c r="AG1331" s="3">
        <f t="shared" si="71"/>
        <v>-0.69070235274015812</v>
      </c>
      <c r="AH1331" s="3">
        <f t="shared" si="72"/>
        <v>1329</v>
      </c>
    </row>
    <row r="1332" spans="32:34" x14ac:dyDescent="0.2">
      <c r="AF1332" s="3">
        <f t="shared" si="73"/>
        <v>0.14380000000000048</v>
      </c>
      <c r="AG1332" s="3">
        <f t="shared" si="71"/>
        <v>-0.69093516513157471</v>
      </c>
      <c r="AH1332" s="3">
        <f t="shared" si="72"/>
        <v>1330</v>
      </c>
    </row>
    <row r="1333" spans="32:34" x14ac:dyDescent="0.2">
      <c r="AF1333" s="3">
        <f t="shared" si="73"/>
        <v>0.14390000000000047</v>
      </c>
      <c r="AG1333" s="3">
        <f t="shared" si="71"/>
        <v>-0.69116780523007049</v>
      </c>
      <c r="AH1333" s="3">
        <f t="shared" si="72"/>
        <v>1331</v>
      </c>
    </row>
    <row r="1334" spans="32:34" x14ac:dyDescent="0.2">
      <c r="AF1334" s="3">
        <f t="shared" si="73"/>
        <v>0.14400000000000046</v>
      </c>
      <c r="AG1334" s="3">
        <f t="shared" si="71"/>
        <v>-0.69140027315537678</v>
      </c>
      <c r="AH1334" s="3">
        <f t="shared" si="72"/>
        <v>1332</v>
      </c>
    </row>
    <row r="1335" spans="32:34" x14ac:dyDescent="0.2">
      <c r="AF1335" s="3">
        <f t="shared" si="73"/>
        <v>0.14410000000000045</v>
      </c>
      <c r="AG1335" s="3">
        <f t="shared" si="71"/>
        <v>-0.69163256902705794</v>
      </c>
      <c r="AH1335" s="3">
        <f t="shared" si="72"/>
        <v>1333</v>
      </c>
    </row>
    <row r="1336" spans="32:34" x14ac:dyDescent="0.2">
      <c r="AF1336" s="3">
        <f t="shared" si="73"/>
        <v>0.14420000000000044</v>
      </c>
      <c r="AG1336" s="3">
        <f t="shared" si="71"/>
        <v>-0.69186469296451314</v>
      </c>
      <c r="AH1336" s="3">
        <f t="shared" si="72"/>
        <v>1334</v>
      </c>
    </row>
    <row r="1337" spans="32:34" x14ac:dyDescent="0.2">
      <c r="AF1337" s="3">
        <f t="shared" si="73"/>
        <v>0.14430000000000043</v>
      </c>
      <c r="AG1337" s="3">
        <f t="shared" si="71"/>
        <v>-0.69209664508697522</v>
      </c>
      <c r="AH1337" s="3">
        <f t="shared" si="72"/>
        <v>1335</v>
      </c>
    </row>
    <row r="1338" spans="32:34" x14ac:dyDescent="0.2">
      <c r="AF1338" s="3">
        <f t="shared" si="73"/>
        <v>0.14440000000000042</v>
      </c>
      <c r="AG1338" s="3">
        <f t="shared" si="71"/>
        <v>-0.69232842551351226</v>
      </c>
      <c r="AH1338" s="3">
        <f t="shared" si="72"/>
        <v>1336</v>
      </c>
    </row>
    <row r="1339" spans="32:34" x14ac:dyDescent="0.2">
      <c r="AF1339" s="3">
        <f t="shared" si="73"/>
        <v>0.14450000000000041</v>
      </c>
      <c r="AG1339" s="3">
        <f t="shared" si="71"/>
        <v>-0.69256003436302738</v>
      </c>
      <c r="AH1339" s="3">
        <f t="shared" si="72"/>
        <v>1337</v>
      </c>
    </row>
    <row r="1340" spans="32:34" x14ac:dyDescent="0.2">
      <c r="AF1340" s="3">
        <f t="shared" si="73"/>
        <v>0.14460000000000039</v>
      </c>
      <c r="AG1340" s="3">
        <f t="shared" si="71"/>
        <v>-0.69279147175425893</v>
      </c>
      <c r="AH1340" s="3">
        <f t="shared" si="72"/>
        <v>1338</v>
      </c>
    </row>
    <row r="1341" spans="32:34" x14ac:dyDescent="0.2">
      <c r="AF1341" s="3">
        <f t="shared" si="73"/>
        <v>0.14470000000000038</v>
      </c>
      <c r="AG1341" s="3">
        <f t="shared" si="71"/>
        <v>-0.69302273780578094</v>
      </c>
      <c r="AH1341" s="3">
        <f t="shared" si="72"/>
        <v>1339</v>
      </c>
    </row>
    <row r="1342" spans="32:34" x14ac:dyDescent="0.2">
      <c r="AF1342" s="3">
        <f t="shared" si="73"/>
        <v>0.14480000000000037</v>
      </c>
      <c r="AG1342" s="3">
        <f t="shared" si="71"/>
        <v>-0.69325383263600404</v>
      </c>
      <c r="AH1342" s="3">
        <f t="shared" si="72"/>
        <v>1340</v>
      </c>
    </row>
    <row r="1343" spans="32:34" x14ac:dyDescent="0.2">
      <c r="AF1343" s="3">
        <f t="shared" si="73"/>
        <v>0.14490000000000036</v>
      </c>
      <c r="AG1343" s="3">
        <f t="shared" si="71"/>
        <v>-0.69348475636317475</v>
      </c>
      <c r="AH1343" s="3">
        <f t="shared" si="72"/>
        <v>1341</v>
      </c>
    </row>
    <row r="1344" spans="32:34" x14ac:dyDescent="0.2">
      <c r="AF1344" s="3">
        <f t="shared" si="73"/>
        <v>0.14500000000000035</v>
      </c>
      <c r="AG1344" s="3">
        <f t="shared" si="71"/>
        <v>-0.69371550910537683</v>
      </c>
      <c r="AH1344" s="3">
        <f t="shared" si="72"/>
        <v>1342</v>
      </c>
    </row>
    <row r="1345" spans="32:34" x14ac:dyDescent="0.2">
      <c r="AF1345" s="3">
        <f t="shared" si="73"/>
        <v>0.14510000000000034</v>
      </c>
      <c r="AG1345" s="3">
        <f t="shared" si="71"/>
        <v>-0.69394609098053095</v>
      </c>
      <c r="AH1345" s="3">
        <f t="shared" si="72"/>
        <v>1343</v>
      </c>
    </row>
    <row r="1346" spans="32:34" x14ac:dyDescent="0.2">
      <c r="AF1346" s="3">
        <f t="shared" si="73"/>
        <v>0.14520000000000033</v>
      </c>
      <c r="AG1346" s="3">
        <f t="shared" si="71"/>
        <v>-0.69417650210639503</v>
      </c>
      <c r="AH1346" s="3">
        <f t="shared" si="72"/>
        <v>1344</v>
      </c>
    </row>
    <row r="1347" spans="32:34" x14ac:dyDescent="0.2">
      <c r="AF1347" s="3">
        <f t="shared" si="73"/>
        <v>0.14530000000000032</v>
      </c>
      <c r="AG1347" s="3">
        <f t="shared" ref="AG1347:AG1410" si="74">RT0*AF1347*LN(AF1347)</f>
        <v>-0.69440674260056523</v>
      </c>
      <c r="AH1347" s="3">
        <f t="shared" si="72"/>
        <v>1345</v>
      </c>
    </row>
    <row r="1348" spans="32:34" x14ac:dyDescent="0.2">
      <c r="AF1348" s="3">
        <f t="shared" si="73"/>
        <v>0.14540000000000031</v>
      </c>
      <c r="AG1348" s="3">
        <f t="shared" si="74"/>
        <v>-0.6946368125804756</v>
      </c>
      <c r="AH1348" s="3">
        <f t="shared" si="72"/>
        <v>1346</v>
      </c>
    </row>
    <row r="1349" spans="32:34" x14ac:dyDescent="0.2">
      <c r="AF1349" s="3">
        <f t="shared" si="73"/>
        <v>0.1455000000000003</v>
      </c>
      <c r="AG1349" s="3">
        <f t="shared" si="74"/>
        <v>-0.69486671216339879</v>
      </c>
      <c r="AH1349" s="3">
        <f t="shared" ref="AH1349:AH1412" si="75">AH1348+1</f>
        <v>1347</v>
      </c>
    </row>
    <row r="1350" spans="32:34" x14ac:dyDescent="0.2">
      <c r="AF1350" s="3">
        <f t="shared" si="73"/>
        <v>0.14560000000000028</v>
      </c>
      <c r="AG1350" s="3">
        <f t="shared" si="74"/>
        <v>-0.69509644146644589</v>
      </c>
      <c r="AH1350" s="3">
        <f t="shared" si="75"/>
        <v>1348</v>
      </c>
    </row>
    <row r="1351" spans="32:34" x14ac:dyDescent="0.2">
      <c r="AF1351" s="3">
        <f t="shared" si="73"/>
        <v>0.14570000000000027</v>
      </c>
      <c r="AG1351" s="3">
        <f t="shared" si="74"/>
        <v>-0.69532600060656757</v>
      </c>
      <c r="AH1351" s="3">
        <f t="shared" si="75"/>
        <v>1349</v>
      </c>
    </row>
    <row r="1352" spans="32:34" x14ac:dyDescent="0.2">
      <c r="AF1352" s="3">
        <f t="shared" si="73"/>
        <v>0.14580000000000026</v>
      </c>
      <c r="AG1352" s="3">
        <f t="shared" si="74"/>
        <v>-0.69555538970055375</v>
      </c>
      <c r="AH1352" s="3">
        <f t="shared" si="75"/>
        <v>1350</v>
      </c>
    </row>
    <row r="1353" spans="32:34" x14ac:dyDescent="0.2">
      <c r="AF1353" s="3">
        <f t="shared" si="73"/>
        <v>0.14590000000000025</v>
      </c>
      <c r="AG1353" s="3">
        <f t="shared" si="74"/>
        <v>-0.69578460886503402</v>
      </c>
      <c r="AH1353" s="3">
        <f t="shared" si="75"/>
        <v>1351</v>
      </c>
    </row>
    <row r="1354" spans="32:34" x14ac:dyDescent="0.2">
      <c r="AF1354" s="3">
        <f t="shared" si="73"/>
        <v>0.14600000000000024</v>
      </c>
      <c r="AG1354" s="3">
        <f t="shared" si="74"/>
        <v>-0.69601365821647854</v>
      </c>
      <c r="AH1354" s="3">
        <f t="shared" si="75"/>
        <v>1352</v>
      </c>
    </row>
    <row r="1355" spans="32:34" x14ac:dyDescent="0.2">
      <c r="AF1355" s="3">
        <f t="shared" si="73"/>
        <v>0.14610000000000023</v>
      </c>
      <c r="AG1355" s="3">
        <f t="shared" si="74"/>
        <v>-0.6962425378711975</v>
      </c>
      <c r="AH1355" s="3">
        <f t="shared" si="75"/>
        <v>1353</v>
      </c>
    </row>
    <row r="1356" spans="32:34" x14ac:dyDescent="0.2">
      <c r="AF1356" s="3">
        <f t="shared" si="73"/>
        <v>0.14620000000000022</v>
      </c>
      <c r="AG1356" s="3">
        <f t="shared" si="74"/>
        <v>-0.69647124794534188</v>
      </c>
      <c r="AH1356" s="3">
        <f t="shared" si="75"/>
        <v>1354</v>
      </c>
    </row>
    <row r="1357" spans="32:34" x14ac:dyDescent="0.2">
      <c r="AF1357" s="3">
        <f t="shared" si="73"/>
        <v>0.14630000000000021</v>
      </c>
      <c r="AG1357" s="3">
        <f t="shared" si="74"/>
        <v>-0.69669978855490389</v>
      </c>
      <c r="AH1357" s="3">
        <f t="shared" si="75"/>
        <v>1355</v>
      </c>
    </row>
    <row r="1358" spans="32:34" x14ac:dyDescent="0.2">
      <c r="AF1358" s="3">
        <f t="shared" si="73"/>
        <v>0.1464000000000002</v>
      </c>
      <c r="AG1358" s="3">
        <f t="shared" si="74"/>
        <v>-0.69692815981571732</v>
      </c>
      <c r="AH1358" s="3">
        <f t="shared" si="75"/>
        <v>1356</v>
      </c>
    </row>
    <row r="1359" spans="32:34" x14ac:dyDescent="0.2">
      <c r="AF1359" s="3">
        <f t="shared" si="73"/>
        <v>0.14650000000000019</v>
      </c>
      <c r="AG1359" s="3">
        <f t="shared" si="74"/>
        <v>-0.69715636184345753</v>
      </c>
      <c r="AH1359" s="3">
        <f t="shared" si="75"/>
        <v>1357</v>
      </c>
    </row>
    <row r="1360" spans="32:34" x14ac:dyDescent="0.2">
      <c r="AF1360" s="3">
        <f t="shared" si="73"/>
        <v>0.14660000000000017</v>
      </c>
      <c r="AG1360" s="3">
        <f t="shared" si="74"/>
        <v>-0.69738439475364178</v>
      </c>
      <c r="AH1360" s="3">
        <f t="shared" si="75"/>
        <v>1358</v>
      </c>
    </row>
    <row r="1361" spans="32:34" x14ac:dyDescent="0.2">
      <c r="AF1361" s="3">
        <f t="shared" si="73"/>
        <v>0.14670000000000016</v>
      </c>
      <c r="AG1361" s="3">
        <f t="shared" si="74"/>
        <v>-0.69761225866163024</v>
      </c>
      <c r="AH1361" s="3">
        <f t="shared" si="75"/>
        <v>1359</v>
      </c>
    </row>
    <row r="1362" spans="32:34" x14ac:dyDescent="0.2">
      <c r="AF1362" s="3">
        <f t="shared" si="73"/>
        <v>0.14680000000000015</v>
      </c>
      <c r="AG1362" s="3">
        <f t="shared" si="74"/>
        <v>-0.6978399536826253</v>
      </c>
      <c r="AH1362" s="3">
        <f t="shared" si="75"/>
        <v>1360</v>
      </c>
    </row>
    <row r="1363" spans="32:34" x14ac:dyDescent="0.2">
      <c r="AF1363" s="3">
        <f t="shared" si="73"/>
        <v>0.14690000000000014</v>
      </c>
      <c r="AG1363" s="3">
        <f t="shared" si="74"/>
        <v>-0.69806747993167273</v>
      </c>
      <c r="AH1363" s="3">
        <f t="shared" si="75"/>
        <v>1361</v>
      </c>
    </row>
    <row r="1364" spans="32:34" x14ac:dyDescent="0.2">
      <c r="AF1364" s="3">
        <f t="shared" si="73"/>
        <v>0.14700000000000013</v>
      </c>
      <c r="AG1364" s="3">
        <f t="shared" si="74"/>
        <v>-0.6982948375236615</v>
      </c>
      <c r="AH1364" s="3">
        <f t="shared" si="75"/>
        <v>1362</v>
      </c>
    </row>
    <row r="1365" spans="32:34" x14ac:dyDescent="0.2">
      <c r="AF1365" s="3">
        <f t="shared" si="73"/>
        <v>0.14710000000000012</v>
      </c>
      <c r="AG1365" s="3">
        <f t="shared" si="74"/>
        <v>-0.69852202657332441</v>
      </c>
      <c r="AH1365" s="3">
        <f t="shared" si="75"/>
        <v>1363</v>
      </c>
    </row>
    <row r="1366" spans="32:34" x14ac:dyDescent="0.2">
      <c r="AF1366" s="3">
        <f t="shared" si="73"/>
        <v>0.14720000000000011</v>
      </c>
      <c r="AG1366" s="3">
        <f t="shared" si="74"/>
        <v>-0.69874904719523812</v>
      </c>
      <c r="AH1366" s="3">
        <f t="shared" si="75"/>
        <v>1364</v>
      </c>
    </row>
    <row r="1367" spans="32:34" x14ac:dyDescent="0.2">
      <c r="AF1367" s="3">
        <f t="shared" si="73"/>
        <v>0.1473000000000001</v>
      </c>
      <c r="AG1367" s="3">
        <f t="shared" si="74"/>
        <v>-0.69897589950382366</v>
      </c>
      <c r="AH1367" s="3">
        <f t="shared" si="75"/>
        <v>1365</v>
      </c>
    </row>
    <row r="1368" spans="32:34" x14ac:dyDescent="0.2">
      <c r="AF1368" s="3">
        <f t="shared" si="73"/>
        <v>0.14740000000000009</v>
      </c>
      <c r="AG1368" s="3">
        <f t="shared" si="74"/>
        <v>-0.69920258361334675</v>
      </c>
      <c r="AH1368" s="3">
        <f t="shared" si="75"/>
        <v>1366</v>
      </c>
    </row>
    <row r="1369" spans="32:34" x14ac:dyDescent="0.2">
      <c r="AF1369" s="3">
        <f t="shared" si="73"/>
        <v>0.14750000000000008</v>
      </c>
      <c r="AG1369" s="3">
        <f t="shared" si="74"/>
        <v>-0.69942909963791788</v>
      </c>
      <c r="AH1369" s="3">
        <f t="shared" si="75"/>
        <v>1367</v>
      </c>
    </row>
    <row r="1370" spans="32:34" x14ac:dyDescent="0.2">
      <c r="AF1370" s="3">
        <f t="shared" si="73"/>
        <v>0.14760000000000006</v>
      </c>
      <c r="AG1370" s="3">
        <f t="shared" si="74"/>
        <v>-0.69965544769149324</v>
      </c>
      <c r="AH1370" s="3">
        <f t="shared" si="75"/>
        <v>1368</v>
      </c>
    </row>
    <row r="1371" spans="32:34" x14ac:dyDescent="0.2">
      <c r="AF1371" s="3">
        <f t="shared" si="73"/>
        <v>0.14770000000000005</v>
      </c>
      <c r="AG1371" s="3">
        <f t="shared" si="74"/>
        <v>-0.69988162788787411</v>
      </c>
      <c r="AH1371" s="3">
        <f t="shared" si="75"/>
        <v>1369</v>
      </c>
    </row>
    <row r="1372" spans="32:34" x14ac:dyDescent="0.2">
      <c r="AF1372" s="3">
        <f t="shared" si="73"/>
        <v>0.14780000000000004</v>
      </c>
      <c r="AG1372" s="3">
        <f t="shared" si="74"/>
        <v>-0.70010764034070805</v>
      </c>
      <c r="AH1372" s="3">
        <f t="shared" si="75"/>
        <v>1370</v>
      </c>
    </row>
    <row r="1373" spans="32:34" x14ac:dyDescent="0.2">
      <c r="AF1373" s="3">
        <f t="shared" si="73"/>
        <v>0.14790000000000003</v>
      </c>
      <c r="AG1373" s="3">
        <f t="shared" si="74"/>
        <v>-0.70033348516348848</v>
      </c>
      <c r="AH1373" s="3">
        <f t="shared" si="75"/>
        <v>1371</v>
      </c>
    </row>
    <row r="1374" spans="32:34" x14ac:dyDescent="0.2">
      <c r="AF1374" s="3">
        <f t="shared" si="73"/>
        <v>0.14800000000000002</v>
      </c>
      <c r="AG1374" s="3">
        <f t="shared" si="74"/>
        <v>-0.70055916246955574</v>
      </c>
      <c r="AH1374" s="3">
        <f t="shared" si="75"/>
        <v>1372</v>
      </c>
    </row>
    <row r="1375" spans="32:34" x14ac:dyDescent="0.2">
      <c r="AF1375" s="3">
        <f t="shared" si="73"/>
        <v>0.14810000000000001</v>
      </c>
      <c r="AG1375" s="3">
        <f t="shared" si="74"/>
        <v>-0.70078467237209674</v>
      </c>
      <c r="AH1375" s="3">
        <f t="shared" si="75"/>
        <v>1373</v>
      </c>
    </row>
    <row r="1376" spans="32:34" x14ac:dyDescent="0.2">
      <c r="AF1376" s="3">
        <f t="shared" ref="AF1376:AF1439" si="76">AF1375+0.0001</f>
        <v>0.1482</v>
      </c>
      <c r="AG1376" s="3">
        <f t="shared" si="74"/>
        <v>-0.70101001498414561</v>
      </c>
      <c r="AH1376" s="3">
        <f t="shared" si="75"/>
        <v>1374</v>
      </c>
    </row>
    <row r="1377" spans="32:34" x14ac:dyDescent="0.2">
      <c r="AF1377" s="3">
        <f t="shared" si="76"/>
        <v>0.14829999999999999</v>
      </c>
      <c r="AG1377" s="3">
        <f t="shared" si="74"/>
        <v>-0.70123519041858406</v>
      </c>
      <c r="AH1377" s="3">
        <f t="shared" si="75"/>
        <v>1375</v>
      </c>
    </row>
    <row r="1378" spans="32:34" x14ac:dyDescent="0.2">
      <c r="AF1378" s="3">
        <f t="shared" si="76"/>
        <v>0.14839999999999998</v>
      </c>
      <c r="AG1378" s="3">
        <f t="shared" si="74"/>
        <v>-0.70146019878814114</v>
      </c>
      <c r="AH1378" s="3">
        <f t="shared" si="75"/>
        <v>1376</v>
      </c>
    </row>
    <row r="1379" spans="32:34" x14ac:dyDescent="0.2">
      <c r="AF1379" s="3">
        <f t="shared" si="76"/>
        <v>0.14849999999999997</v>
      </c>
      <c r="AG1379" s="3">
        <f t="shared" si="74"/>
        <v>-0.70168504020539457</v>
      </c>
      <c r="AH1379" s="3">
        <f t="shared" si="75"/>
        <v>1377</v>
      </c>
    </row>
    <row r="1380" spans="32:34" x14ac:dyDescent="0.2">
      <c r="AF1380" s="3">
        <f t="shared" si="76"/>
        <v>0.14859999999999995</v>
      </c>
      <c r="AG1380" s="3">
        <f t="shared" si="74"/>
        <v>-0.70190971478277009</v>
      </c>
      <c r="AH1380" s="3">
        <f t="shared" si="75"/>
        <v>1378</v>
      </c>
    </row>
    <row r="1381" spans="32:34" x14ac:dyDescent="0.2">
      <c r="AF1381" s="3">
        <f t="shared" si="76"/>
        <v>0.14869999999999994</v>
      </c>
      <c r="AG1381" s="3">
        <f t="shared" si="74"/>
        <v>-0.70213422263254222</v>
      </c>
      <c r="AH1381" s="3">
        <f t="shared" si="75"/>
        <v>1379</v>
      </c>
    </row>
    <row r="1382" spans="32:34" x14ac:dyDescent="0.2">
      <c r="AF1382" s="3">
        <f t="shared" si="76"/>
        <v>0.14879999999999993</v>
      </c>
      <c r="AG1382" s="3">
        <f t="shared" si="74"/>
        <v>-0.70235856386683437</v>
      </c>
      <c r="AH1382" s="3">
        <f t="shared" si="75"/>
        <v>1380</v>
      </c>
    </row>
    <row r="1383" spans="32:34" x14ac:dyDescent="0.2">
      <c r="AF1383" s="3">
        <f t="shared" si="76"/>
        <v>0.14889999999999992</v>
      </c>
      <c r="AG1383" s="3">
        <f t="shared" si="74"/>
        <v>-0.70258273859761933</v>
      </c>
      <c r="AH1383" s="3">
        <f t="shared" si="75"/>
        <v>1381</v>
      </c>
    </row>
    <row r="1384" spans="32:34" x14ac:dyDescent="0.2">
      <c r="AF1384" s="3">
        <f t="shared" si="76"/>
        <v>0.14899999999999991</v>
      </c>
      <c r="AG1384" s="3">
        <f t="shared" si="74"/>
        <v>-0.70280674693671952</v>
      </c>
      <c r="AH1384" s="3">
        <f t="shared" si="75"/>
        <v>1382</v>
      </c>
    </row>
    <row r="1385" spans="32:34" x14ac:dyDescent="0.2">
      <c r="AF1385" s="3">
        <f t="shared" si="76"/>
        <v>0.1490999999999999</v>
      </c>
      <c r="AG1385" s="3">
        <f t="shared" si="74"/>
        <v>-0.70303058899580728</v>
      </c>
      <c r="AH1385" s="3">
        <f t="shared" si="75"/>
        <v>1383</v>
      </c>
    </row>
    <row r="1386" spans="32:34" x14ac:dyDescent="0.2">
      <c r="AF1386" s="3">
        <f t="shared" si="76"/>
        <v>0.14919999999999989</v>
      </c>
      <c r="AG1386" s="3">
        <f t="shared" si="74"/>
        <v>-0.70325426488640508</v>
      </c>
      <c r="AH1386" s="3">
        <f t="shared" si="75"/>
        <v>1384</v>
      </c>
    </row>
    <row r="1387" spans="32:34" x14ac:dyDescent="0.2">
      <c r="AF1387" s="3">
        <f t="shared" si="76"/>
        <v>0.14929999999999988</v>
      </c>
      <c r="AG1387" s="3">
        <f t="shared" si="74"/>
        <v>-0.70347777471988582</v>
      </c>
      <c r="AH1387" s="3">
        <f t="shared" si="75"/>
        <v>1385</v>
      </c>
    </row>
    <row r="1388" spans="32:34" x14ac:dyDescent="0.2">
      <c r="AF1388" s="3">
        <f t="shared" si="76"/>
        <v>0.14939999999999987</v>
      </c>
      <c r="AG1388" s="3">
        <f t="shared" si="74"/>
        <v>-0.70370111860747342</v>
      </c>
      <c r="AH1388" s="3">
        <f t="shared" si="75"/>
        <v>1386</v>
      </c>
    </row>
    <row r="1389" spans="32:34" x14ac:dyDescent="0.2">
      <c r="AF1389" s="3">
        <f t="shared" si="76"/>
        <v>0.14949999999999986</v>
      </c>
      <c r="AG1389" s="3">
        <f t="shared" si="74"/>
        <v>-0.7039242966602427</v>
      </c>
      <c r="AH1389" s="3">
        <f t="shared" si="75"/>
        <v>1387</v>
      </c>
    </row>
    <row r="1390" spans="32:34" x14ac:dyDescent="0.2">
      <c r="AF1390" s="3">
        <f t="shared" si="76"/>
        <v>0.14959999999999984</v>
      </c>
      <c r="AG1390" s="3">
        <f t="shared" si="74"/>
        <v>-0.70414730898912004</v>
      </c>
      <c r="AH1390" s="3">
        <f t="shared" si="75"/>
        <v>1388</v>
      </c>
    </row>
    <row r="1391" spans="32:34" x14ac:dyDescent="0.2">
      <c r="AF1391" s="3">
        <f t="shared" si="76"/>
        <v>0.14969999999999983</v>
      </c>
      <c r="AG1391" s="3">
        <f t="shared" si="74"/>
        <v>-0.70437015570488337</v>
      </c>
      <c r="AH1391" s="3">
        <f t="shared" si="75"/>
        <v>1389</v>
      </c>
    </row>
    <row r="1392" spans="32:34" x14ac:dyDescent="0.2">
      <c r="AF1392" s="3">
        <f t="shared" si="76"/>
        <v>0.14979999999999982</v>
      </c>
      <c r="AG1392" s="3">
        <f t="shared" si="74"/>
        <v>-0.70459283691816288</v>
      </c>
      <c r="AH1392" s="3">
        <f t="shared" si="75"/>
        <v>1390</v>
      </c>
    </row>
    <row r="1393" spans="32:34" x14ac:dyDescent="0.2">
      <c r="AF1393" s="3">
        <f t="shared" si="76"/>
        <v>0.14989999999999981</v>
      </c>
      <c r="AG1393" s="3">
        <f t="shared" si="74"/>
        <v>-0.70481535273944085</v>
      </c>
      <c r="AH1393" s="3">
        <f t="shared" si="75"/>
        <v>1391</v>
      </c>
    </row>
    <row r="1394" spans="32:34" x14ac:dyDescent="0.2">
      <c r="AF1394" s="3">
        <f t="shared" si="76"/>
        <v>0.1499999999999998</v>
      </c>
      <c r="AG1394" s="3">
        <f t="shared" si="74"/>
        <v>-0.70503770327905191</v>
      </c>
      <c r="AH1394" s="3">
        <f t="shared" si="75"/>
        <v>1392</v>
      </c>
    </row>
    <row r="1395" spans="32:34" x14ac:dyDescent="0.2">
      <c r="AF1395" s="3">
        <f t="shared" si="76"/>
        <v>0.15009999999999979</v>
      </c>
      <c r="AG1395" s="3">
        <f t="shared" si="74"/>
        <v>-0.70525988864718425</v>
      </c>
      <c r="AH1395" s="3">
        <f t="shared" si="75"/>
        <v>1393</v>
      </c>
    </row>
    <row r="1396" spans="32:34" x14ac:dyDescent="0.2">
      <c r="AF1396" s="3">
        <f t="shared" si="76"/>
        <v>0.15019999999999978</v>
      </c>
      <c r="AG1396" s="3">
        <f t="shared" si="74"/>
        <v>-0.70548190895387852</v>
      </c>
      <c r="AH1396" s="3">
        <f t="shared" si="75"/>
        <v>1394</v>
      </c>
    </row>
    <row r="1397" spans="32:34" x14ac:dyDescent="0.2">
      <c r="AF1397" s="3">
        <f t="shared" si="76"/>
        <v>0.15029999999999977</v>
      </c>
      <c r="AG1397" s="3">
        <f t="shared" si="74"/>
        <v>-0.70570376430902937</v>
      </c>
      <c r="AH1397" s="3">
        <f t="shared" si="75"/>
        <v>1395</v>
      </c>
    </row>
    <row r="1398" spans="32:34" x14ac:dyDescent="0.2">
      <c r="AF1398" s="3">
        <f t="shared" si="76"/>
        <v>0.15039999999999976</v>
      </c>
      <c r="AG1398" s="3">
        <f t="shared" si="74"/>
        <v>-0.70592545482238511</v>
      </c>
      <c r="AH1398" s="3">
        <f t="shared" si="75"/>
        <v>1396</v>
      </c>
    </row>
    <row r="1399" spans="32:34" x14ac:dyDescent="0.2">
      <c r="AF1399" s="3">
        <f t="shared" si="76"/>
        <v>0.15049999999999975</v>
      </c>
      <c r="AG1399" s="3">
        <f t="shared" si="74"/>
        <v>-0.70614698060354764</v>
      </c>
      <c r="AH1399" s="3">
        <f t="shared" si="75"/>
        <v>1397</v>
      </c>
    </row>
    <row r="1400" spans="32:34" x14ac:dyDescent="0.2">
      <c r="AF1400" s="3">
        <f t="shared" si="76"/>
        <v>0.15059999999999973</v>
      </c>
      <c r="AG1400" s="3">
        <f t="shared" si="74"/>
        <v>-0.70636834176197394</v>
      </c>
      <c r="AH1400" s="3">
        <f t="shared" si="75"/>
        <v>1398</v>
      </c>
    </row>
    <row r="1401" spans="32:34" x14ac:dyDescent="0.2">
      <c r="AF1401" s="3">
        <f t="shared" si="76"/>
        <v>0.15069999999999972</v>
      </c>
      <c r="AG1401" s="3">
        <f t="shared" si="74"/>
        <v>-0.70658953840697514</v>
      </c>
      <c r="AH1401" s="3">
        <f t="shared" si="75"/>
        <v>1399</v>
      </c>
    </row>
    <row r="1402" spans="32:34" x14ac:dyDescent="0.2">
      <c r="AF1402" s="3">
        <f t="shared" si="76"/>
        <v>0.15079999999999971</v>
      </c>
      <c r="AG1402" s="3">
        <f t="shared" si="74"/>
        <v>-0.70681057064771735</v>
      </c>
      <c r="AH1402" s="3">
        <f t="shared" si="75"/>
        <v>1400</v>
      </c>
    </row>
    <row r="1403" spans="32:34" x14ac:dyDescent="0.2">
      <c r="AF1403" s="3">
        <f t="shared" si="76"/>
        <v>0.1508999999999997</v>
      </c>
      <c r="AG1403" s="3">
        <f t="shared" si="74"/>
        <v>-0.70703143859322215</v>
      </c>
      <c r="AH1403" s="3">
        <f t="shared" si="75"/>
        <v>1401</v>
      </c>
    </row>
    <row r="1404" spans="32:34" x14ac:dyDescent="0.2">
      <c r="AF1404" s="3">
        <f t="shared" si="76"/>
        <v>0.15099999999999969</v>
      </c>
      <c r="AG1404" s="3">
        <f t="shared" si="74"/>
        <v>-0.70725214235236622</v>
      </c>
      <c r="AH1404" s="3">
        <f t="shared" si="75"/>
        <v>1402</v>
      </c>
    </row>
    <row r="1405" spans="32:34" x14ac:dyDescent="0.2">
      <c r="AF1405" s="3">
        <f t="shared" si="76"/>
        <v>0.15109999999999968</v>
      </c>
      <c r="AG1405" s="3">
        <f t="shared" si="74"/>
        <v>-0.70747268203388247</v>
      </c>
      <c r="AH1405" s="3">
        <f t="shared" si="75"/>
        <v>1403</v>
      </c>
    </row>
    <row r="1406" spans="32:34" x14ac:dyDescent="0.2">
      <c r="AF1406" s="3">
        <f t="shared" si="76"/>
        <v>0.15119999999999967</v>
      </c>
      <c r="AG1406" s="3">
        <f t="shared" si="74"/>
        <v>-0.70769305774635971</v>
      </c>
      <c r="AH1406" s="3">
        <f t="shared" si="75"/>
        <v>1404</v>
      </c>
    </row>
    <row r="1407" spans="32:34" x14ac:dyDescent="0.2">
      <c r="AF1407" s="3">
        <f t="shared" si="76"/>
        <v>0.15129999999999966</v>
      </c>
      <c r="AG1407" s="3">
        <f t="shared" si="74"/>
        <v>-0.70791326959824286</v>
      </c>
      <c r="AH1407" s="3">
        <f t="shared" si="75"/>
        <v>1405</v>
      </c>
    </row>
    <row r="1408" spans="32:34" x14ac:dyDescent="0.2">
      <c r="AF1408" s="3">
        <f t="shared" si="76"/>
        <v>0.15139999999999965</v>
      </c>
      <c r="AG1408" s="3">
        <f t="shared" si="74"/>
        <v>-0.70813331769783394</v>
      </c>
      <c r="AH1408" s="3">
        <f t="shared" si="75"/>
        <v>1406</v>
      </c>
    </row>
    <row r="1409" spans="32:34" x14ac:dyDescent="0.2">
      <c r="AF1409" s="3">
        <f t="shared" si="76"/>
        <v>0.15149999999999963</v>
      </c>
      <c r="AG1409" s="3">
        <f t="shared" si="74"/>
        <v>-0.70835320215329156</v>
      </c>
      <c r="AH1409" s="3">
        <f t="shared" si="75"/>
        <v>1407</v>
      </c>
    </row>
    <row r="1410" spans="32:34" x14ac:dyDescent="0.2">
      <c r="AF1410" s="3">
        <f t="shared" si="76"/>
        <v>0.15159999999999962</v>
      </c>
      <c r="AG1410" s="3">
        <f t="shared" si="74"/>
        <v>-0.70857292307263153</v>
      </c>
      <c r="AH1410" s="3">
        <f t="shared" si="75"/>
        <v>1408</v>
      </c>
    </row>
    <row r="1411" spans="32:34" x14ac:dyDescent="0.2">
      <c r="AF1411" s="3">
        <f t="shared" si="76"/>
        <v>0.15169999999999961</v>
      </c>
      <c r="AG1411" s="3">
        <f t="shared" ref="AG1411:AG1474" si="77">RT0*AF1411*LN(AF1411)</f>
        <v>-0.70879248056372768</v>
      </c>
      <c r="AH1411" s="3">
        <f t="shared" si="75"/>
        <v>1409</v>
      </c>
    </row>
    <row r="1412" spans="32:34" x14ac:dyDescent="0.2">
      <c r="AF1412" s="3">
        <f t="shared" si="76"/>
        <v>0.1517999999999996</v>
      </c>
      <c r="AG1412" s="3">
        <f t="shared" si="77"/>
        <v>-0.70901187473431093</v>
      </c>
      <c r="AH1412" s="3">
        <f t="shared" si="75"/>
        <v>1410</v>
      </c>
    </row>
    <row r="1413" spans="32:34" x14ac:dyDescent="0.2">
      <c r="AF1413" s="3">
        <f t="shared" si="76"/>
        <v>0.15189999999999959</v>
      </c>
      <c r="AG1413" s="3">
        <f t="shared" si="77"/>
        <v>-0.70923110569197068</v>
      </c>
      <c r="AH1413" s="3">
        <f t="shared" ref="AH1413:AH1476" si="78">AH1412+1</f>
        <v>1411</v>
      </c>
    </row>
    <row r="1414" spans="32:34" x14ac:dyDescent="0.2">
      <c r="AF1414" s="3">
        <f t="shared" si="76"/>
        <v>0.15199999999999958</v>
      </c>
      <c r="AG1414" s="3">
        <f t="shared" si="77"/>
        <v>-0.70945017354415452</v>
      </c>
      <c r="AH1414" s="3">
        <f t="shared" si="78"/>
        <v>1412</v>
      </c>
    </row>
    <row r="1415" spans="32:34" x14ac:dyDescent="0.2">
      <c r="AF1415" s="3">
        <f t="shared" si="76"/>
        <v>0.15209999999999957</v>
      </c>
      <c r="AG1415" s="3">
        <f t="shared" si="77"/>
        <v>-0.70966907839816873</v>
      </c>
      <c r="AH1415" s="3">
        <f t="shared" si="78"/>
        <v>1413</v>
      </c>
    </row>
    <row r="1416" spans="32:34" x14ac:dyDescent="0.2">
      <c r="AF1416" s="3">
        <f t="shared" si="76"/>
        <v>0.15219999999999956</v>
      </c>
      <c r="AG1416" s="3">
        <f t="shared" si="77"/>
        <v>-0.70988782036117837</v>
      </c>
      <c r="AH1416" s="3">
        <f t="shared" si="78"/>
        <v>1414</v>
      </c>
    </row>
    <row r="1417" spans="32:34" x14ac:dyDescent="0.2">
      <c r="AF1417" s="3">
        <f t="shared" si="76"/>
        <v>0.15229999999999955</v>
      </c>
      <c r="AG1417" s="3">
        <f t="shared" si="77"/>
        <v>-0.71010639954020782</v>
      </c>
      <c r="AH1417" s="3">
        <f t="shared" si="78"/>
        <v>1415</v>
      </c>
    </row>
    <row r="1418" spans="32:34" x14ac:dyDescent="0.2">
      <c r="AF1418" s="3">
        <f t="shared" si="76"/>
        <v>0.15239999999999954</v>
      </c>
      <c r="AG1418" s="3">
        <f t="shared" si="77"/>
        <v>-0.71032481604214093</v>
      </c>
      <c r="AH1418" s="3">
        <f t="shared" si="78"/>
        <v>1416</v>
      </c>
    </row>
    <row r="1419" spans="32:34" x14ac:dyDescent="0.2">
      <c r="AF1419" s="3">
        <f t="shared" si="76"/>
        <v>0.15249999999999952</v>
      </c>
      <c r="AG1419" s="3">
        <f t="shared" si="77"/>
        <v>-0.71054306997372119</v>
      </c>
      <c r="AH1419" s="3">
        <f t="shared" si="78"/>
        <v>1417</v>
      </c>
    </row>
    <row r="1420" spans="32:34" x14ac:dyDescent="0.2">
      <c r="AF1420" s="3">
        <f t="shared" si="76"/>
        <v>0.15259999999999951</v>
      </c>
      <c r="AG1420" s="3">
        <f t="shared" si="77"/>
        <v>-0.7107611614415521</v>
      </c>
      <c r="AH1420" s="3">
        <f t="shared" si="78"/>
        <v>1418</v>
      </c>
    </row>
    <row r="1421" spans="32:34" x14ac:dyDescent="0.2">
      <c r="AF1421" s="3">
        <f t="shared" si="76"/>
        <v>0.1526999999999995</v>
      </c>
      <c r="AG1421" s="3">
        <f t="shared" si="77"/>
        <v>-0.7109790905520974</v>
      </c>
      <c r="AH1421" s="3">
        <f t="shared" si="78"/>
        <v>1419</v>
      </c>
    </row>
    <row r="1422" spans="32:34" x14ac:dyDescent="0.2">
      <c r="AF1422" s="3">
        <f t="shared" si="76"/>
        <v>0.15279999999999949</v>
      </c>
      <c r="AG1422" s="3">
        <f t="shared" si="77"/>
        <v>-0.71119685741168159</v>
      </c>
      <c r="AH1422" s="3">
        <f t="shared" si="78"/>
        <v>1420</v>
      </c>
    </row>
    <row r="1423" spans="32:34" x14ac:dyDescent="0.2">
      <c r="AF1423" s="3">
        <f t="shared" si="76"/>
        <v>0.15289999999999948</v>
      </c>
      <c r="AG1423" s="3">
        <f t="shared" si="77"/>
        <v>-0.71141446212648984</v>
      </c>
      <c r="AH1423" s="3">
        <f t="shared" si="78"/>
        <v>1421</v>
      </c>
    </row>
    <row r="1424" spans="32:34" x14ac:dyDescent="0.2">
      <c r="AF1424" s="3">
        <f t="shared" si="76"/>
        <v>0.15299999999999947</v>
      </c>
      <c r="AG1424" s="3">
        <f t="shared" si="77"/>
        <v>-0.71163190480256844</v>
      </c>
      <c r="AH1424" s="3">
        <f t="shared" si="78"/>
        <v>1422</v>
      </c>
    </row>
    <row r="1425" spans="32:34" x14ac:dyDescent="0.2">
      <c r="AF1425" s="3">
        <f t="shared" si="76"/>
        <v>0.15309999999999946</v>
      </c>
      <c r="AG1425" s="3">
        <f t="shared" si="77"/>
        <v>-0.71184918554582488</v>
      </c>
      <c r="AH1425" s="3">
        <f t="shared" si="78"/>
        <v>1423</v>
      </c>
    </row>
    <row r="1426" spans="32:34" x14ac:dyDescent="0.2">
      <c r="AF1426" s="3">
        <f t="shared" si="76"/>
        <v>0.15319999999999945</v>
      </c>
      <c r="AG1426" s="3">
        <f t="shared" si="77"/>
        <v>-0.71206630446202879</v>
      </c>
      <c r="AH1426" s="3">
        <f t="shared" si="78"/>
        <v>1424</v>
      </c>
    </row>
    <row r="1427" spans="32:34" x14ac:dyDescent="0.2">
      <c r="AF1427" s="3">
        <f t="shared" si="76"/>
        <v>0.15329999999999944</v>
      </c>
      <c r="AG1427" s="3">
        <f t="shared" si="77"/>
        <v>-0.71228326165681122</v>
      </c>
      <c r="AH1427" s="3">
        <f t="shared" si="78"/>
        <v>1425</v>
      </c>
    </row>
    <row r="1428" spans="32:34" x14ac:dyDescent="0.2">
      <c r="AF1428" s="3">
        <f t="shared" si="76"/>
        <v>0.15339999999999943</v>
      </c>
      <c r="AG1428" s="3">
        <f t="shared" si="77"/>
        <v>-0.71250005723566578</v>
      </c>
      <c r="AH1428" s="3">
        <f t="shared" si="78"/>
        <v>1426</v>
      </c>
    </row>
    <row r="1429" spans="32:34" x14ac:dyDescent="0.2">
      <c r="AF1429" s="3">
        <f t="shared" si="76"/>
        <v>0.15349999999999941</v>
      </c>
      <c r="AG1429" s="3">
        <f t="shared" si="77"/>
        <v>-0.71271669130394821</v>
      </c>
      <c r="AH1429" s="3">
        <f t="shared" si="78"/>
        <v>1427</v>
      </c>
    </row>
    <row r="1430" spans="32:34" x14ac:dyDescent="0.2">
      <c r="AF1430" s="3">
        <f t="shared" si="76"/>
        <v>0.1535999999999994</v>
      </c>
      <c r="AG1430" s="3">
        <f t="shared" si="77"/>
        <v>-0.71293316396687723</v>
      </c>
      <c r="AH1430" s="3">
        <f t="shared" si="78"/>
        <v>1428</v>
      </c>
    </row>
    <row r="1431" spans="32:34" x14ac:dyDescent="0.2">
      <c r="AF1431" s="3">
        <f t="shared" si="76"/>
        <v>0.15369999999999939</v>
      </c>
      <c r="AG1431" s="3">
        <f t="shared" si="77"/>
        <v>-0.71314947532953443</v>
      </c>
      <c r="AH1431" s="3">
        <f t="shared" si="78"/>
        <v>1429</v>
      </c>
    </row>
    <row r="1432" spans="32:34" x14ac:dyDescent="0.2">
      <c r="AF1432" s="3">
        <f t="shared" si="76"/>
        <v>0.15379999999999938</v>
      </c>
      <c r="AG1432" s="3">
        <f t="shared" si="77"/>
        <v>-0.71336562549686466</v>
      </c>
      <c r="AH1432" s="3">
        <f t="shared" si="78"/>
        <v>1430</v>
      </c>
    </row>
    <row r="1433" spans="32:34" x14ac:dyDescent="0.2">
      <c r="AF1433" s="3">
        <f t="shared" si="76"/>
        <v>0.15389999999999937</v>
      </c>
      <c r="AG1433" s="3">
        <f t="shared" si="77"/>
        <v>-0.71358161457367653</v>
      </c>
      <c r="AH1433" s="3">
        <f t="shared" si="78"/>
        <v>1431</v>
      </c>
    </row>
    <row r="1434" spans="32:34" x14ac:dyDescent="0.2">
      <c r="AF1434" s="3">
        <f t="shared" si="76"/>
        <v>0.15399999999999936</v>
      </c>
      <c r="AG1434" s="3">
        <f t="shared" si="77"/>
        <v>-0.71379744266464196</v>
      </c>
      <c r="AH1434" s="3">
        <f t="shared" si="78"/>
        <v>1432</v>
      </c>
    </row>
    <row r="1435" spans="32:34" x14ac:dyDescent="0.2">
      <c r="AF1435" s="3">
        <f t="shared" si="76"/>
        <v>0.15409999999999935</v>
      </c>
      <c r="AG1435" s="3">
        <f t="shared" si="77"/>
        <v>-0.71401310987429756</v>
      </c>
      <c r="AH1435" s="3">
        <f t="shared" si="78"/>
        <v>1433</v>
      </c>
    </row>
    <row r="1436" spans="32:34" x14ac:dyDescent="0.2">
      <c r="AF1436" s="3">
        <f t="shared" si="76"/>
        <v>0.15419999999999934</v>
      </c>
      <c r="AG1436" s="3">
        <f t="shared" si="77"/>
        <v>-0.71422861630704371</v>
      </c>
      <c r="AH1436" s="3">
        <f t="shared" si="78"/>
        <v>1434</v>
      </c>
    </row>
    <row r="1437" spans="32:34" x14ac:dyDescent="0.2">
      <c r="AF1437" s="3">
        <f t="shared" si="76"/>
        <v>0.15429999999999933</v>
      </c>
      <c r="AG1437" s="3">
        <f t="shared" si="77"/>
        <v>-0.71444396206714555</v>
      </c>
      <c r="AH1437" s="3">
        <f t="shared" si="78"/>
        <v>1435</v>
      </c>
    </row>
    <row r="1438" spans="32:34" x14ac:dyDescent="0.2">
      <c r="AF1438" s="3">
        <f t="shared" si="76"/>
        <v>0.15439999999999932</v>
      </c>
      <c r="AG1438" s="3">
        <f t="shared" si="77"/>
        <v>-0.71465914725873325</v>
      </c>
      <c r="AH1438" s="3">
        <f t="shared" si="78"/>
        <v>1436</v>
      </c>
    </row>
    <row r="1439" spans="32:34" x14ac:dyDescent="0.2">
      <c r="AF1439" s="3">
        <f t="shared" si="76"/>
        <v>0.1544999999999993</v>
      </c>
      <c r="AG1439" s="3">
        <f t="shared" si="77"/>
        <v>-0.71487417198580205</v>
      </c>
      <c r="AH1439" s="3">
        <f t="shared" si="78"/>
        <v>1437</v>
      </c>
    </row>
    <row r="1440" spans="32:34" x14ac:dyDescent="0.2">
      <c r="AF1440" s="3">
        <f t="shared" ref="AF1440:AF1503" si="79">AF1439+0.0001</f>
        <v>0.15459999999999929</v>
      </c>
      <c r="AG1440" s="3">
        <f t="shared" si="77"/>
        <v>-0.71508903635221233</v>
      </c>
      <c r="AH1440" s="3">
        <f t="shared" si="78"/>
        <v>1438</v>
      </c>
    </row>
    <row r="1441" spans="32:34" x14ac:dyDescent="0.2">
      <c r="AF1441" s="3">
        <f t="shared" si="79"/>
        <v>0.15469999999999928</v>
      </c>
      <c r="AG1441" s="3">
        <f t="shared" si="77"/>
        <v>-0.71530374046169032</v>
      </c>
      <c r="AH1441" s="3">
        <f t="shared" si="78"/>
        <v>1439</v>
      </c>
    </row>
    <row r="1442" spans="32:34" x14ac:dyDescent="0.2">
      <c r="AF1442" s="3">
        <f t="shared" si="79"/>
        <v>0.15479999999999927</v>
      </c>
      <c r="AG1442" s="3">
        <f t="shared" si="77"/>
        <v>-0.71551828441782817</v>
      </c>
      <c r="AH1442" s="3">
        <f t="shared" si="78"/>
        <v>1440</v>
      </c>
    </row>
    <row r="1443" spans="32:34" x14ac:dyDescent="0.2">
      <c r="AF1443" s="3">
        <f t="shared" si="79"/>
        <v>0.15489999999999926</v>
      </c>
      <c r="AG1443" s="3">
        <f t="shared" si="77"/>
        <v>-0.715732668324084</v>
      </c>
      <c r="AH1443" s="3">
        <f t="shared" si="78"/>
        <v>1441</v>
      </c>
    </row>
    <row r="1444" spans="32:34" x14ac:dyDescent="0.2">
      <c r="AF1444" s="3">
        <f t="shared" si="79"/>
        <v>0.15499999999999925</v>
      </c>
      <c r="AG1444" s="3">
        <f t="shared" si="77"/>
        <v>-0.71594689228378272</v>
      </c>
      <c r="AH1444" s="3">
        <f t="shared" si="78"/>
        <v>1442</v>
      </c>
    </row>
    <row r="1445" spans="32:34" x14ac:dyDescent="0.2">
      <c r="AF1445" s="3">
        <f t="shared" si="79"/>
        <v>0.15509999999999924</v>
      </c>
      <c r="AG1445" s="3">
        <f t="shared" si="77"/>
        <v>-0.71616095640011534</v>
      </c>
      <c r="AH1445" s="3">
        <f t="shared" si="78"/>
        <v>1443</v>
      </c>
    </row>
    <row r="1446" spans="32:34" x14ac:dyDescent="0.2">
      <c r="AF1446" s="3">
        <f t="shared" si="79"/>
        <v>0.15519999999999923</v>
      </c>
      <c r="AG1446" s="3">
        <f t="shared" si="77"/>
        <v>-0.71637486077614043</v>
      </c>
      <c r="AH1446" s="3">
        <f t="shared" si="78"/>
        <v>1444</v>
      </c>
    </row>
    <row r="1447" spans="32:34" x14ac:dyDescent="0.2">
      <c r="AF1447" s="3">
        <f t="shared" si="79"/>
        <v>0.15529999999999922</v>
      </c>
      <c r="AG1447" s="3">
        <f t="shared" si="77"/>
        <v>-0.71658860551478332</v>
      </c>
      <c r="AH1447" s="3">
        <f t="shared" si="78"/>
        <v>1445</v>
      </c>
    </row>
    <row r="1448" spans="32:34" x14ac:dyDescent="0.2">
      <c r="AF1448" s="3">
        <f t="shared" si="79"/>
        <v>0.15539999999999921</v>
      </c>
      <c r="AG1448" s="3">
        <f t="shared" si="77"/>
        <v>-0.716802190718837</v>
      </c>
      <c r="AH1448" s="3">
        <f t="shared" si="78"/>
        <v>1446</v>
      </c>
    </row>
    <row r="1449" spans="32:34" x14ac:dyDescent="0.2">
      <c r="AF1449" s="3">
        <f t="shared" si="79"/>
        <v>0.15549999999999919</v>
      </c>
      <c r="AG1449" s="3">
        <f t="shared" si="77"/>
        <v>-0.71701561649096202</v>
      </c>
      <c r="AH1449" s="3">
        <f t="shared" si="78"/>
        <v>1447</v>
      </c>
    </row>
    <row r="1450" spans="32:34" x14ac:dyDescent="0.2">
      <c r="AF1450" s="3">
        <f t="shared" si="79"/>
        <v>0.15559999999999918</v>
      </c>
      <c r="AG1450" s="3">
        <f t="shared" si="77"/>
        <v>-0.71722888293368703</v>
      </c>
      <c r="AH1450" s="3">
        <f t="shared" si="78"/>
        <v>1448</v>
      </c>
    </row>
    <row r="1451" spans="32:34" x14ac:dyDescent="0.2">
      <c r="AF1451" s="3">
        <f t="shared" si="79"/>
        <v>0.15569999999999917</v>
      </c>
      <c r="AG1451" s="3">
        <f t="shared" si="77"/>
        <v>-0.71744199014940857</v>
      </c>
      <c r="AH1451" s="3">
        <f t="shared" si="78"/>
        <v>1449</v>
      </c>
    </row>
    <row r="1452" spans="32:34" x14ac:dyDescent="0.2">
      <c r="AF1452" s="3">
        <f t="shared" si="79"/>
        <v>0.15579999999999916</v>
      </c>
      <c r="AG1452" s="3">
        <f t="shared" si="77"/>
        <v>-0.71765493824039239</v>
      </c>
      <c r="AH1452" s="3">
        <f t="shared" si="78"/>
        <v>1450</v>
      </c>
    </row>
    <row r="1453" spans="32:34" x14ac:dyDescent="0.2">
      <c r="AF1453" s="3">
        <f t="shared" si="79"/>
        <v>0.15589999999999915</v>
      </c>
      <c r="AG1453" s="3">
        <f t="shared" si="77"/>
        <v>-0.71786772730877213</v>
      </c>
      <c r="AH1453" s="3">
        <f t="shared" si="78"/>
        <v>1451</v>
      </c>
    </row>
    <row r="1454" spans="32:34" x14ac:dyDescent="0.2">
      <c r="AF1454" s="3">
        <f t="shared" si="79"/>
        <v>0.15599999999999914</v>
      </c>
      <c r="AG1454" s="3">
        <f t="shared" si="77"/>
        <v>-0.71808035745655086</v>
      </c>
      <c r="AH1454" s="3">
        <f t="shared" si="78"/>
        <v>1452</v>
      </c>
    </row>
    <row r="1455" spans="32:34" x14ac:dyDescent="0.2">
      <c r="AF1455" s="3">
        <f t="shared" si="79"/>
        <v>0.15609999999999913</v>
      </c>
      <c r="AG1455" s="3">
        <f t="shared" si="77"/>
        <v>-0.71829282878560075</v>
      </c>
      <c r="AH1455" s="3">
        <f t="shared" si="78"/>
        <v>1453</v>
      </c>
    </row>
    <row r="1456" spans="32:34" x14ac:dyDescent="0.2">
      <c r="AF1456" s="3">
        <f t="shared" si="79"/>
        <v>0.15619999999999912</v>
      </c>
      <c r="AG1456" s="3">
        <f t="shared" si="77"/>
        <v>-0.71850514139766353</v>
      </c>
      <c r="AH1456" s="3">
        <f t="shared" si="78"/>
        <v>1454</v>
      </c>
    </row>
    <row r="1457" spans="32:34" x14ac:dyDescent="0.2">
      <c r="AF1457" s="3">
        <f t="shared" si="79"/>
        <v>0.15629999999999911</v>
      </c>
      <c r="AG1457" s="3">
        <f t="shared" si="77"/>
        <v>-0.71871729539435047</v>
      </c>
      <c r="AH1457" s="3">
        <f t="shared" si="78"/>
        <v>1455</v>
      </c>
    </row>
    <row r="1458" spans="32:34" x14ac:dyDescent="0.2">
      <c r="AF1458" s="3">
        <f t="shared" si="79"/>
        <v>0.1563999999999991</v>
      </c>
      <c r="AG1458" s="3">
        <f t="shared" si="77"/>
        <v>-0.71892929087714308</v>
      </c>
      <c r="AH1458" s="3">
        <f t="shared" si="78"/>
        <v>1456</v>
      </c>
    </row>
    <row r="1459" spans="32:34" x14ac:dyDescent="0.2">
      <c r="AF1459" s="3">
        <f t="shared" si="79"/>
        <v>0.15649999999999908</v>
      </c>
      <c r="AG1459" s="3">
        <f t="shared" si="77"/>
        <v>-0.71914112794739282</v>
      </c>
      <c r="AH1459" s="3">
        <f t="shared" si="78"/>
        <v>1457</v>
      </c>
    </row>
    <row r="1460" spans="32:34" x14ac:dyDescent="0.2">
      <c r="AF1460" s="3">
        <f t="shared" si="79"/>
        <v>0.15659999999999907</v>
      </c>
      <c r="AG1460" s="3">
        <f t="shared" si="77"/>
        <v>-0.71935280670632207</v>
      </c>
      <c r="AH1460" s="3">
        <f t="shared" si="78"/>
        <v>1458</v>
      </c>
    </row>
    <row r="1461" spans="32:34" x14ac:dyDescent="0.2">
      <c r="AF1461" s="3">
        <f t="shared" si="79"/>
        <v>0.15669999999999906</v>
      </c>
      <c r="AG1461" s="3">
        <f t="shared" si="77"/>
        <v>-0.71956432725502328</v>
      </c>
      <c r="AH1461" s="3">
        <f t="shared" si="78"/>
        <v>1459</v>
      </c>
    </row>
    <row r="1462" spans="32:34" x14ac:dyDescent="0.2">
      <c r="AF1462" s="3">
        <f t="shared" si="79"/>
        <v>0.15679999999999905</v>
      </c>
      <c r="AG1462" s="3">
        <f t="shared" si="77"/>
        <v>-0.7197756896944606</v>
      </c>
      <c r="AH1462" s="3">
        <f t="shared" si="78"/>
        <v>1460</v>
      </c>
    </row>
    <row r="1463" spans="32:34" x14ac:dyDescent="0.2">
      <c r="AF1463" s="3">
        <f t="shared" si="79"/>
        <v>0.15689999999999904</v>
      </c>
      <c r="AG1463" s="3">
        <f t="shared" si="77"/>
        <v>-0.71998689412546868</v>
      </c>
      <c r="AH1463" s="3">
        <f t="shared" si="78"/>
        <v>1461</v>
      </c>
    </row>
    <row r="1464" spans="32:34" x14ac:dyDescent="0.2">
      <c r="AF1464" s="3">
        <f t="shared" si="79"/>
        <v>0.15699999999999903</v>
      </c>
      <c r="AG1464" s="3">
        <f t="shared" si="77"/>
        <v>-0.7201979406487542</v>
      </c>
      <c r="AH1464" s="3">
        <f t="shared" si="78"/>
        <v>1462</v>
      </c>
    </row>
    <row r="1465" spans="32:34" x14ac:dyDescent="0.2">
      <c r="AF1465" s="3">
        <f t="shared" si="79"/>
        <v>0.15709999999999902</v>
      </c>
      <c r="AG1465" s="3">
        <f t="shared" si="77"/>
        <v>-0.72040882936489536</v>
      </c>
      <c r="AH1465" s="3">
        <f t="shared" si="78"/>
        <v>1463</v>
      </c>
    </row>
    <row r="1466" spans="32:34" x14ac:dyDescent="0.2">
      <c r="AF1466" s="3">
        <f t="shared" si="79"/>
        <v>0.15719999999999901</v>
      </c>
      <c r="AG1466" s="3">
        <f t="shared" si="77"/>
        <v>-0.72061956037434216</v>
      </c>
      <c r="AH1466" s="3">
        <f t="shared" si="78"/>
        <v>1464</v>
      </c>
    </row>
    <row r="1467" spans="32:34" x14ac:dyDescent="0.2">
      <c r="AF1467" s="3">
        <f t="shared" si="79"/>
        <v>0.157299999999999</v>
      </c>
      <c r="AG1467" s="3">
        <f t="shared" si="77"/>
        <v>-0.720830133777417</v>
      </c>
      <c r="AH1467" s="3">
        <f t="shared" si="78"/>
        <v>1465</v>
      </c>
    </row>
    <row r="1468" spans="32:34" x14ac:dyDescent="0.2">
      <c r="AF1468" s="3">
        <f t="shared" si="79"/>
        <v>0.15739999999999899</v>
      </c>
      <c r="AG1468" s="3">
        <f t="shared" si="77"/>
        <v>-0.72104054967431475</v>
      </c>
      <c r="AH1468" s="3">
        <f t="shared" si="78"/>
        <v>1466</v>
      </c>
    </row>
    <row r="1469" spans="32:34" x14ac:dyDescent="0.2">
      <c r="AF1469" s="3">
        <f t="shared" si="79"/>
        <v>0.15749999999999897</v>
      </c>
      <c r="AG1469" s="3">
        <f t="shared" si="77"/>
        <v>-0.72125080816510279</v>
      </c>
      <c r="AH1469" s="3">
        <f t="shared" si="78"/>
        <v>1467</v>
      </c>
    </row>
    <row r="1470" spans="32:34" x14ac:dyDescent="0.2">
      <c r="AF1470" s="3">
        <f t="shared" si="79"/>
        <v>0.15759999999999896</v>
      </c>
      <c r="AG1470" s="3">
        <f t="shared" si="77"/>
        <v>-0.72146090934972151</v>
      </c>
      <c r="AH1470" s="3">
        <f t="shared" si="78"/>
        <v>1468</v>
      </c>
    </row>
    <row r="1471" spans="32:34" x14ac:dyDescent="0.2">
      <c r="AF1471" s="3">
        <f t="shared" si="79"/>
        <v>0.15769999999999895</v>
      </c>
      <c r="AG1471" s="3">
        <f t="shared" si="77"/>
        <v>-0.72167085332798442</v>
      </c>
      <c r="AH1471" s="3">
        <f t="shared" si="78"/>
        <v>1469</v>
      </c>
    </row>
    <row r="1472" spans="32:34" x14ac:dyDescent="0.2">
      <c r="AF1472" s="3">
        <f t="shared" si="79"/>
        <v>0.15779999999999894</v>
      </c>
      <c r="AG1472" s="3">
        <f t="shared" si="77"/>
        <v>-0.72188064019957865</v>
      </c>
      <c r="AH1472" s="3">
        <f t="shared" si="78"/>
        <v>1470</v>
      </c>
    </row>
    <row r="1473" spans="32:34" x14ac:dyDescent="0.2">
      <c r="AF1473" s="3">
        <f t="shared" si="79"/>
        <v>0.15789999999999893</v>
      </c>
      <c r="AG1473" s="3">
        <f t="shared" si="77"/>
        <v>-0.72209027006406479</v>
      </c>
      <c r="AH1473" s="3">
        <f t="shared" si="78"/>
        <v>1471</v>
      </c>
    </row>
    <row r="1474" spans="32:34" x14ac:dyDescent="0.2">
      <c r="AF1474" s="3">
        <f t="shared" si="79"/>
        <v>0.15799999999999892</v>
      </c>
      <c r="AG1474" s="3">
        <f t="shared" si="77"/>
        <v>-0.72229974302087729</v>
      </c>
      <c r="AH1474" s="3">
        <f t="shared" si="78"/>
        <v>1472</v>
      </c>
    </row>
    <row r="1475" spans="32:34" x14ac:dyDescent="0.2">
      <c r="AF1475" s="3">
        <f t="shared" si="79"/>
        <v>0.15809999999999891</v>
      </c>
      <c r="AG1475" s="3">
        <f t="shared" ref="AG1475:AG1538" si="80">RT0*AF1475*LN(AF1475)</f>
        <v>-0.72250905916932495</v>
      </c>
      <c r="AH1475" s="3">
        <f t="shared" si="78"/>
        <v>1473</v>
      </c>
    </row>
    <row r="1476" spans="32:34" x14ac:dyDescent="0.2">
      <c r="AF1476" s="3">
        <f t="shared" si="79"/>
        <v>0.1581999999999989</v>
      </c>
      <c r="AG1476" s="3">
        <f t="shared" si="80"/>
        <v>-0.72271821860859076</v>
      </c>
      <c r="AH1476" s="3">
        <f t="shared" si="78"/>
        <v>1474</v>
      </c>
    </row>
    <row r="1477" spans="32:34" x14ac:dyDescent="0.2">
      <c r="AF1477" s="3">
        <f t="shared" si="79"/>
        <v>0.15829999999999889</v>
      </c>
      <c r="AG1477" s="3">
        <f t="shared" si="80"/>
        <v>-0.72292722143773236</v>
      </c>
      <c r="AH1477" s="3">
        <f t="shared" ref="AH1477:AH1540" si="81">AH1476+1</f>
        <v>1475</v>
      </c>
    </row>
    <row r="1478" spans="32:34" x14ac:dyDescent="0.2">
      <c r="AF1478" s="3">
        <f t="shared" si="79"/>
        <v>0.15839999999999888</v>
      </c>
      <c r="AG1478" s="3">
        <f t="shared" si="80"/>
        <v>-0.72313606775568218</v>
      </c>
      <c r="AH1478" s="3">
        <f t="shared" si="81"/>
        <v>1476</v>
      </c>
    </row>
    <row r="1479" spans="32:34" x14ac:dyDescent="0.2">
      <c r="AF1479" s="3">
        <f t="shared" si="79"/>
        <v>0.15849999999999886</v>
      </c>
      <c r="AG1479" s="3">
        <f t="shared" si="80"/>
        <v>-0.72334475766124806</v>
      </c>
      <c r="AH1479" s="3">
        <f t="shared" si="81"/>
        <v>1477</v>
      </c>
    </row>
    <row r="1480" spans="32:34" x14ac:dyDescent="0.2">
      <c r="AF1480" s="3">
        <f t="shared" si="79"/>
        <v>0.15859999999999885</v>
      </c>
      <c r="AG1480" s="3">
        <f t="shared" si="80"/>
        <v>-0.72355329125311252</v>
      </c>
      <c r="AH1480" s="3">
        <f t="shared" si="81"/>
        <v>1478</v>
      </c>
    </row>
    <row r="1481" spans="32:34" x14ac:dyDescent="0.2">
      <c r="AF1481" s="3">
        <f t="shared" si="79"/>
        <v>0.15869999999999884</v>
      </c>
      <c r="AG1481" s="3">
        <f t="shared" si="80"/>
        <v>-0.72376166862983426</v>
      </c>
      <c r="AH1481" s="3">
        <f t="shared" si="81"/>
        <v>1479</v>
      </c>
    </row>
    <row r="1482" spans="32:34" x14ac:dyDescent="0.2">
      <c r="AF1482" s="3">
        <f t="shared" si="79"/>
        <v>0.15879999999999883</v>
      </c>
      <c r="AG1482" s="3">
        <f t="shared" si="80"/>
        <v>-0.72396988988984756</v>
      </c>
      <c r="AH1482" s="3">
        <f t="shared" si="81"/>
        <v>1480</v>
      </c>
    </row>
    <row r="1483" spans="32:34" x14ac:dyDescent="0.2">
      <c r="AF1483" s="3">
        <f t="shared" si="79"/>
        <v>0.15889999999999882</v>
      </c>
      <c r="AG1483" s="3">
        <f t="shared" si="80"/>
        <v>-0.72417795513146255</v>
      </c>
      <c r="AH1483" s="3">
        <f t="shared" si="81"/>
        <v>1481</v>
      </c>
    </row>
    <row r="1484" spans="32:34" x14ac:dyDescent="0.2">
      <c r="AF1484" s="3">
        <f t="shared" si="79"/>
        <v>0.15899999999999881</v>
      </c>
      <c r="AG1484" s="3">
        <f t="shared" si="80"/>
        <v>-0.72438586445286601</v>
      </c>
      <c r="AH1484" s="3">
        <f t="shared" si="81"/>
        <v>1482</v>
      </c>
    </row>
    <row r="1485" spans="32:34" x14ac:dyDescent="0.2">
      <c r="AF1485" s="3">
        <f t="shared" si="79"/>
        <v>0.1590999999999988</v>
      </c>
      <c r="AG1485" s="3">
        <f t="shared" si="80"/>
        <v>-0.72459361795212074</v>
      </c>
      <c r="AH1485" s="3">
        <f t="shared" si="81"/>
        <v>1483</v>
      </c>
    </row>
    <row r="1486" spans="32:34" x14ac:dyDescent="0.2">
      <c r="AF1486" s="3">
        <f t="shared" si="79"/>
        <v>0.15919999999999879</v>
      </c>
      <c r="AG1486" s="3">
        <f t="shared" si="80"/>
        <v>-0.7248012157271666</v>
      </c>
      <c r="AH1486" s="3">
        <f t="shared" si="81"/>
        <v>1484</v>
      </c>
    </row>
    <row r="1487" spans="32:34" x14ac:dyDescent="0.2">
      <c r="AF1487" s="3">
        <f t="shared" si="79"/>
        <v>0.15929999999999878</v>
      </c>
      <c r="AG1487" s="3">
        <f t="shared" si="80"/>
        <v>-0.72500865787582036</v>
      </c>
      <c r="AH1487" s="3">
        <f t="shared" si="81"/>
        <v>1485</v>
      </c>
    </row>
    <row r="1488" spans="32:34" x14ac:dyDescent="0.2">
      <c r="AF1488" s="3">
        <f t="shared" si="79"/>
        <v>0.15939999999999876</v>
      </c>
      <c r="AG1488" s="3">
        <f t="shared" si="80"/>
        <v>-0.72521594449577587</v>
      </c>
      <c r="AH1488" s="3">
        <f t="shared" si="81"/>
        <v>1486</v>
      </c>
    </row>
    <row r="1489" spans="32:34" x14ac:dyDescent="0.2">
      <c r="AF1489" s="3">
        <f t="shared" si="79"/>
        <v>0.15949999999999875</v>
      </c>
      <c r="AG1489" s="3">
        <f t="shared" si="80"/>
        <v>-0.72542307568460451</v>
      </c>
      <c r="AH1489" s="3">
        <f t="shared" si="81"/>
        <v>1487</v>
      </c>
    </row>
    <row r="1490" spans="32:34" x14ac:dyDescent="0.2">
      <c r="AF1490" s="3">
        <f t="shared" si="79"/>
        <v>0.15959999999999874</v>
      </c>
      <c r="AG1490" s="3">
        <f t="shared" si="80"/>
        <v>-0.72563005153975524</v>
      </c>
      <c r="AH1490" s="3">
        <f t="shared" si="81"/>
        <v>1488</v>
      </c>
    </row>
    <row r="1491" spans="32:34" x14ac:dyDescent="0.2">
      <c r="AF1491" s="3">
        <f t="shared" si="79"/>
        <v>0.15969999999999873</v>
      </c>
      <c r="AG1491" s="3">
        <f t="shared" si="80"/>
        <v>-0.72583687215855475</v>
      </c>
      <c r="AH1491" s="3">
        <f t="shared" si="81"/>
        <v>1489</v>
      </c>
    </row>
    <row r="1492" spans="32:34" x14ac:dyDescent="0.2">
      <c r="AF1492" s="3">
        <f t="shared" si="79"/>
        <v>0.15979999999999872</v>
      </c>
      <c r="AG1492" s="3">
        <f t="shared" si="80"/>
        <v>-0.7260435376382085</v>
      </c>
      <c r="AH1492" s="3">
        <f t="shared" si="81"/>
        <v>1490</v>
      </c>
    </row>
    <row r="1493" spans="32:34" x14ac:dyDescent="0.2">
      <c r="AF1493" s="3">
        <f t="shared" si="79"/>
        <v>0.15989999999999871</v>
      </c>
      <c r="AG1493" s="3">
        <f t="shared" si="80"/>
        <v>-0.72625004807579963</v>
      </c>
      <c r="AH1493" s="3">
        <f t="shared" si="81"/>
        <v>1491</v>
      </c>
    </row>
    <row r="1494" spans="32:34" x14ac:dyDescent="0.2">
      <c r="AF1494" s="3">
        <f t="shared" si="79"/>
        <v>0.1599999999999987</v>
      </c>
      <c r="AG1494" s="3">
        <f t="shared" si="80"/>
        <v>-0.72645640356828978</v>
      </c>
      <c r="AH1494" s="3">
        <f t="shared" si="81"/>
        <v>1492</v>
      </c>
    </row>
    <row r="1495" spans="32:34" x14ac:dyDescent="0.2">
      <c r="AF1495" s="3">
        <f t="shared" si="79"/>
        <v>0.16009999999999869</v>
      </c>
      <c r="AG1495" s="3">
        <f t="shared" si="80"/>
        <v>-0.72666260421251994</v>
      </c>
      <c r="AH1495" s="3">
        <f t="shared" si="81"/>
        <v>1493</v>
      </c>
    </row>
    <row r="1496" spans="32:34" x14ac:dyDescent="0.2">
      <c r="AF1496" s="3">
        <f t="shared" si="79"/>
        <v>0.16019999999999868</v>
      </c>
      <c r="AG1496" s="3">
        <f t="shared" si="80"/>
        <v>-0.72686865010520973</v>
      </c>
      <c r="AH1496" s="3">
        <f t="shared" si="81"/>
        <v>1494</v>
      </c>
    </row>
    <row r="1497" spans="32:34" x14ac:dyDescent="0.2">
      <c r="AF1497" s="3">
        <f t="shared" si="79"/>
        <v>0.16029999999999867</v>
      </c>
      <c r="AG1497" s="3">
        <f t="shared" si="80"/>
        <v>-0.72707454134295812</v>
      </c>
      <c r="AH1497" s="3">
        <f t="shared" si="81"/>
        <v>1495</v>
      </c>
    </row>
    <row r="1498" spans="32:34" x14ac:dyDescent="0.2">
      <c r="AF1498" s="3">
        <f t="shared" si="79"/>
        <v>0.16039999999999865</v>
      </c>
      <c r="AG1498" s="3">
        <f t="shared" si="80"/>
        <v>-0.7272802780222436</v>
      </c>
      <c r="AH1498" s="3">
        <f t="shared" si="81"/>
        <v>1496</v>
      </c>
    </row>
    <row r="1499" spans="32:34" x14ac:dyDescent="0.2">
      <c r="AF1499" s="3">
        <f t="shared" si="79"/>
        <v>0.16049999999999864</v>
      </c>
      <c r="AG1499" s="3">
        <f t="shared" si="80"/>
        <v>-0.7274858602394243</v>
      </c>
      <c r="AH1499" s="3">
        <f t="shared" si="81"/>
        <v>1497</v>
      </c>
    </row>
    <row r="1500" spans="32:34" x14ac:dyDescent="0.2">
      <c r="AF1500" s="3">
        <f t="shared" si="79"/>
        <v>0.16059999999999863</v>
      </c>
      <c r="AG1500" s="3">
        <f t="shared" si="80"/>
        <v>-0.72769128809073846</v>
      </c>
      <c r="AH1500" s="3">
        <f t="shared" si="81"/>
        <v>1498</v>
      </c>
    </row>
    <row r="1501" spans="32:34" x14ac:dyDescent="0.2">
      <c r="AF1501" s="3">
        <f t="shared" si="79"/>
        <v>0.16069999999999862</v>
      </c>
      <c r="AG1501" s="3">
        <f t="shared" si="80"/>
        <v>-0.72789656167230399</v>
      </c>
      <c r="AH1501" s="3">
        <f t="shared" si="81"/>
        <v>1499</v>
      </c>
    </row>
    <row r="1502" spans="32:34" x14ac:dyDescent="0.2">
      <c r="AF1502" s="3">
        <f t="shared" si="79"/>
        <v>0.16079999999999861</v>
      </c>
      <c r="AG1502" s="3">
        <f t="shared" si="80"/>
        <v>-0.72810168108011974</v>
      </c>
      <c r="AH1502" s="3">
        <f t="shared" si="81"/>
        <v>1500</v>
      </c>
    </row>
    <row r="1503" spans="32:34" x14ac:dyDescent="0.2">
      <c r="AF1503" s="3">
        <f t="shared" si="79"/>
        <v>0.1608999999999986</v>
      </c>
      <c r="AG1503" s="3">
        <f t="shared" si="80"/>
        <v>-0.72830664641006493</v>
      </c>
      <c r="AH1503" s="3">
        <f t="shared" si="81"/>
        <v>1501</v>
      </c>
    </row>
    <row r="1504" spans="32:34" x14ac:dyDescent="0.2">
      <c r="AF1504" s="3">
        <f t="shared" ref="AF1504:AF1567" si="82">AF1503+0.0001</f>
        <v>0.16099999999999859</v>
      </c>
      <c r="AG1504" s="3">
        <f t="shared" si="80"/>
        <v>-0.72851145775789938</v>
      </c>
      <c r="AH1504" s="3">
        <f t="shared" si="81"/>
        <v>1502</v>
      </c>
    </row>
    <row r="1505" spans="32:34" x14ac:dyDescent="0.2">
      <c r="AF1505" s="3">
        <f t="shared" si="82"/>
        <v>0.16109999999999858</v>
      </c>
      <c r="AG1505" s="3">
        <f t="shared" si="80"/>
        <v>-0.72871611521926438</v>
      </c>
      <c r="AH1505" s="3">
        <f t="shared" si="81"/>
        <v>1503</v>
      </c>
    </row>
    <row r="1506" spans="32:34" x14ac:dyDescent="0.2">
      <c r="AF1506" s="3">
        <f t="shared" si="82"/>
        <v>0.16119999999999857</v>
      </c>
      <c r="AG1506" s="3">
        <f t="shared" si="80"/>
        <v>-0.72892061888968218</v>
      </c>
      <c r="AH1506" s="3">
        <f t="shared" si="81"/>
        <v>1504</v>
      </c>
    </row>
    <row r="1507" spans="32:34" x14ac:dyDescent="0.2">
      <c r="AF1507" s="3">
        <f t="shared" si="82"/>
        <v>0.16129999999999856</v>
      </c>
      <c r="AG1507" s="3">
        <f t="shared" si="80"/>
        <v>-0.72912496886455669</v>
      </c>
      <c r="AH1507" s="3">
        <f t="shared" si="81"/>
        <v>1505</v>
      </c>
    </row>
    <row r="1508" spans="32:34" x14ac:dyDescent="0.2">
      <c r="AF1508" s="3">
        <f t="shared" si="82"/>
        <v>0.16139999999999854</v>
      </c>
      <c r="AG1508" s="3">
        <f t="shared" si="80"/>
        <v>-0.72932916523917324</v>
      </c>
      <c r="AH1508" s="3">
        <f t="shared" si="81"/>
        <v>1506</v>
      </c>
    </row>
    <row r="1509" spans="32:34" x14ac:dyDescent="0.2">
      <c r="AF1509" s="3">
        <f t="shared" si="82"/>
        <v>0.16149999999999853</v>
      </c>
      <c r="AG1509" s="3">
        <f t="shared" si="80"/>
        <v>-0.72953320810869948</v>
      </c>
      <c r="AH1509" s="3">
        <f t="shared" si="81"/>
        <v>1507</v>
      </c>
    </row>
    <row r="1510" spans="32:34" x14ac:dyDescent="0.2">
      <c r="AF1510" s="3">
        <f t="shared" si="82"/>
        <v>0.16159999999999852</v>
      </c>
      <c r="AG1510" s="3">
        <f t="shared" si="80"/>
        <v>-0.72973709756818506</v>
      </c>
      <c r="AH1510" s="3">
        <f t="shared" si="81"/>
        <v>1508</v>
      </c>
    </row>
    <row r="1511" spans="32:34" x14ac:dyDescent="0.2">
      <c r="AF1511" s="3">
        <f t="shared" si="82"/>
        <v>0.16169999999999851</v>
      </c>
      <c r="AG1511" s="3">
        <f t="shared" si="80"/>
        <v>-0.7299408337125618</v>
      </c>
      <c r="AH1511" s="3">
        <f t="shared" si="81"/>
        <v>1509</v>
      </c>
    </row>
    <row r="1512" spans="32:34" x14ac:dyDescent="0.2">
      <c r="AF1512" s="3">
        <f t="shared" si="82"/>
        <v>0.1617999999999985</v>
      </c>
      <c r="AG1512" s="3">
        <f t="shared" si="80"/>
        <v>-0.7301444166366442</v>
      </c>
      <c r="AH1512" s="3">
        <f t="shared" si="81"/>
        <v>1510</v>
      </c>
    </row>
    <row r="1513" spans="32:34" x14ac:dyDescent="0.2">
      <c r="AF1513" s="3">
        <f t="shared" si="82"/>
        <v>0.16189999999999849</v>
      </c>
      <c r="AG1513" s="3">
        <f t="shared" si="80"/>
        <v>-0.73034784643512973</v>
      </c>
      <c r="AH1513" s="3">
        <f t="shared" si="81"/>
        <v>1511</v>
      </c>
    </row>
    <row r="1514" spans="32:34" x14ac:dyDescent="0.2">
      <c r="AF1514" s="3">
        <f t="shared" si="82"/>
        <v>0.16199999999999848</v>
      </c>
      <c r="AG1514" s="3">
        <f t="shared" si="80"/>
        <v>-0.73055112320259885</v>
      </c>
      <c r="AH1514" s="3">
        <f t="shared" si="81"/>
        <v>1512</v>
      </c>
    </row>
    <row r="1515" spans="32:34" x14ac:dyDescent="0.2">
      <c r="AF1515" s="3">
        <f t="shared" si="82"/>
        <v>0.16209999999999847</v>
      </c>
      <c r="AG1515" s="3">
        <f t="shared" si="80"/>
        <v>-0.73075424703351499</v>
      </c>
      <c r="AH1515" s="3">
        <f t="shared" si="81"/>
        <v>1513</v>
      </c>
    </row>
    <row r="1516" spans="32:34" x14ac:dyDescent="0.2">
      <c r="AF1516" s="3">
        <f t="shared" si="82"/>
        <v>0.16219999999999846</v>
      </c>
      <c r="AG1516" s="3">
        <f t="shared" si="80"/>
        <v>-0.73095721802222524</v>
      </c>
      <c r="AH1516" s="3">
        <f t="shared" si="81"/>
        <v>1514</v>
      </c>
    </row>
    <row r="1517" spans="32:34" x14ac:dyDescent="0.2">
      <c r="AF1517" s="3">
        <f t="shared" si="82"/>
        <v>0.16229999999999845</v>
      </c>
      <c r="AG1517" s="3">
        <f t="shared" si="80"/>
        <v>-0.73116003626296044</v>
      </c>
      <c r="AH1517" s="3">
        <f t="shared" si="81"/>
        <v>1515</v>
      </c>
    </row>
    <row r="1518" spans="32:34" x14ac:dyDescent="0.2">
      <c r="AF1518" s="3">
        <f t="shared" si="82"/>
        <v>0.16239999999999843</v>
      </c>
      <c r="AG1518" s="3">
        <f t="shared" si="80"/>
        <v>-0.73136270184983498</v>
      </c>
      <c r="AH1518" s="3">
        <f t="shared" si="81"/>
        <v>1516</v>
      </c>
    </row>
    <row r="1519" spans="32:34" x14ac:dyDescent="0.2">
      <c r="AF1519" s="3">
        <f t="shared" si="82"/>
        <v>0.16249999999999842</v>
      </c>
      <c r="AG1519" s="3">
        <f t="shared" si="80"/>
        <v>-0.73156521487684767</v>
      </c>
      <c r="AH1519" s="3">
        <f t="shared" si="81"/>
        <v>1517</v>
      </c>
    </row>
    <row r="1520" spans="32:34" x14ac:dyDescent="0.2">
      <c r="AF1520" s="3">
        <f t="shared" si="82"/>
        <v>0.16259999999999841</v>
      </c>
      <c r="AG1520" s="3">
        <f t="shared" si="80"/>
        <v>-0.73176757543788151</v>
      </c>
      <c r="AH1520" s="3">
        <f t="shared" si="81"/>
        <v>1518</v>
      </c>
    </row>
    <row r="1521" spans="32:34" x14ac:dyDescent="0.2">
      <c r="AF1521" s="3">
        <f t="shared" si="82"/>
        <v>0.1626999999999984</v>
      </c>
      <c r="AG1521" s="3">
        <f t="shared" si="80"/>
        <v>-0.73196978362670406</v>
      </c>
      <c r="AH1521" s="3">
        <f t="shared" si="81"/>
        <v>1519</v>
      </c>
    </row>
    <row r="1522" spans="32:34" x14ac:dyDescent="0.2">
      <c r="AF1522" s="3">
        <f t="shared" si="82"/>
        <v>0.16279999999999839</v>
      </c>
      <c r="AG1522" s="3">
        <f t="shared" si="80"/>
        <v>-0.73217183953696752</v>
      </c>
      <c r="AH1522" s="3">
        <f t="shared" si="81"/>
        <v>1520</v>
      </c>
    </row>
    <row r="1523" spans="32:34" x14ac:dyDescent="0.2">
      <c r="AF1523" s="3">
        <f t="shared" si="82"/>
        <v>0.16289999999999838</v>
      </c>
      <c r="AG1523" s="3">
        <f t="shared" si="80"/>
        <v>-0.73237374326220894</v>
      </c>
      <c r="AH1523" s="3">
        <f t="shared" si="81"/>
        <v>1521</v>
      </c>
    </row>
    <row r="1524" spans="32:34" x14ac:dyDescent="0.2">
      <c r="AF1524" s="3">
        <f t="shared" si="82"/>
        <v>0.16299999999999837</v>
      </c>
      <c r="AG1524" s="3">
        <f t="shared" si="80"/>
        <v>-0.73257549489585105</v>
      </c>
      <c r="AH1524" s="3">
        <f t="shared" si="81"/>
        <v>1522</v>
      </c>
    </row>
    <row r="1525" spans="32:34" x14ac:dyDescent="0.2">
      <c r="AF1525" s="3">
        <f t="shared" si="82"/>
        <v>0.16309999999999836</v>
      </c>
      <c r="AG1525" s="3">
        <f t="shared" si="80"/>
        <v>-0.73277709453120143</v>
      </c>
      <c r="AH1525" s="3">
        <f t="shared" si="81"/>
        <v>1523</v>
      </c>
    </row>
    <row r="1526" spans="32:34" x14ac:dyDescent="0.2">
      <c r="AF1526" s="3">
        <f t="shared" si="82"/>
        <v>0.16319999999999835</v>
      </c>
      <c r="AG1526" s="3">
        <f t="shared" si="80"/>
        <v>-0.73297854226145343</v>
      </c>
      <c r="AH1526" s="3">
        <f t="shared" si="81"/>
        <v>1524</v>
      </c>
    </row>
    <row r="1527" spans="32:34" x14ac:dyDescent="0.2">
      <c r="AF1527" s="3">
        <f t="shared" si="82"/>
        <v>0.16329999999999834</v>
      </c>
      <c r="AG1527" s="3">
        <f t="shared" si="80"/>
        <v>-0.73317983817968613</v>
      </c>
      <c r="AH1527" s="3">
        <f t="shared" si="81"/>
        <v>1525</v>
      </c>
    </row>
    <row r="1528" spans="32:34" x14ac:dyDescent="0.2">
      <c r="AF1528" s="3">
        <f t="shared" si="82"/>
        <v>0.16339999999999832</v>
      </c>
      <c r="AG1528" s="3">
        <f t="shared" si="80"/>
        <v>-0.73338098237886462</v>
      </c>
      <c r="AH1528" s="3">
        <f t="shared" si="81"/>
        <v>1526</v>
      </c>
    </row>
    <row r="1529" spans="32:34" x14ac:dyDescent="0.2">
      <c r="AF1529" s="3">
        <f t="shared" si="82"/>
        <v>0.16349999999999831</v>
      </c>
      <c r="AG1529" s="3">
        <f t="shared" si="80"/>
        <v>-0.73358197495184008</v>
      </c>
      <c r="AH1529" s="3">
        <f t="shared" si="81"/>
        <v>1527</v>
      </c>
    </row>
    <row r="1530" spans="32:34" x14ac:dyDescent="0.2">
      <c r="AF1530" s="3">
        <f t="shared" si="82"/>
        <v>0.1635999999999983</v>
      </c>
      <c r="AG1530" s="3">
        <f t="shared" si="80"/>
        <v>-0.73378281599135065</v>
      </c>
      <c r="AH1530" s="3">
        <f t="shared" si="81"/>
        <v>1528</v>
      </c>
    </row>
    <row r="1531" spans="32:34" x14ac:dyDescent="0.2">
      <c r="AF1531" s="3">
        <f t="shared" si="82"/>
        <v>0.16369999999999829</v>
      </c>
      <c r="AG1531" s="3">
        <f t="shared" si="80"/>
        <v>-0.73398350559002046</v>
      </c>
      <c r="AH1531" s="3">
        <f t="shared" si="81"/>
        <v>1529</v>
      </c>
    </row>
    <row r="1532" spans="32:34" x14ac:dyDescent="0.2">
      <c r="AF1532" s="3">
        <f t="shared" si="82"/>
        <v>0.16379999999999828</v>
      </c>
      <c r="AG1532" s="3">
        <f t="shared" si="80"/>
        <v>-0.73418404384036073</v>
      </c>
      <c r="AH1532" s="3">
        <f t="shared" si="81"/>
        <v>1530</v>
      </c>
    </row>
    <row r="1533" spans="32:34" x14ac:dyDescent="0.2">
      <c r="AF1533" s="3">
        <f t="shared" si="82"/>
        <v>0.16389999999999827</v>
      </c>
      <c r="AG1533" s="3">
        <f t="shared" si="80"/>
        <v>-0.73438443083476967</v>
      </c>
      <c r="AH1533" s="3">
        <f t="shared" si="81"/>
        <v>1531</v>
      </c>
    </row>
    <row r="1534" spans="32:34" x14ac:dyDescent="0.2">
      <c r="AF1534" s="3">
        <f t="shared" si="82"/>
        <v>0.16399999999999826</v>
      </c>
      <c r="AG1534" s="3">
        <f t="shared" si="80"/>
        <v>-0.73458466666553301</v>
      </c>
      <c r="AH1534" s="3">
        <f t="shared" si="81"/>
        <v>1532</v>
      </c>
    </row>
    <row r="1535" spans="32:34" x14ac:dyDescent="0.2">
      <c r="AF1535" s="3">
        <f t="shared" si="82"/>
        <v>0.16409999999999825</v>
      </c>
      <c r="AG1535" s="3">
        <f t="shared" si="80"/>
        <v>-0.73478475142482347</v>
      </c>
      <c r="AH1535" s="3">
        <f t="shared" si="81"/>
        <v>1533</v>
      </c>
    </row>
    <row r="1536" spans="32:34" x14ac:dyDescent="0.2">
      <c r="AF1536" s="3">
        <f t="shared" si="82"/>
        <v>0.16419999999999824</v>
      </c>
      <c r="AG1536" s="3">
        <f t="shared" si="80"/>
        <v>-0.73498468520470184</v>
      </c>
      <c r="AH1536" s="3">
        <f t="shared" si="81"/>
        <v>1534</v>
      </c>
    </row>
    <row r="1537" spans="32:34" x14ac:dyDescent="0.2">
      <c r="AF1537" s="3">
        <f t="shared" si="82"/>
        <v>0.16429999999999823</v>
      </c>
      <c r="AG1537" s="3">
        <f t="shared" si="80"/>
        <v>-0.73518446809711657</v>
      </c>
      <c r="AH1537" s="3">
        <f t="shared" si="81"/>
        <v>1535</v>
      </c>
    </row>
    <row r="1538" spans="32:34" x14ac:dyDescent="0.2">
      <c r="AF1538" s="3">
        <f t="shared" si="82"/>
        <v>0.16439999999999821</v>
      </c>
      <c r="AG1538" s="3">
        <f t="shared" si="80"/>
        <v>-0.73538410019390421</v>
      </c>
      <c r="AH1538" s="3">
        <f t="shared" si="81"/>
        <v>1536</v>
      </c>
    </row>
    <row r="1539" spans="32:34" x14ac:dyDescent="0.2">
      <c r="AF1539" s="3">
        <f t="shared" si="82"/>
        <v>0.1644999999999982</v>
      </c>
      <c r="AG1539" s="3">
        <f t="shared" ref="AG1539:AG1602" si="83">RT0*AF1539*LN(AF1539)</f>
        <v>-0.73558358158678949</v>
      </c>
      <c r="AH1539" s="3">
        <f t="shared" si="81"/>
        <v>1537</v>
      </c>
    </row>
    <row r="1540" spans="32:34" x14ac:dyDescent="0.2">
      <c r="AF1540" s="3">
        <f t="shared" si="82"/>
        <v>0.16459999999999819</v>
      </c>
      <c r="AG1540" s="3">
        <f t="shared" si="83"/>
        <v>-0.73578291236738591</v>
      </c>
      <c r="AH1540" s="3">
        <f t="shared" si="81"/>
        <v>1538</v>
      </c>
    </row>
    <row r="1541" spans="32:34" x14ac:dyDescent="0.2">
      <c r="AF1541" s="3">
        <f t="shared" si="82"/>
        <v>0.16469999999999818</v>
      </c>
      <c r="AG1541" s="3">
        <f t="shared" si="83"/>
        <v>-0.73598209262719549</v>
      </c>
      <c r="AH1541" s="3">
        <f t="shared" ref="AH1541:AH1604" si="84">AH1540+1</f>
        <v>1539</v>
      </c>
    </row>
    <row r="1542" spans="32:34" x14ac:dyDescent="0.2">
      <c r="AF1542" s="3">
        <f t="shared" si="82"/>
        <v>0.16479999999999817</v>
      </c>
      <c r="AG1542" s="3">
        <f t="shared" si="83"/>
        <v>-0.73618112245760903</v>
      </c>
      <c r="AH1542" s="3">
        <f t="shared" si="84"/>
        <v>1540</v>
      </c>
    </row>
    <row r="1543" spans="32:34" x14ac:dyDescent="0.2">
      <c r="AF1543" s="3">
        <f t="shared" si="82"/>
        <v>0.16489999999999816</v>
      </c>
      <c r="AG1543" s="3">
        <f t="shared" si="83"/>
        <v>-0.7363800019499066</v>
      </c>
      <c r="AH1543" s="3">
        <f t="shared" si="84"/>
        <v>1541</v>
      </c>
    </row>
    <row r="1544" spans="32:34" x14ac:dyDescent="0.2">
      <c r="AF1544" s="3">
        <f t="shared" si="82"/>
        <v>0.16499999999999815</v>
      </c>
      <c r="AG1544" s="3">
        <f t="shared" si="83"/>
        <v>-0.73657873119525741</v>
      </c>
      <c r="AH1544" s="3">
        <f t="shared" si="84"/>
        <v>1542</v>
      </c>
    </row>
    <row r="1545" spans="32:34" x14ac:dyDescent="0.2">
      <c r="AF1545" s="3">
        <f t="shared" si="82"/>
        <v>0.16509999999999814</v>
      </c>
      <c r="AG1545" s="3">
        <f t="shared" si="83"/>
        <v>-0.73677731028472027</v>
      </c>
      <c r="AH1545" s="3">
        <f t="shared" si="84"/>
        <v>1543</v>
      </c>
    </row>
    <row r="1546" spans="32:34" x14ac:dyDescent="0.2">
      <c r="AF1546" s="3">
        <f t="shared" si="82"/>
        <v>0.16519999999999813</v>
      </c>
      <c r="AG1546" s="3">
        <f t="shared" si="83"/>
        <v>-0.73697573930924354</v>
      </c>
      <c r="AH1546" s="3">
        <f t="shared" si="84"/>
        <v>1544</v>
      </c>
    </row>
    <row r="1547" spans="32:34" x14ac:dyDescent="0.2">
      <c r="AF1547" s="3">
        <f t="shared" si="82"/>
        <v>0.16529999999999812</v>
      </c>
      <c r="AG1547" s="3">
        <f t="shared" si="83"/>
        <v>-0.73717401835966556</v>
      </c>
      <c r="AH1547" s="3">
        <f t="shared" si="84"/>
        <v>1545</v>
      </c>
    </row>
    <row r="1548" spans="32:34" x14ac:dyDescent="0.2">
      <c r="AF1548" s="3">
        <f t="shared" si="82"/>
        <v>0.1653999999999981</v>
      </c>
      <c r="AG1548" s="3">
        <f t="shared" si="83"/>
        <v>-0.73737214752671498</v>
      </c>
      <c r="AH1548" s="3">
        <f t="shared" si="84"/>
        <v>1546</v>
      </c>
    </row>
    <row r="1549" spans="32:34" x14ac:dyDescent="0.2">
      <c r="AF1549" s="3">
        <f t="shared" si="82"/>
        <v>0.16549999999999809</v>
      </c>
      <c r="AG1549" s="3">
        <f t="shared" si="83"/>
        <v>-0.73757012690101043</v>
      </c>
      <c r="AH1549" s="3">
        <f t="shared" si="84"/>
        <v>1547</v>
      </c>
    </row>
    <row r="1550" spans="32:34" x14ac:dyDescent="0.2">
      <c r="AF1550" s="3">
        <f t="shared" si="82"/>
        <v>0.16559999999999808</v>
      </c>
      <c r="AG1550" s="3">
        <f t="shared" si="83"/>
        <v>-0.73776795657306105</v>
      </c>
      <c r="AH1550" s="3">
        <f t="shared" si="84"/>
        <v>1548</v>
      </c>
    </row>
    <row r="1551" spans="32:34" x14ac:dyDescent="0.2">
      <c r="AF1551" s="3">
        <f t="shared" si="82"/>
        <v>0.16569999999999807</v>
      </c>
      <c r="AG1551" s="3">
        <f t="shared" si="83"/>
        <v>-0.73796563663326686</v>
      </c>
      <c r="AH1551" s="3">
        <f t="shared" si="84"/>
        <v>1549</v>
      </c>
    </row>
    <row r="1552" spans="32:34" x14ac:dyDescent="0.2">
      <c r="AF1552" s="3">
        <f t="shared" si="82"/>
        <v>0.16579999999999806</v>
      </c>
      <c r="AG1552" s="3">
        <f t="shared" si="83"/>
        <v>-0.73816316717191865</v>
      </c>
      <c r="AH1552" s="3">
        <f t="shared" si="84"/>
        <v>1550</v>
      </c>
    </row>
    <row r="1553" spans="32:34" x14ac:dyDescent="0.2">
      <c r="AF1553" s="3">
        <f t="shared" si="82"/>
        <v>0.16589999999999805</v>
      </c>
      <c r="AG1553" s="3">
        <f t="shared" si="83"/>
        <v>-0.73836054827919828</v>
      </c>
      <c r="AH1553" s="3">
        <f t="shared" si="84"/>
        <v>1551</v>
      </c>
    </row>
    <row r="1554" spans="32:34" x14ac:dyDescent="0.2">
      <c r="AF1554" s="3">
        <f t="shared" si="82"/>
        <v>0.16599999999999804</v>
      </c>
      <c r="AG1554" s="3">
        <f t="shared" si="83"/>
        <v>-0.73855778004517891</v>
      </c>
      <c r="AH1554" s="3">
        <f t="shared" si="84"/>
        <v>1552</v>
      </c>
    </row>
    <row r="1555" spans="32:34" x14ac:dyDescent="0.2">
      <c r="AF1555" s="3">
        <f t="shared" si="82"/>
        <v>0.16609999999999803</v>
      </c>
      <c r="AG1555" s="3">
        <f t="shared" si="83"/>
        <v>-0.73875486255982525</v>
      </c>
      <c r="AH1555" s="3">
        <f t="shared" si="84"/>
        <v>1553</v>
      </c>
    </row>
    <row r="1556" spans="32:34" x14ac:dyDescent="0.2">
      <c r="AF1556" s="3">
        <f t="shared" si="82"/>
        <v>0.16619999999999802</v>
      </c>
      <c r="AG1556" s="3">
        <f t="shared" si="83"/>
        <v>-0.73895179591299354</v>
      </c>
      <c r="AH1556" s="3">
        <f t="shared" si="84"/>
        <v>1554</v>
      </c>
    </row>
    <row r="1557" spans="32:34" x14ac:dyDescent="0.2">
      <c r="AF1557" s="3">
        <f t="shared" si="82"/>
        <v>0.166299999999998</v>
      </c>
      <c r="AG1557" s="3">
        <f t="shared" si="83"/>
        <v>-0.73914858019443197</v>
      </c>
      <c r="AH1557" s="3">
        <f t="shared" si="84"/>
        <v>1555</v>
      </c>
    </row>
    <row r="1558" spans="32:34" x14ac:dyDescent="0.2">
      <c r="AF1558" s="3">
        <f t="shared" si="82"/>
        <v>0.16639999999999799</v>
      </c>
      <c r="AG1558" s="3">
        <f t="shared" si="83"/>
        <v>-0.73934521549378096</v>
      </c>
      <c r="AH1558" s="3">
        <f t="shared" si="84"/>
        <v>1556</v>
      </c>
    </row>
    <row r="1559" spans="32:34" x14ac:dyDescent="0.2">
      <c r="AF1559" s="3">
        <f t="shared" si="82"/>
        <v>0.16649999999999798</v>
      </c>
      <c r="AG1559" s="3">
        <f t="shared" si="83"/>
        <v>-0.73954170190057289</v>
      </c>
      <c r="AH1559" s="3">
        <f t="shared" si="84"/>
        <v>1557</v>
      </c>
    </row>
    <row r="1560" spans="32:34" x14ac:dyDescent="0.2">
      <c r="AF1560" s="3">
        <f t="shared" si="82"/>
        <v>0.16659999999999797</v>
      </c>
      <c r="AG1560" s="3">
        <f t="shared" si="83"/>
        <v>-0.73973803950423267</v>
      </c>
      <c r="AH1560" s="3">
        <f t="shared" si="84"/>
        <v>1558</v>
      </c>
    </row>
    <row r="1561" spans="32:34" x14ac:dyDescent="0.2">
      <c r="AF1561" s="3">
        <f t="shared" si="82"/>
        <v>0.16669999999999796</v>
      </c>
      <c r="AG1561" s="3">
        <f t="shared" si="83"/>
        <v>-0.73993422839407808</v>
      </c>
      <c r="AH1561" s="3">
        <f t="shared" si="84"/>
        <v>1559</v>
      </c>
    </row>
    <row r="1562" spans="32:34" x14ac:dyDescent="0.2">
      <c r="AF1562" s="3">
        <f t="shared" si="82"/>
        <v>0.16679999999999795</v>
      </c>
      <c r="AG1562" s="3">
        <f t="shared" si="83"/>
        <v>-0.74013026865931941</v>
      </c>
      <c r="AH1562" s="3">
        <f t="shared" si="84"/>
        <v>1560</v>
      </c>
    </row>
    <row r="1563" spans="32:34" x14ac:dyDescent="0.2">
      <c r="AF1563" s="3">
        <f t="shared" si="82"/>
        <v>0.16689999999999794</v>
      </c>
      <c r="AG1563" s="3">
        <f t="shared" si="83"/>
        <v>-0.74032616038906029</v>
      </c>
      <c r="AH1563" s="3">
        <f t="shared" si="84"/>
        <v>1561</v>
      </c>
    </row>
    <row r="1564" spans="32:34" x14ac:dyDescent="0.2">
      <c r="AF1564" s="3">
        <f t="shared" si="82"/>
        <v>0.16699999999999793</v>
      </c>
      <c r="AG1564" s="3">
        <f t="shared" si="83"/>
        <v>-0.74052190367229742</v>
      </c>
      <c r="AH1564" s="3">
        <f t="shared" si="84"/>
        <v>1562</v>
      </c>
    </row>
    <row r="1565" spans="32:34" x14ac:dyDescent="0.2">
      <c r="AF1565" s="3">
        <f t="shared" si="82"/>
        <v>0.16709999999999792</v>
      </c>
      <c r="AG1565" s="3">
        <f t="shared" si="83"/>
        <v>-0.74071749859792091</v>
      </c>
      <c r="AH1565" s="3">
        <f t="shared" si="84"/>
        <v>1563</v>
      </c>
    </row>
    <row r="1566" spans="32:34" x14ac:dyDescent="0.2">
      <c r="AF1566" s="3">
        <f t="shared" si="82"/>
        <v>0.16719999999999791</v>
      </c>
      <c r="AG1566" s="3">
        <f t="shared" si="83"/>
        <v>-0.74091294525471441</v>
      </c>
      <c r="AH1566" s="3">
        <f t="shared" si="84"/>
        <v>1564</v>
      </c>
    </row>
    <row r="1567" spans="32:34" x14ac:dyDescent="0.2">
      <c r="AF1567" s="3">
        <f t="shared" si="82"/>
        <v>0.16729999999999789</v>
      </c>
      <c r="AG1567" s="3">
        <f t="shared" si="83"/>
        <v>-0.74110824373135553</v>
      </c>
      <c r="AH1567" s="3">
        <f t="shared" si="84"/>
        <v>1565</v>
      </c>
    </row>
    <row r="1568" spans="32:34" x14ac:dyDescent="0.2">
      <c r="AF1568" s="3">
        <f t="shared" ref="AF1568:AF1631" si="85">AF1567+0.0001</f>
        <v>0.16739999999999788</v>
      </c>
      <c r="AG1568" s="3">
        <f t="shared" si="83"/>
        <v>-0.74130339411641588</v>
      </c>
      <c r="AH1568" s="3">
        <f t="shared" si="84"/>
        <v>1566</v>
      </c>
    </row>
    <row r="1569" spans="32:34" x14ac:dyDescent="0.2">
      <c r="AF1569" s="3">
        <f t="shared" si="85"/>
        <v>0.16749999999999787</v>
      </c>
      <c r="AG1569" s="3">
        <f t="shared" si="83"/>
        <v>-0.74149839649836102</v>
      </c>
      <c r="AH1569" s="3">
        <f t="shared" si="84"/>
        <v>1567</v>
      </c>
    </row>
    <row r="1570" spans="32:34" x14ac:dyDescent="0.2">
      <c r="AF1570" s="3">
        <f t="shared" si="85"/>
        <v>0.16759999999999786</v>
      </c>
      <c r="AG1570" s="3">
        <f t="shared" si="83"/>
        <v>-0.74169325096555117</v>
      </c>
      <c r="AH1570" s="3">
        <f t="shared" si="84"/>
        <v>1568</v>
      </c>
    </row>
    <row r="1571" spans="32:34" x14ac:dyDescent="0.2">
      <c r="AF1571" s="3">
        <f t="shared" si="85"/>
        <v>0.16769999999999785</v>
      </c>
      <c r="AG1571" s="3">
        <f t="shared" si="83"/>
        <v>-0.74188795760624082</v>
      </c>
      <c r="AH1571" s="3">
        <f t="shared" si="84"/>
        <v>1569</v>
      </c>
    </row>
    <row r="1572" spans="32:34" x14ac:dyDescent="0.2">
      <c r="AF1572" s="3">
        <f t="shared" si="85"/>
        <v>0.16779999999999784</v>
      </c>
      <c r="AG1572" s="3">
        <f t="shared" si="83"/>
        <v>-0.74208251650857937</v>
      </c>
      <c r="AH1572" s="3">
        <f t="shared" si="84"/>
        <v>1570</v>
      </c>
    </row>
    <row r="1573" spans="32:34" x14ac:dyDescent="0.2">
      <c r="AF1573" s="3">
        <f t="shared" si="85"/>
        <v>0.16789999999999783</v>
      </c>
      <c r="AG1573" s="3">
        <f t="shared" si="83"/>
        <v>-0.74227692776061138</v>
      </c>
      <c r="AH1573" s="3">
        <f t="shared" si="84"/>
        <v>1571</v>
      </c>
    </row>
    <row r="1574" spans="32:34" x14ac:dyDescent="0.2">
      <c r="AF1574" s="3">
        <f t="shared" si="85"/>
        <v>0.16799999999999782</v>
      </c>
      <c r="AG1574" s="3">
        <f t="shared" si="83"/>
        <v>-0.74247119145027607</v>
      </c>
      <c r="AH1574" s="3">
        <f t="shared" si="84"/>
        <v>1572</v>
      </c>
    </row>
    <row r="1575" spans="32:34" x14ac:dyDescent="0.2">
      <c r="AF1575" s="3">
        <f t="shared" si="85"/>
        <v>0.16809999999999781</v>
      </c>
      <c r="AG1575" s="3">
        <f t="shared" si="83"/>
        <v>-0.74266530766540817</v>
      </c>
      <c r="AH1575" s="3">
        <f t="shared" si="84"/>
        <v>1573</v>
      </c>
    </row>
    <row r="1576" spans="32:34" x14ac:dyDescent="0.2">
      <c r="AF1576" s="3">
        <f t="shared" si="85"/>
        <v>0.1681999999999978</v>
      </c>
      <c r="AG1576" s="3">
        <f t="shared" si="83"/>
        <v>-0.74285927649373817</v>
      </c>
      <c r="AH1576" s="3">
        <f t="shared" si="84"/>
        <v>1574</v>
      </c>
    </row>
    <row r="1577" spans="32:34" x14ac:dyDescent="0.2">
      <c r="AF1577" s="3">
        <f t="shared" si="85"/>
        <v>0.16829999999999778</v>
      </c>
      <c r="AG1577" s="3">
        <f t="shared" si="83"/>
        <v>-0.74305309802289166</v>
      </c>
      <c r="AH1577" s="3">
        <f t="shared" si="84"/>
        <v>1575</v>
      </c>
    </row>
    <row r="1578" spans="32:34" x14ac:dyDescent="0.2">
      <c r="AF1578" s="3">
        <f t="shared" si="85"/>
        <v>0.16839999999999777</v>
      </c>
      <c r="AG1578" s="3">
        <f t="shared" si="83"/>
        <v>-0.74324677234039072</v>
      </c>
      <c r="AH1578" s="3">
        <f t="shared" si="84"/>
        <v>1576</v>
      </c>
    </row>
    <row r="1579" spans="32:34" x14ac:dyDescent="0.2">
      <c r="AF1579" s="3">
        <f t="shared" si="85"/>
        <v>0.16849999999999776</v>
      </c>
      <c r="AG1579" s="3">
        <f t="shared" si="83"/>
        <v>-0.74344029953365309</v>
      </c>
      <c r="AH1579" s="3">
        <f t="shared" si="84"/>
        <v>1577</v>
      </c>
    </row>
    <row r="1580" spans="32:34" x14ac:dyDescent="0.2">
      <c r="AF1580" s="3">
        <f t="shared" si="85"/>
        <v>0.16859999999999775</v>
      </c>
      <c r="AG1580" s="3">
        <f t="shared" si="83"/>
        <v>-0.74363367968999283</v>
      </c>
      <c r="AH1580" s="3">
        <f t="shared" si="84"/>
        <v>1578</v>
      </c>
    </row>
    <row r="1581" spans="32:34" x14ac:dyDescent="0.2">
      <c r="AF1581" s="3">
        <f t="shared" si="85"/>
        <v>0.16869999999999774</v>
      </c>
      <c r="AG1581" s="3">
        <f t="shared" si="83"/>
        <v>-0.74382691289662051</v>
      </c>
      <c r="AH1581" s="3">
        <f t="shared" si="84"/>
        <v>1579</v>
      </c>
    </row>
    <row r="1582" spans="32:34" x14ac:dyDescent="0.2">
      <c r="AF1582" s="3">
        <f t="shared" si="85"/>
        <v>0.16879999999999773</v>
      </c>
      <c r="AG1582" s="3">
        <f t="shared" si="83"/>
        <v>-0.74401999924064344</v>
      </c>
      <c r="AH1582" s="3">
        <f t="shared" si="84"/>
        <v>1580</v>
      </c>
    </row>
    <row r="1583" spans="32:34" x14ac:dyDescent="0.2">
      <c r="AF1583" s="3">
        <f t="shared" si="85"/>
        <v>0.16889999999999772</v>
      </c>
      <c r="AG1583" s="3">
        <f t="shared" si="83"/>
        <v>-0.74421293880906514</v>
      </c>
      <c r="AH1583" s="3">
        <f t="shared" si="84"/>
        <v>1581</v>
      </c>
    </row>
    <row r="1584" spans="32:34" x14ac:dyDescent="0.2">
      <c r="AF1584" s="3">
        <f t="shared" si="85"/>
        <v>0.16899999999999771</v>
      </c>
      <c r="AG1584" s="3">
        <f t="shared" si="83"/>
        <v>-0.74440573168878676</v>
      </c>
      <c r="AH1584" s="3">
        <f t="shared" si="84"/>
        <v>1582</v>
      </c>
    </row>
    <row r="1585" spans="32:34" x14ac:dyDescent="0.2">
      <c r="AF1585" s="3">
        <f t="shared" si="85"/>
        <v>0.1690999999999977</v>
      </c>
      <c r="AG1585" s="3">
        <f t="shared" si="83"/>
        <v>-0.74459837796660644</v>
      </c>
      <c r="AH1585" s="3">
        <f t="shared" si="84"/>
        <v>1583</v>
      </c>
    </row>
    <row r="1586" spans="32:34" x14ac:dyDescent="0.2">
      <c r="AF1586" s="3">
        <f t="shared" si="85"/>
        <v>0.16919999999999769</v>
      </c>
      <c r="AG1586" s="3">
        <f t="shared" si="83"/>
        <v>-0.74479087772921948</v>
      </c>
      <c r="AH1586" s="3">
        <f t="shared" si="84"/>
        <v>1584</v>
      </c>
    </row>
    <row r="1587" spans="32:34" x14ac:dyDescent="0.2">
      <c r="AF1587" s="3">
        <f t="shared" si="85"/>
        <v>0.16929999999999767</v>
      </c>
      <c r="AG1587" s="3">
        <f t="shared" si="83"/>
        <v>-0.74498323106321873</v>
      </c>
      <c r="AH1587" s="3">
        <f t="shared" si="84"/>
        <v>1585</v>
      </c>
    </row>
    <row r="1588" spans="32:34" x14ac:dyDescent="0.2">
      <c r="AF1588" s="3">
        <f t="shared" si="85"/>
        <v>0.16939999999999766</v>
      </c>
      <c r="AG1588" s="3">
        <f t="shared" si="83"/>
        <v>-0.74517543805509479</v>
      </c>
      <c r="AH1588" s="3">
        <f t="shared" si="84"/>
        <v>1586</v>
      </c>
    </row>
    <row r="1589" spans="32:34" x14ac:dyDescent="0.2">
      <c r="AF1589" s="3">
        <f t="shared" si="85"/>
        <v>0.16949999999999765</v>
      </c>
      <c r="AG1589" s="3">
        <f t="shared" si="83"/>
        <v>-0.74536749879123643</v>
      </c>
      <c r="AH1589" s="3">
        <f t="shared" si="84"/>
        <v>1587</v>
      </c>
    </row>
    <row r="1590" spans="32:34" x14ac:dyDescent="0.2">
      <c r="AF1590" s="3">
        <f t="shared" si="85"/>
        <v>0.16959999999999764</v>
      </c>
      <c r="AG1590" s="3">
        <f t="shared" si="83"/>
        <v>-0.74555941335792997</v>
      </c>
      <c r="AH1590" s="3">
        <f t="shared" si="84"/>
        <v>1588</v>
      </c>
    </row>
    <row r="1591" spans="32:34" x14ac:dyDescent="0.2">
      <c r="AF1591" s="3">
        <f t="shared" si="85"/>
        <v>0.16969999999999763</v>
      </c>
      <c r="AG1591" s="3">
        <f t="shared" si="83"/>
        <v>-0.74575118184136036</v>
      </c>
      <c r="AH1591" s="3">
        <f t="shared" si="84"/>
        <v>1589</v>
      </c>
    </row>
    <row r="1592" spans="32:34" x14ac:dyDescent="0.2">
      <c r="AF1592" s="3">
        <f t="shared" si="85"/>
        <v>0.16979999999999762</v>
      </c>
      <c r="AG1592" s="3">
        <f t="shared" si="83"/>
        <v>-0.74594280432761073</v>
      </c>
      <c r="AH1592" s="3">
        <f t="shared" si="84"/>
        <v>1590</v>
      </c>
    </row>
    <row r="1593" spans="32:34" x14ac:dyDescent="0.2">
      <c r="AF1593" s="3">
        <f t="shared" si="85"/>
        <v>0.16989999999999761</v>
      </c>
      <c r="AG1593" s="3">
        <f t="shared" si="83"/>
        <v>-0.74613428090266321</v>
      </c>
      <c r="AH1593" s="3">
        <f t="shared" si="84"/>
        <v>1591</v>
      </c>
    </row>
    <row r="1594" spans="32:34" x14ac:dyDescent="0.2">
      <c r="AF1594" s="3">
        <f t="shared" si="85"/>
        <v>0.1699999999999976</v>
      </c>
      <c r="AG1594" s="3">
        <f t="shared" si="83"/>
        <v>-0.74632561165239819</v>
      </c>
      <c r="AH1594" s="3">
        <f t="shared" si="84"/>
        <v>1592</v>
      </c>
    </row>
    <row r="1595" spans="32:34" x14ac:dyDescent="0.2">
      <c r="AF1595" s="3">
        <f t="shared" si="85"/>
        <v>0.17009999999999759</v>
      </c>
      <c r="AG1595" s="3">
        <f t="shared" si="83"/>
        <v>-0.74651679666259541</v>
      </c>
      <c r="AH1595" s="3">
        <f t="shared" si="84"/>
        <v>1593</v>
      </c>
    </row>
    <row r="1596" spans="32:34" x14ac:dyDescent="0.2">
      <c r="AF1596" s="3">
        <f t="shared" si="85"/>
        <v>0.17019999999999758</v>
      </c>
      <c r="AG1596" s="3">
        <f t="shared" si="83"/>
        <v>-0.74670783601893342</v>
      </c>
      <c r="AH1596" s="3">
        <f t="shared" si="84"/>
        <v>1594</v>
      </c>
    </row>
    <row r="1597" spans="32:34" x14ac:dyDescent="0.2">
      <c r="AF1597" s="3">
        <f t="shared" si="85"/>
        <v>0.17029999999999756</v>
      </c>
      <c r="AG1597" s="3">
        <f t="shared" si="83"/>
        <v>-0.74689872980699057</v>
      </c>
      <c r="AH1597" s="3">
        <f t="shared" si="84"/>
        <v>1595</v>
      </c>
    </row>
    <row r="1598" spans="32:34" x14ac:dyDescent="0.2">
      <c r="AF1598" s="3">
        <f t="shared" si="85"/>
        <v>0.17039999999999755</v>
      </c>
      <c r="AG1598" s="3">
        <f t="shared" si="83"/>
        <v>-0.74708947811224424</v>
      </c>
      <c r="AH1598" s="3">
        <f t="shared" si="84"/>
        <v>1596</v>
      </c>
    </row>
    <row r="1599" spans="32:34" x14ac:dyDescent="0.2">
      <c r="AF1599" s="3">
        <f t="shared" si="85"/>
        <v>0.17049999999999754</v>
      </c>
      <c r="AG1599" s="3">
        <f t="shared" si="83"/>
        <v>-0.7472800810200716</v>
      </c>
      <c r="AH1599" s="3">
        <f t="shared" si="84"/>
        <v>1597</v>
      </c>
    </row>
    <row r="1600" spans="32:34" x14ac:dyDescent="0.2">
      <c r="AF1600" s="3">
        <f t="shared" si="85"/>
        <v>0.17059999999999753</v>
      </c>
      <c r="AG1600" s="3">
        <f t="shared" si="83"/>
        <v>-0.74747053861574997</v>
      </c>
      <c r="AH1600" s="3">
        <f t="shared" si="84"/>
        <v>1598</v>
      </c>
    </row>
    <row r="1601" spans="32:34" x14ac:dyDescent="0.2">
      <c r="AF1601" s="3">
        <f t="shared" si="85"/>
        <v>0.17069999999999752</v>
      </c>
      <c r="AG1601" s="3">
        <f t="shared" si="83"/>
        <v>-0.74766085098445645</v>
      </c>
      <c r="AH1601" s="3">
        <f t="shared" si="84"/>
        <v>1599</v>
      </c>
    </row>
    <row r="1602" spans="32:34" x14ac:dyDescent="0.2">
      <c r="AF1602" s="3">
        <f t="shared" si="85"/>
        <v>0.17079999999999751</v>
      </c>
      <c r="AG1602" s="3">
        <f t="shared" si="83"/>
        <v>-0.7478510182112682</v>
      </c>
      <c r="AH1602" s="3">
        <f t="shared" si="84"/>
        <v>1600</v>
      </c>
    </row>
    <row r="1603" spans="32:34" x14ac:dyDescent="0.2">
      <c r="AF1603" s="3">
        <f t="shared" si="85"/>
        <v>0.1708999999999975</v>
      </c>
      <c r="AG1603" s="3">
        <f t="shared" ref="AG1603:AG1666" si="86">RT0*AF1603*LN(AF1603)</f>
        <v>-0.74804104038116304</v>
      </c>
      <c r="AH1603" s="3">
        <f t="shared" si="84"/>
        <v>1601</v>
      </c>
    </row>
    <row r="1604" spans="32:34" x14ac:dyDescent="0.2">
      <c r="AF1604" s="3">
        <f t="shared" si="85"/>
        <v>0.17099999999999749</v>
      </c>
      <c r="AG1604" s="3">
        <f t="shared" si="86"/>
        <v>-0.74823091757901905</v>
      </c>
      <c r="AH1604" s="3">
        <f t="shared" si="84"/>
        <v>1602</v>
      </c>
    </row>
    <row r="1605" spans="32:34" x14ac:dyDescent="0.2">
      <c r="AF1605" s="3">
        <f t="shared" si="85"/>
        <v>0.17109999999999748</v>
      </c>
      <c r="AG1605" s="3">
        <f t="shared" si="86"/>
        <v>-0.74842064988961543</v>
      </c>
      <c r="AH1605" s="3">
        <f t="shared" ref="AH1605:AH1668" si="87">AH1604+1</f>
        <v>1603</v>
      </c>
    </row>
    <row r="1606" spans="32:34" x14ac:dyDescent="0.2">
      <c r="AF1606" s="3">
        <f t="shared" si="85"/>
        <v>0.17119999999999747</v>
      </c>
      <c r="AG1606" s="3">
        <f t="shared" si="86"/>
        <v>-0.74861023739763199</v>
      </c>
      <c r="AH1606" s="3">
        <f t="shared" si="87"/>
        <v>1604</v>
      </c>
    </row>
    <row r="1607" spans="32:34" x14ac:dyDescent="0.2">
      <c r="AF1607" s="3">
        <f t="shared" si="85"/>
        <v>0.17129999999999745</v>
      </c>
      <c r="AG1607" s="3">
        <f t="shared" si="86"/>
        <v>-0.74879968018764964</v>
      </c>
      <c r="AH1607" s="3">
        <f t="shared" si="87"/>
        <v>1605</v>
      </c>
    </row>
    <row r="1608" spans="32:34" x14ac:dyDescent="0.2">
      <c r="AF1608" s="3">
        <f t="shared" si="85"/>
        <v>0.17139999999999744</v>
      </c>
      <c r="AG1608" s="3">
        <f t="shared" si="86"/>
        <v>-0.74898897834415068</v>
      </c>
      <c r="AH1608" s="3">
        <f t="shared" si="87"/>
        <v>1606</v>
      </c>
    </row>
    <row r="1609" spans="32:34" x14ac:dyDescent="0.2">
      <c r="AF1609" s="3">
        <f t="shared" si="85"/>
        <v>0.17149999999999743</v>
      </c>
      <c r="AG1609" s="3">
        <f t="shared" si="86"/>
        <v>-0.7491781319515185</v>
      </c>
      <c r="AH1609" s="3">
        <f t="shared" si="87"/>
        <v>1607</v>
      </c>
    </row>
    <row r="1610" spans="32:34" x14ac:dyDescent="0.2">
      <c r="AF1610" s="3">
        <f t="shared" si="85"/>
        <v>0.17159999999999742</v>
      </c>
      <c r="AG1610" s="3">
        <f t="shared" si="86"/>
        <v>-0.74936714109403868</v>
      </c>
      <c r="AH1610" s="3">
        <f t="shared" si="87"/>
        <v>1608</v>
      </c>
    </row>
    <row r="1611" spans="32:34" x14ac:dyDescent="0.2">
      <c r="AF1611" s="3">
        <f t="shared" si="85"/>
        <v>0.17169999999999741</v>
      </c>
      <c r="AG1611" s="3">
        <f t="shared" si="86"/>
        <v>-0.74955600585589788</v>
      </c>
      <c r="AH1611" s="3">
        <f t="shared" si="87"/>
        <v>1609</v>
      </c>
    </row>
    <row r="1612" spans="32:34" x14ac:dyDescent="0.2">
      <c r="AF1612" s="3">
        <f t="shared" si="85"/>
        <v>0.1717999999999974</v>
      </c>
      <c r="AG1612" s="3">
        <f t="shared" si="86"/>
        <v>-0.74974472632118527</v>
      </c>
      <c r="AH1612" s="3">
        <f t="shared" si="87"/>
        <v>1610</v>
      </c>
    </row>
    <row r="1613" spans="32:34" x14ac:dyDescent="0.2">
      <c r="AF1613" s="3">
        <f t="shared" si="85"/>
        <v>0.17189999999999739</v>
      </c>
      <c r="AG1613" s="3">
        <f t="shared" si="86"/>
        <v>-0.74993330257389157</v>
      </c>
      <c r="AH1613" s="3">
        <f t="shared" si="87"/>
        <v>1611</v>
      </c>
    </row>
    <row r="1614" spans="32:34" x14ac:dyDescent="0.2">
      <c r="AF1614" s="3">
        <f t="shared" si="85"/>
        <v>0.17199999999999738</v>
      </c>
      <c r="AG1614" s="3">
        <f t="shared" si="86"/>
        <v>-0.75012173469791033</v>
      </c>
      <c r="AH1614" s="3">
        <f t="shared" si="87"/>
        <v>1612</v>
      </c>
    </row>
    <row r="1615" spans="32:34" x14ac:dyDescent="0.2">
      <c r="AF1615" s="3">
        <f t="shared" si="85"/>
        <v>0.17209999999999737</v>
      </c>
      <c r="AG1615" s="3">
        <f t="shared" si="86"/>
        <v>-0.7503100227770374</v>
      </c>
      <c r="AH1615" s="3">
        <f t="shared" si="87"/>
        <v>1613</v>
      </c>
    </row>
    <row r="1616" spans="32:34" x14ac:dyDescent="0.2">
      <c r="AF1616" s="3">
        <f t="shared" si="85"/>
        <v>0.17219999999999736</v>
      </c>
      <c r="AG1616" s="3">
        <f t="shared" si="86"/>
        <v>-0.75049816689497084</v>
      </c>
      <c r="AH1616" s="3">
        <f t="shared" si="87"/>
        <v>1614</v>
      </c>
    </row>
    <row r="1617" spans="32:34" x14ac:dyDescent="0.2">
      <c r="AF1617" s="3">
        <f t="shared" si="85"/>
        <v>0.17229999999999734</v>
      </c>
      <c r="AG1617" s="3">
        <f t="shared" si="86"/>
        <v>-0.75068616713531222</v>
      </c>
      <c r="AH1617" s="3">
        <f t="shared" si="87"/>
        <v>1615</v>
      </c>
    </row>
    <row r="1618" spans="32:34" x14ac:dyDescent="0.2">
      <c r="AF1618" s="3">
        <f t="shared" si="85"/>
        <v>0.17239999999999733</v>
      </c>
      <c r="AG1618" s="3">
        <f t="shared" si="86"/>
        <v>-0.75087402358156519</v>
      </c>
      <c r="AH1618" s="3">
        <f t="shared" si="87"/>
        <v>1616</v>
      </c>
    </row>
    <row r="1619" spans="32:34" x14ac:dyDescent="0.2">
      <c r="AF1619" s="3">
        <f t="shared" si="85"/>
        <v>0.17249999999999732</v>
      </c>
      <c r="AG1619" s="3">
        <f t="shared" si="86"/>
        <v>-0.75106173631713735</v>
      </c>
      <c r="AH1619" s="3">
        <f t="shared" si="87"/>
        <v>1617</v>
      </c>
    </row>
    <row r="1620" spans="32:34" x14ac:dyDescent="0.2">
      <c r="AF1620" s="3">
        <f t="shared" si="85"/>
        <v>0.17259999999999731</v>
      </c>
      <c r="AG1620" s="3">
        <f t="shared" si="86"/>
        <v>-0.75124930542533908</v>
      </c>
      <c r="AH1620" s="3">
        <f t="shared" si="87"/>
        <v>1618</v>
      </c>
    </row>
    <row r="1621" spans="32:34" x14ac:dyDescent="0.2">
      <c r="AF1621" s="3">
        <f t="shared" si="85"/>
        <v>0.1726999999999973</v>
      </c>
      <c r="AG1621" s="3">
        <f t="shared" si="86"/>
        <v>-0.75143673098938446</v>
      </c>
      <c r="AH1621" s="3">
        <f t="shared" si="87"/>
        <v>1619</v>
      </c>
    </row>
    <row r="1622" spans="32:34" x14ac:dyDescent="0.2">
      <c r="AF1622" s="3">
        <f t="shared" si="85"/>
        <v>0.17279999999999729</v>
      </c>
      <c r="AG1622" s="3">
        <f t="shared" si="86"/>
        <v>-0.75162401309239113</v>
      </c>
      <c r="AH1622" s="3">
        <f t="shared" si="87"/>
        <v>1620</v>
      </c>
    </row>
    <row r="1623" spans="32:34" x14ac:dyDescent="0.2">
      <c r="AF1623" s="3">
        <f t="shared" si="85"/>
        <v>0.17289999999999728</v>
      </c>
      <c r="AG1623" s="3">
        <f t="shared" si="86"/>
        <v>-0.75181115181738067</v>
      </c>
      <c r="AH1623" s="3">
        <f t="shared" si="87"/>
        <v>1621</v>
      </c>
    </row>
    <row r="1624" spans="32:34" x14ac:dyDescent="0.2">
      <c r="AF1624" s="3">
        <f t="shared" si="85"/>
        <v>0.17299999999999727</v>
      </c>
      <c r="AG1624" s="3">
        <f t="shared" si="86"/>
        <v>-0.75199814724727831</v>
      </c>
      <c r="AH1624" s="3">
        <f t="shared" si="87"/>
        <v>1622</v>
      </c>
    </row>
    <row r="1625" spans="32:34" x14ac:dyDescent="0.2">
      <c r="AF1625" s="3">
        <f t="shared" si="85"/>
        <v>0.17309999999999726</v>
      </c>
      <c r="AG1625" s="3">
        <f t="shared" si="86"/>
        <v>-0.75218499946491357</v>
      </c>
      <c r="AH1625" s="3">
        <f t="shared" si="87"/>
        <v>1623</v>
      </c>
    </row>
    <row r="1626" spans="32:34" x14ac:dyDescent="0.2">
      <c r="AF1626" s="3">
        <f t="shared" si="85"/>
        <v>0.17319999999999725</v>
      </c>
      <c r="AG1626" s="3">
        <f t="shared" si="86"/>
        <v>-0.75237170855302049</v>
      </c>
      <c r="AH1626" s="3">
        <f t="shared" si="87"/>
        <v>1624</v>
      </c>
    </row>
    <row r="1627" spans="32:34" x14ac:dyDescent="0.2">
      <c r="AF1627" s="3">
        <f t="shared" si="85"/>
        <v>0.17329999999999723</v>
      </c>
      <c r="AG1627" s="3">
        <f t="shared" si="86"/>
        <v>-0.75255827459423708</v>
      </c>
      <c r="AH1627" s="3">
        <f t="shared" si="87"/>
        <v>1625</v>
      </c>
    </row>
    <row r="1628" spans="32:34" x14ac:dyDescent="0.2">
      <c r="AF1628" s="3">
        <f t="shared" si="85"/>
        <v>0.17339999999999722</v>
      </c>
      <c r="AG1628" s="3">
        <f t="shared" si="86"/>
        <v>-0.75274469767110652</v>
      </c>
      <c r="AH1628" s="3">
        <f t="shared" si="87"/>
        <v>1626</v>
      </c>
    </row>
    <row r="1629" spans="32:34" x14ac:dyDescent="0.2">
      <c r="AF1629" s="3">
        <f t="shared" si="85"/>
        <v>0.17349999999999721</v>
      </c>
      <c r="AG1629" s="3">
        <f t="shared" si="86"/>
        <v>-0.75293097786607643</v>
      </c>
      <c r="AH1629" s="3">
        <f t="shared" si="87"/>
        <v>1627</v>
      </c>
    </row>
    <row r="1630" spans="32:34" x14ac:dyDescent="0.2">
      <c r="AF1630" s="3">
        <f t="shared" si="85"/>
        <v>0.1735999999999972</v>
      </c>
      <c r="AG1630" s="3">
        <f t="shared" si="86"/>
        <v>-0.7531171152614996</v>
      </c>
      <c r="AH1630" s="3">
        <f t="shared" si="87"/>
        <v>1628</v>
      </c>
    </row>
    <row r="1631" spans="32:34" x14ac:dyDescent="0.2">
      <c r="AF1631" s="3">
        <f t="shared" si="85"/>
        <v>0.17369999999999719</v>
      </c>
      <c r="AG1631" s="3">
        <f t="shared" si="86"/>
        <v>-0.75330310993963379</v>
      </c>
      <c r="AH1631" s="3">
        <f t="shared" si="87"/>
        <v>1629</v>
      </c>
    </row>
    <row r="1632" spans="32:34" x14ac:dyDescent="0.2">
      <c r="AF1632" s="3">
        <f t="shared" ref="AF1632:AF1695" si="88">AF1631+0.0001</f>
        <v>0.17379999999999718</v>
      </c>
      <c r="AG1632" s="3">
        <f t="shared" si="86"/>
        <v>-0.75348896198264192</v>
      </c>
      <c r="AH1632" s="3">
        <f t="shared" si="87"/>
        <v>1630</v>
      </c>
    </row>
    <row r="1633" spans="32:34" x14ac:dyDescent="0.2">
      <c r="AF1633" s="3">
        <f t="shared" si="88"/>
        <v>0.17389999999999717</v>
      </c>
      <c r="AG1633" s="3">
        <f t="shared" si="86"/>
        <v>-0.75367467147259282</v>
      </c>
      <c r="AH1633" s="3">
        <f t="shared" si="87"/>
        <v>1631</v>
      </c>
    </row>
    <row r="1634" spans="32:34" x14ac:dyDescent="0.2">
      <c r="AF1634" s="3">
        <f t="shared" si="88"/>
        <v>0.17399999999999716</v>
      </c>
      <c r="AG1634" s="3">
        <f t="shared" si="86"/>
        <v>-0.75386023849146055</v>
      </c>
      <c r="AH1634" s="3">
        <f t="shared" si="87"/>
        <v>1632</v>
      </c>
    </row>
    <row r="1635" spans="32:34" x14ac:dyDescent="0.2">
      <c r="AF1635" s="3">
        <f t="shared" si="88"/>
        <v>0.17409999999999715</v>
      </c>
      <c r="AG1635" s="3">
        <f t="shared" si="86"/>
        <v>-0.75404566312112498</v>
      </c>
      <c r="AH1635" s="3">
        <f t="shared" si="87"/>
        <v>1633</v>
      </c>
    </row>
    <row r="1636" spans="32:34" x14ac:dyDescent="0.2">
      <c r="AF1636" s="3">
        <f t="shared" si="88"/>
        <v>0.17419999999999713</v>
      </c>
      <c r="AG1636" s="3">
        <f t="shared" si="86"/>
        <v>-0.75423094544337199</v>
      </c>
      <c r="AH1636" s="3">
        <f t="shared" si="87"/>
        <v>1634</v>
      </c>
    </row>
    <row r="1637" spans="32:34" x14ac:dyDescent="0.2">
      <c r="AF1637" s="3">
        <f t="shared" si="88"/>
        <v>0.17429999999999712</v>
      </c>
      <c r="AG1637" s="3">
        <f t="shared" si="86"/>
        <v>-0.7544160855398937</v>
      </c>
      <c r="AH1637" s="3">
        <f t="shared" si="87"/>
        <v>1635</v>
      </c>
    </row>
    <row r="1638" spans="32:34" x14ac:dyDescent="0.2">
      <c r="AF1638" s="3">
        <f t="shared" si="88"/>
        <v>0.17439999999999711</v>
      </c>
      <c r="AG1638" s="3">
        <f t="shared" si="86"/>
        <v>-0.75460108349228838</v>
      </c>
      <c r="AH1638" s="3">
        <f t="shared" si="87"/>
        <v>1636</v>
      </c>
    </row>
    <row r="1639" spans="32:34" x14ac:dyDescent="0.2">
      <c r="AF1639" s="3">
        <f t="shared" si="88"/>
        <v>0.1744999999999971</v>
      </c>
      <c r="AG1639" s="3">
        <f t="shared" si="86"/>
        <v>-0.75478593938206051</v>
      </c>
      <c r="AH1639" s="3">
        <f t="shared" si="87"/>
        <v>1637</v>
      </c>
    </row>
    <row r="1640" spans="32:34" x14ac:dyDescent="0.2">
      <c r="AF1640" s="3">
        <f t="shared" si="88"/>
        <v>0.17459999999999709</v>
      </c>
      <c r="AG1640" s="3">
        <f t="shared" si="86"/>
        <v>-0.75497065329062141</v>
      </c>
      <c r="AH1640" s="3">
        <f t="shared" si="87"/>
        <v>1638</v>
      </c>
    </row>
    <row r="1641" spans="32:34" x14ac:dyDescent="0.2">
      <c r="AF1641" s="3">
        <f t="shared" si="88"/>
        <v>0.17469999999999708</v>
      </c>
      <c r="AG1641" s="3">
        <f t="shared" si="86"/>
        <v>-0.75515522529928902</v>
      </c>
      <c r="AH1641" s="3">
        <f t="shared" si="87"/>
        <v>1639</v>
      </c>
    </row>
    <row r="1642" spans="32:34" x14ac:dyDescent="0.2">
      <c r="AF1642" s="3">
        <f t="shared" si="88"/>
        <v>0.17479999999999707</v>
      </c>
      <c r="AG1642" s="3">
        <f t="shared" si="86"/>
        <v>-0.7553396554892885</v>
      </c>
      <c r="AH1642" s="3">
        <f t="shared" si="87"/>
        <v>1640</v>
      </c>
    </row>
    <row r="1643" spans="32:34" x14ac:dyDescent="0.2">
      <c r="AF1643" s="3">
        <f t="shared" si="88"/>
        <v>0.17489999999999706</v>
      </c>
      <c r="AG1643" s="3">
        <f t="shared" si="86"/>
        <v>-0.75552394394175149</v>
      </c>
      <c r="AH1643" s="3">
        <f t="shared" si="87"/>
        <v>1641</v>
      </c>
    </row>
    <row r="1644" spans="32:34" x14ac:dyDescent="0.2">
      <c r="AF1644" s="3">
        <f t="shared" si="88"/>
        <v>0.17499999999999705</v>
      </c>
      <c r="AG1644" s="3">
        <f t="shared" si="86"/>
        <v>-0.7557080907377175</v>
      </c>
      <c r="AH1644" s="3">
        <f t="shared" si="87"/>
        <v>1642</v>
      </c>
    </row>
    <row r="1645" spans="32:34" x14ac:dyDescent="0.2">
      <c r="AF1645" s="3">
        <f t="shared" si="88"/>
        <v>0.17509999999999704</v>
      </c>
      <c r="AG1645" s="3">
        <f t="shared" si="86"/>
        <v>-0.75589209595813289</v>
      </c>
      <c r="AH1645" s="3">
        <f t="shared" si="87"/>
        <v>1643</v>
      </c>
    </row>
    <row r="1646" spans="32:34" x14ac:dyDescent="0.2">
      <c r="AF1646" s="3">
        <f t="shared" si="88"/>
        <v>0.17519999999999702</v>
      </c>
      <c r="AG1646" s="3">
        <f t="shared" si="86"/>
        <v>-0.75607595968385177</v>
      </c>
      <c r="AH1646" s="3">
        <f t="shared" si="87"/>
        <v>1644</v>
      </c>
    </row>
    <row r="1647" spans="32:34" x14ac:dyDescent="0.2">
      <c r="AF1647" s="3">
        <f t="shared" si="88"/>
        <v>0.17529999999999701</v>
      </c>
      <c r="AG1647" s="3">
        <f t="shared" si="86"/>
        <v>-0.75625968199563609</v>
      </c>
      <c r="AH1647" s="3">
        <f t="shared" si="87"/>
        <v>1645</v>
      </c>
    </row>
    <row r="1648" spans="32:34" x14ac:dyDescent="0.2">
      <c r="AF1648" s="3">
        <f t="shared" si="88"/>
        <v>0.175399999999997</v>
      </c>
      <c r="AG1648" s="3">
        <f t="shared" si="86"/>
        <v>-0.75644326297415543</v>
      </c>
      <c r="AH1648" s="3">
        <f t="shared" si="87"/>
        <v>1646</v>
      </c>
    </row>
    <row r="1649" spans="32:34" x14ac:dyDescent="0.2">
      <c r="AF1649" s="3">
        <f t="shared" si="88"/>
        <v>0.17549999999999699</v>
      </c>
      <c r="AG1649" s="3">
        <f t="shared" si="86"/>
        <v>-0.75662670269998755</v>
      </c>
      <c r="AH1649" s="3">
        <f t="shared" si="87"/>
        <v>1647</v>
      </c>
    </row>
    <row r="1650" spans="32:34" x14ac:dyDescent="0.2">
      <c r="AF1650" s="3">
        <f t="shared" si="88"/>
        <v>0.17559999999999698</v>
      </c>
      <c r="AG1650" s="3">
        <f t="shared" si="86"/>
        <v>-0.7568100012536183</v>
      </c>
      <c r="AH1650" s="3">
        <f t="shared" si="87"/>
        <v>1648</v>
      </c>
    </row>
    <row r="1651" spans="32:34" x14ac:dyDescent="0.2">
      <c r="AF1651" s="3">
        <f t="shared" si="88"/>
        <v>0.17569999999999697</v>
      </c>
      <c r="AG1651" s="3">
        <f t="shared" si="86"/>
        <v>-0.75699315871544193</v>
      </c>
      <c r="AH1651" s="3">
        <f t="shared" si="87"/>
        <v>1649</v>
      </c>
    </row>
    <row r="1652" spans="32:34" x14ac:dyDescent="0.2">
      <c r="AF1652" s="3">
        <f t="shared" si="88"/>
        <v>0.17579999999999696</v>
      </c>
      <c r="AG1652" s="3">
        <f t="shared" si="86"/>
        <v>-0.75717617516576086</v>
      </c>
      <c r="AH1652" s="3">
        <f t="shared" si="87"/>
        <v>1650</v>
      </c>
    </row>
    <row r="1653" spans="32:34" x14ac:dyDescent="0.2">
      <c r="AF1653" s="3">
        <f t="shared" si="88"/>
        <v>0.17589999999999695</v>
      </c>
      <c r="AG1653" s="3">
        <f t="shared" si="86"/>
        <v>-0.75735905068478682</v>
      </c>
      <c r="AH1653" s="3">
        <f t="shared" si="87"/>
        <v>1651</v>
      </c>
    </row>
    <row r="1654" spans="32:34" x14ac:dyDescent="0.2">
      <c r="AF1654" s="3">
        <f t="shared" si="88"/>
        <v>0.17599999999999694</v>
      </c>
      <c r="AG1654" s="3">
        <f t="shared" si="86"/>
        <v>-0.75754178535263983</v>
      </c>
      <c r="AH1654" s="3">
        <f t="shared" si="87"/>
        <v>1652</v>
      </c>
    </row>
    <row r="1655" spans="32:34" x14ac:dyDescent="0.2">
      <c r="AF1655" s="3">
        <f t="shared" si="88"/>
        <v>0.17609999999999693</v>
      </c>
      <c r="AG1655" s="3">
        <f t="shared" si="86"/>
        <v>-0.75772437924934888</v>
      </c>
      <c r="AH1655" s="3">
        <f t="shared" si="87"/>
        <v>1653</v>
      </c>
    </row>
    <row r="1656" spans="32:34" x14ac:dyDescent="0.2">
      <c r="AF1656" s="3">
        <f t="shared" si="88"/>
        <v>0.17619999999999691</v>
      </c>
      <c r="AG1656" s="3">
        <f t="shared" si="86"/>
        <v>-0.75790683245485202</v>
      </c>
      <c r="AH1656" s="3">
        <f t="shared" si="87"/>
        <v>1654</v>
      </c>
    </row>
    <row r="1657" spans="32:34" x14ac:dyDescent="0.2">
      <c r="AF1657" s="3">
        <f t="shared" si="88"/>
        <v>0.1762999999999969</v>
      </c>
      <c r="AG1657" s="3">
        <f t="shared" si="86"/>
        <v>-0.75808914504899705</v>
      </c>
      <c r="AH1657" s="3">
        <f t="shared" si="87"/>
        <v>1655</v>
      </c>
    </row>
    <row r="1658" spans="32:34" x14ac:dyDescent="0.2">
      <c r="AF1658" s="3">
        <f t="shared" si="88"/>
        <v>0.17639999999999689</v>
      </c>
      <c r="AG1658" s="3">
        <f t="shared" si="86"/>
        <v>-0.7582713171115405</v>
      </c>
      <c r="AH1658" s="3">
        <f t="shared" si="87"/>
        <v>1656</v>
      </c>
    </row>
    <row r="1659" spans="32:34" x14ac:dyDescent="0.2">
      <c r="AF1659" s="3">
        <f t="shared" si="88"/>
        <v>0.17649999999999688</v>
      </c>
      <c r="AG1659" s="3">
        <f t="shared" si="86"/>
        <v>-0.75845334872214909</v>
      </c>
      <c r="AH1659" s="3">
        <f t="shared" si="87"/>
        <v>1657</v>
      </c>
    </row>
    <row r="1660" spans="32:34" x14ac:dyDescent="0.2">
      <c r="AF1660" s="3">
        <f t="shared" si="88"/>
        <v>0.17659999999999687</v>
      </c>
      <c r="AG1660" s="3">
        <f t="shared" si="86"/>
        <v>-0.75863523996039894</v>
      </c>
      <c r="AH1660" s="3">
        <f t="shared" si="87"/>
        <v>1658</v>
      </c>
    </row>
    <row r="1661" spans="32:34" x14ac:dyDescent="0.2">
      <c r="AF1661" s="3">
        <f t="shared" si="88"/>
        <v>0.17669999999999686</v>
      </c>
      <c r="AG1661" s="3">
        <f t="shared" si="86"/>
        <v>-0.75881699090577603</v>
      </c>
      <c r="AH1661" s="3">
        <f t="shared" si="87"/>
        <v>1659</v>
      </c>
    </row>
    <row r="1662" spans="32:34" x14ac:dyDescent="0.2">
      <c r="AF1662" s="3">
        <f t="shared" si="88"/>
        <v>0.17679999999999685</v>
      </c>
      <c r="AG1662" s="3">
        <f t="shared" si="86"/>
        <v>-0.75899860163767641</v>
      </c>
      <c r="AH1662" s="3">
        <f t="shared" si="87"/>
        <v>1660</v>
      </c>
    </row>
    <row r="1663" spans="32:34" x14ac:dyDescent="0.2">
      <c r="AF1663" s="3">
        <f t="shared" si="88"/>
        <v>0.17689999999999684</v>
      </c>
      <c r="AG1663" s="3">
        <f t="shared" si="86"/>
        <v>-0.75918007223540651</v>
      </c>
      <c r="AH1663" s="3">
        <f t="shared" si="87"/>
        <v>1661</v>
      </c>
    </row>
    <row r="1664" spans="32:34" x14ac:dyDescent="0.2">
      <c r="AF1664" s="3">
        <f t="shared" si="88"/>
        <v>0.17699999999999683</v>
      </c>
      <c r="AG1664" s="3">
        <f t="shared" si="86"/>
        <v>-0.75936140277818276</v>
      </c>
      <c r="AH1664" s="3">
        <f t="shared" si="87"/>
        <v>1662</v>
      </c>
    </row>
    <row r="1665" spans="32:34" x14ac:dyDescent="0.2">
      <c r="AF1665" s="3">
        <f t="shared" si="88"/>
        <v>0.17709999999999682</v>
      </c>
      <c r="AG1665" s="3">
        <f t="shared" si="86"/>
        <v>-0.75954259334513241</v>
      </c>
      <c r="AH1665" s="3">
        <f t="shared" si="87"/>
        <v>1663</v>
      </c>
    </row>
    <row r="1666" spans="32:34" x14ac:dyDescent="0.2">
      <c r="AF1666" s="3">
        <f t="shared" si="88"/>
        <v>0.1771999999999968</v>
      </c>
      <c r="AG1666" s="3">
        <f t="shared" si="86"/>
        <v>-0.75972364401529324</v>
      </c>
      <c r="AH1666" s="3">
        <f t="shared" si="87"/>
        <v>1664</v>
      </c>
    </row>
    <row r="1667" spans="32:34" x14ac:dyDescent="0.2">
      <c r="AF1667" s="3">
        <f t="shared" si="88"/>
        <v>0.17729999999999679</v>
      </c>
      <c r="AG1667" s="3">
        <f t="shared" ref="AG1667:AG1730" si="89">RT0*AF1667*LN(AF1667)</f>
        <v>-0.75990455486761355</v>
      </c>
      <c r="AH1667" s="3">
        <f t="shared" si="87"/>
        <v>1665</v>
      </c>
    </row>
    <row r="1668" spans="32:34" x14ac:dyDescent="0.2">
      <c r="AF1668" s="3">
        <f t="shared" si="88"/>
        <v>0.17739999999999678</v>
      </c>
      <c r="AG1668" s="3">
        <f t="shared" si="89"/>
        <v>-0.76008532598095302</v>
      </c>
      <c r="AH1668" s="3">
        <f t="shared" si="87"/>
        <v>1666</v>
      </c>
    </row>
    <row r="1669" spans="32:34" x14ac:dyDescent="0.2">
      <c r="AF1669" s="3">
        <f t="shared" si="88"/>
        <v>0.17749999999999677</v>
      </c>
      <c r="AG1669" s="3">
        <f t="shared" si="89"/>
        <v>-0.7602659574340821</v>
      </c>
      <c r="AH1669" s="3">
        <f t="shared" ref="AH1669:AH1732" si="90">AH1668+1</f>
        <v>1667</v>
      </c>
    </row>
    <row r="1670" spans="32:34" x14ac:dyDescent="0.2">
      <c r="AF1670" s="3">
        <f t="shared" si="88"/>
        <v>0.17759999999999676</v>
      </c>
      <c r="AG1670" s="3">
        <f t="shared" si="89"/>
        <v>-0.76044644930568273</v>
      </c>
      <c r="AH1670" s="3">
        <f t="shared" si="90"/>
        <v>1668</v>
      </c>
    </row>
    <row r="1671" spans="32:34" x14ac:dyDescent="0.2">
      <c r="AF1671" s="3">
        <f t="shared" si="88"/>
        <v>0.17769999999999675</v>
      </c>
      <c r="AG1671" s="3">
        <f t="shared" si="89"/>
        <v>-0.76062680167434804</v>
      </c>
      <c r="AH1671" s="3">
        <f t="shared" si="90"/>
        <v>1669</v>
      </c>
    </row>
    <row r="1672" spans="32:34" x14ac:dyDescent="0.2">
      <c r="AF1672" s="3">
        <f t="shared" si="88"/>
        <v>0.17779999999999674</v>
      </c>
      <c r="AG1672" s="3">
        <f t="shared" si="89"/>
        <v>-0.7608070146185828</v>
      </c>
      <c r="AH1672" s="3">
        <f t="shared" si="90"/>
        <v>1670</v>
      </c>
    </row>
    <row r="1673" spans="32:34" x14ac:dyDescent="0.2">
      <c r="AF1673" s="3">
        <f t="shared" si="88"/>
        <v>0.17789999999999673</v>
      </c>
      <c r="AG1673" s="3">
        <f t="shared" si="89"/>
        <v>-0.7609870882168035</v>
      </c>
      <c r="AH1673" s="3">
        <f t="shared" si="90"/>
        <v>1671</v>
      </c>
    </row>
    <row r="1674" spans="32:34" x14ac:dyDescent="0.2">
      <c r="AF1674" s="3">
        <f t="shared" si="88"/>
        <v>0.17799999999999672</v>
      </c>
      <c r="AG1674" s="3">
        <f t="shared" si="89"/>
        <v>-0.76116702254733837</v>
      </c>
      <c r="AH1674" s="3">
        <f t="shared" si="90"/>
        <v>1672</v>
      </c>
    </row>
    <row r="1675" spans="32:34" x14ac:dyDescent="0.2">
      <c r="AF1675" s="3">
        <f t="shared" si="88"/>
        <v>0.17809999999999671</v>
      </c>
      <c r="AG1675" s="3">
        <f t="shared" si="89"/>
        <v>-0.76134681768842771</v>
      </c>
      <c r="AH1675" s="3">
        <f t="shared" si="90"/>
        <v>1673</v>
      </c>
    </row>
    <row r="1676" spans="32:34" x14ac:dyDescent="0.2">
      <c r="AF1676" s="3">
        <f t="shared" si="88"/>
        <v>0.17819999999999669</v>
      </c>
      <c r="AG1676" s="3">
        <f t="shared" si="89"/>
        <v>-0.76152647371822402</v>
      </c>
      <c r="AH1676" s="3">
        <f t="shared" si="90"/>
        <v>1674</v>
      </c>
    </row>
    <row r="1677" spans="32:34" x14ac:dyDescent="0.2">
      <c r="AF1677" s="3">
        <f t="shared" si="88"/>
        <v>0.17829999999999668</v>
      </c>
      <c r="AG1677" s="3">
        <f t="shared" si="89"/>
        <v>-0.76170599071479184</v>
      </c>
      <c r="AH1677" s="3">
        <f t="shared" si="90"/>
        <v>1675</v>
      </c>
    </row>
    <row r="1678" spans="32:34" x14ac:dyDescent="0.2">
      <c r="AF1678" s="3">
        <f t="shared" si="88"/>
        <v>0.17839999999999667</v>
      </c>
      <c r="AG1678" s="3">
        <f t="shared" si="89"/>
        <v>-0.76188536875610846</v>
      </c>
      <c r="AH1678" s="3">
        <f t="shared" si="90"/>
        <v>1676</v>
      </c>
    </row>
    <row r="1679" spans="32:34" x14ac:dyDescent="0.2">
      <c r="AF1679" s="3">
        <f t="shared" si="88"/>
        <v>0.17849999999999666</v>
      </c>
      <c r="AG1679" s="3">
        <f t="shared" si="89"/>
        <v>-0.76206460792006347</v>
      </c>
      <c r="AH1679" s="3">
        <f t="shared" si="90"/>
        <v>1677</v>
      </c>
    </row>
    <row r="1680" spans="32:34" x14ac:dyDescent="0.2">
      <c r="AF1680" s="3">
        <f t="shared" si="88"/>
        <v>0.17859999999999665</v>
      </c>
      <c r="AG1680" s="3">
        <f t="shared" si="89"/>
        <v>-0.76224370828445942</v>
      </c>
      <c r="AH1680" s="3">
        <f t="shared" si="90"/>
        <v>1678</v>
      </c>
    </row>
    <row r="1681" spans="32:34" x14ac:dyDescent="0.2">
      <c r="AF1681" s="3">
        <f t="shared" si="88"/>
        <v>0.17869999999999664</v>
      </c>
      <c r="AG1681" s="3">
        <f t="shared" si="89"/>
        <v>-0.76242266992701169</v>
      </c>
      <c r="AH1681" s="3">
        <f t="shared" si="90"/>
        <v>1679</v>
      </c>
    </row>
    <row r="1682" spans="32:34" x14ac:dyDescent="0.2">
      <c r="AF1682" s="3">
        <f t="shared" si="88"/>
        <v>0.17879999999999663</v>
      </c>
      <c r="AG1682" s="3">
        <f t="shared" si="89"/>
        <v>-0.76260149292534851</v>
      </c>
      <c r="AH1682" s="3">
        <f t="shared" si="90"/>
        <v>1680</v>
      </c>
    </row>
    <row r="1683" spans="32:34" x14ac:dyDescent="0.2">
      <c r="AF1683" s="3">
        <f t="shared" si="88"/>
        <v>0.17889999999999662</v>
      </c>
      <c r="AG1683" s="3">
        <f t="shared" si="89"/>
        <v>-0.76278017735701154</v>
      </c>
      <c r="AH1683" s="3">
        <f t="shared" si="90"/>
        <v>1681</v>
      </c>
    </row>
    <row r="1684" spans="32:34" x14ac:dyDescent="0.2">
      <c r="AF1684" s="3">
        <f t="shared" si="88"/>
        <v>0.17899999999999661</v>
      </c>
      <c r="AG1684" s="3">
        <f t="shared" si="89"/>
        <v>-0.76295872329945535</v>
      </c>
      <c r="AH1684" s="3">
        <f t="shared" si="90"/>
        <v>1682</v>
      </c>
    </row>
    <row r="1685" spans="32:34" x14ac:dyDescent="0.2">
      <c r="AF1685" s="3">
        <f t="shared" si="88"/>
        <v>0.1790999999999966</v>
      </c>
      <c r="AG1685" s="3">
        <f t="shared" si="89"/>
        <v>-0.76313713083004842</v>
      </c>
      <c r="AH1685" s="3">
        <f t="shared" si="90"/>
        <v>1683</v>
      </c>
    </row>
    <row r="1686" spans="32:34" x14ac:dyDescent="0.2">
      <c r="AF1686" s="3">
        <f t="shared" si="88"/>
        <v>0.17919999999999658</v>
      </c>
      <c r="AG1686" s="3">
        <f t="shared" si="89"/>
        <v>-0.76331540002607257</v>
      </c>
      <c r="AH1686" s="3">
        <f t="shared" si="90"/>
        <v>1684</v>
      </c>
    </row>
    <row r="1687" spans="32:34" x14ac:dyDescent="0.2">
      <c r="AF1687" s="3">
        <f t="shared" si="88"/>
        <v>0.17929999999999657</v>
      </c>
      <c r="AG1687" s="3">
        <f t="shared" si="89"/>
        <v>-0.76349353096472361</v>
      </c>
      <c r="AH1687" s="3">
        <f t="shared" si="90"/>
        <v>1685</v>
      </c>
    </row>
    <row r="1688" spans="32:34" x14ac:dyDescent="0.2">
      <c r="AF1688" s="3">
        <f t="shared" si="88"/>
        <v>0.17939999999999656</v>
      </c>
      <c r="AG1688" s="3">
        <f t="shared" si="89"/>
        <v>-0.76367152372311076</v>
      </c>
      <c r="AH1688" s="3">
        <f t="shared" si="90"/>
        <v>1686</v>
      </c>
    </row>
    <row r="1689" spans="32:34" x14ac:dyDescent="0.2">
      <c r="AF1689" s="3">
        <f t="shared" si="88"/>
        <v>0.17949999999999655</v>
      </c>
      <c r="AG1689" s="3">
        <f t="shared" si="89"/>
        <v>-0.76384937837825784</v>
      </c>
      <c r="AH1689" s="3">
        <f t="shared" si="90"/>
        <v>1687</v>
      </c>
    </row>
    <row r="1690" spans="32:34" x14ac:dyDescent="0.2">
      <c r="AF1690" s="3">
        <f t="shared" si="88"/>
        <v>0.17959999999999654</v>
      </c>
      <c r="AG1690" s="3">
        <f t="shared" si="89"/>
        <v>-0.76402709500710264</v>
      </c>
      <c r="AH1690" s="3">
        <f t="shared" si="90"/>
        <v>1688</v>
      </c>
    </row>
    <row r="1691" spans="32:34" x14ac:dyDescent="0.2">
      <c r="AF1691" s="3">
        <f t="shared" si="88"/>
        <v>0.17969999999999653</v>
      </c>
      <c r="AG1691" s="3">
        <f t="shared" si="89"/>
        <v>-0.76420467368649692</v>
      </c>
      <c r="AH1691" s="3">
        <f t="shared" si="90"/>
        <v>1689</v>
      </c>
    </row>
    <row r="1692" spans="32:34" x14ac:dyDescent="0.2">
      <c r="AF1692" s="3">
        <f t="shared" si="88"/>
        <v>0.17979999999999652</v>
      </c>
      <c r="AG1692" s="3">
        <f t="shared" si="89"/>
        <v>-0.76438211449320748</v>
      </c>
      <c r="AH1692" s="3">
        <f t="shared" si="90"/>
        <v>1690</v>
      </c>
    </row>
    <row r="1693" spans="32:34" x14ac:dyDescent="0.2">
      <c r="AF1693" s="3">
        <f t="shared" si="88"/>
        <v>0.17989999999999651</v>
      </c>
      <c r="AG1693" s="3">
        <f t="shared" si="89"/>
        <v>-0.76455941750391532</v>
      </c>
      <c r="AH1693" s="3">
        <f t="shared" si="90"/>
        <v>1691</v>
      </c>
    </row>
    <row r="1694" spans="32:34" x14ac:dyDescent="0.2">
      <c r="AF1694" s="3">
        <f t="shared" si="88"/>
        <v>0.1799999999999965</v>
      </c>
      <c r="AG1694" s="3">
        <f t="shared" si="89"/>
        <v>-0.7647365827952165</v>
      </c>
      <c r="AH1694" s="3">
        <f t="shared" si="90"/>
        <v>1692</v>
      </c>
    </row>
    <row r="1695" spans="32:34" x14ac:dyDescent="0.2">
      <c r="AF1695" s="3">
        <f t="shared" si="88"/>
        <v>0.18009999999999649</v>
      </c>
      <c r="AG1695" s="3">
        <f t="shared" si="89"/>
        <v>-0.76491361044362172</v>
      </c>
      <c r="AH1695" s="3">
        <f t="shared" si="90"/>
        <v>1693</v>
      </c>
    </row>
    <row r="1696" spans="32:34" x14ac:dyDescent="0.2">
      <c r="AF1696" s="3">
        <f t="shared" ref="AF1696:AF1733" si="91">AF1695+0.0001</f>
        <v>0.18019999999999647</v>
      </c>
      <c r="AG1696" s="3">
        <f t="shared" si="89"/>
        <v>-0.76509050052555683</v>
      </c>
      <c r="AH1696" s="3">
        <f t="shared" si="90"/>
        <v>1694</v>
      </c>
    </row>
    <row r="1697" spans="32:34" x14ac:dyDescent="0.2">
      <c r="AF1697" s="3">
        <f t="shared" si="91"/>
        <v>0.18029999999999646</v>
      </c>
      <c r="AG1697" s="3">
        <f t="shared" si="89"/>
        <v>-0.76526725311736266</v>
      </c>
      <c r="AH1697" s="3">
        <f t="shared" si="90"/>
        <v>1695</v>
      </c>
    </row>
    <row r="1698" spans="32:34" x14ac:dyDescent="0.2">
      <c r="AF1698" s="3">
        <f t="shared" si="91"/>
        <v>0.18039999999999645</v>
      </c>
      <c r="AG1698" s="3">
        <f t="shared" si="89"/>
        <v>-0.76544386829529576</v>
      </c>
      <c r="AH1698" s="3">
        <f t="shared" si="90"/>
        <v>1696</v>
      </c>
    </row>
    <row r="1699" spans="32:34" x14ac:dyDescent="0.2">
      <c r="AF1699" s="3">
        <f t="shared" si="91"/>
        <v>0.18049999999999644</v>
      </c>
      <c r="AG1699" s="3">
        <f t="shared" si="89"/>
        <v>-0.76562034613552776</v>
      </c>
      <c r="AH1699" s="3">
        <f t="shared" si="90"/>
        <v>1697</v>
      </c>
    </row>
    <row r="1700" spans="32:34" x14ac:dyDescent="0.2">
      <c r="AF1700" s="3">
        <f t="shared" si="91"/>
        <v>0.18059999999999643</v>
      </c>
      <c r="AG1700" s="3">
        <f t="shared" si="89"/>
        <v>-0.76579668671414602</v>
      </c>
      <c r="AH1700" s="3">
        <f t="shared" si="90"/>
        <v>1698</v>
      </c>
    </row>
    <row r="1701" spans="32:34" x14ac:dyDescent="0.2">
      <c r="AF1701" s="3">
        <f t="shared" si="91"/>
        <v>0.18069999999999642</v>
      </c>
      <c r="AG1701" s="3">
        <f t="shared" si="89"/>
        <v>-0.76597289010715375</v>
      </c>
      <c r="AH1701" s="3">
        <f t="shared" si="90"/>
        <v>1699</v>
      </c>
    </row>
    <row r="1702" spans="32:34" x14ac:dyDescent="0.2">
      <c r="AF1702" s="3">
        <f t="shared" si="91"/>
        <v>0.18079999999999641</v>
      </c>
      <c r="AG1702" s="3">
        <f t="shared" si="89"/>
        <v>-0.76614895639046998</v>
      </c>
      <c r="AH1702" s="3">
        <f t="shared" si="90"/>
        <v>1700</v>
      </c>
    </row>
    <row r="1703" spans="32:34" x14ac:dyDescent="0.2">
      <c r="AF1703" s="3">
        <f t="shared" si="91"/>
        <v>0.1808999999999964</v>
      </c>
      <c r="AG1703" s="3">
        <f t="shared" si="89"/>
        <v>-0.76632488563992973</v>
      </c>
      <c r="AH1703" s="3">
        <f t="shared" si="90"/>
        <v>1701</v>
      </c>
    </row>
    <row r="1704" spans="32:34" x14ac:dyDescent="0.2">
      <c r="AF1704" s="3">
        <f t="shared" si="91"/>
        <v>0.18099999999999639</v>
      </c>
      <c r="AG1704" s="3">
        <f t="shared" si="89"/>
        <v>-0.76650067793128396</v>
      </c>
      <c r="AH1704" s="3">
        <f t="shared" si="90"/>
        <v>1702</v>
      </c>
    </row>
    <row r="1705" spans="32:34" x14ac:dyDescent="0.2">
      <c r="AF1705" s="3">
        <f t="shared" si="91"/>
        <v>0.18109999999999637</v>
      </c>
      <c r="AG1705" s="3">
        <f t="shared" si="89"/>
        <v>-0.76667633334020047</v>
      </c>
      <c r="AH1705" s="3">
        <f t="shared" si="90"/>
        <v>1703</v>
      </c>
    </row>
    <row r="1706" spans="32:34" x14ac:dyDescent="0.2">
      <c r="AF1706" s="3">
        <f t="shared" si="91"/>
        <v>0.18119999999999636</v>
      </c>
      <c r="AG1706" s="3">
        <f t="shared" si="89"/>
        <v>-0.7668518519422628</v>
      </c>
      <c r="AH1706" s="3">
        <f t="shared" si="90"/>
        <v>1704</v>
      </c>
    </row>
    <row r="1707" spans="32:34" x14ac:dyDescent="0.2">
      <c r="AF1707" s="3">
        <f t="shared" si="91"/>
        <v>0.18129999999999635</v>
      </c>
      <c r="AG1707" s="3">
        <f t="shared" si="89"/>
        <v>-0.76702723381297178</v>
      </c>
      <c r="AH1707" s="3">
        <f t="shared" si="90"/>
        <v>1705</v>
      </c>
    </row>
    <row r="1708" spans="32:34" x14ac:dyDescent="0.2">
      <c r="AF1708" s="3">
        <f t="shared" si="91"/>
        <v>0.18139999999999634</v>
      </c>
      <c r="AG1708" s="3">
        <f t="shared" si="89"/>
        <v>-0.7672024790277443</v>
      </c>
      <c r="AH1708" s="3">
        <f t="shared" si="90"/>
        <v>1706</v>
      </c>
    </row>
    <row r="1709" spans="32:34" x14ac:dyDescent="0.2">
      <c r="AF1709" s="3">
        <f t="shared" si="91"/>
        <v>0.18149999999999633</v>
      </c>
      <c r="AG1709" s="3">
        <f t="shared" si="89"/>
        <v>-0.76737758766191455</v>
      </c>
      <c r="AH1709" s="3">
        <f t="shared" si="90"/>
        <v>1707</v>
      </c>
    </row>
    <row r="1710" spans="32:34" x14ac:dyDescent="0.2">
      <c r="AF1710" s="3">
        <f t="shared" si="91"/>
        <v>0.18159999999999632</v>
      </c>
      <c r="AG1710" s="3">
        <f t="shared" si="89"/>
        <v>-0.76755255979073367</v>
      </c>
      <c r="AH1710" s="3">
        <f t="shared" si="90"/>
        <v>1708</v>
      </c>
    </row>
    <row r="1711" spans="32:34" x14ac:dyDescent="0.2">
      <c r="AF1711" s="3">
        <f t="shared" si="91"/>
        <v>0.18169999999999631</v>
      </c>
      <c r="AG1711" s="3">
        <f t="shared" si="89"/>
        <v>-0.76772739548936964</v>
      </c>
      <c r="AH1711" s="3">
        <f t="shared" si="90"/>
        <v>1709</v>
      </c>
    </row>
    <row r="1712" spans="32:34" x14ac:dyDescent="0.2">
      <c r="AF1712" s="3">
        <f t="shared" si="91"/>
        <v>0.1817999999999963</v>
      </c>
      <c r="AG1712" s="3">
        <f t="shared" si="89"/>
        <v>-0.76790209483290772</v>
      </c>
      <c r="AH1712" s="3">
        <f t="shared" si="90"/>
        <v>1710</v>
      </c>
    </row>
    <row r="1713" spans="32:34" x14ac:dyDescent="0.2">
      <c r="AF1713" s="3">
        <f t="shared" si="91"/>
        <v>0.18189999999999629</v>
      </c>
      <c r="AG1713" s="3">
        <f t="shared" si="89"/>
        <v>-0.76807665789635116</v>
      </c>
      <c r="AH1713" s="3">
        <f t="shared" si="90"/>
        <v>1711</v>
      </c>
    </row>
    <row r="1714" spans="32:34" x14ac:dyDescent="0.2">
      <c r="AF1714" s="3">
        <f t="shared" si="91"/>
        <v>0.18199999999999628</v>
      </c>
      <c r="AG1714" s="3">
        <f t="shared" si="89"/>
        <v>-0.7682510847546199</v>
      </c>
      <c r="AH1714" s="3">
        <f t="shared" si="90"/>
        <v>1712</v>
      </c>
    </row>
    <row r="1715" spans="32:34" x14ac:dyDescent="0.2">
      <c r="AF1715" s="3">
        <f t="shared" si="91"/>
        <v>0.18209999999999626</v>
      </c>
      <c r="AG1715" s="3">
        <f t="shared" si="89"/>
        <v>-0.76842537548255219</v>
      </c>
      <c r="AH1715" s="3">
        <f t="shared" si="90"/>
        <v>1713</v>
      </c>
    </row>
    <row r="1716" spans="32:34" x14ac:dyDescent="0.2">
      <c r="AF1716" s="3">
        <f t="shared" si="91"/>
        <v>0.18219999999999625</v>
      </c>
      <c r="AG1716" s="3">
        <f t="shared" si="89"/>
        <v>-0.7685995301549039</v>
      </c>
      <c r="AH1716" s="3">
        <f t="shared" si="90"/>
        <v>1714</v>
      </c>
    </row>
    <row r="1717" spans="32:34" x14ac:dyDescent="0.2">
      <c r="AF1717" s="3">
        <f t="shared" si="91"/>
        <v>0.18229999999999624</v>
      </c>
      <c r="AG1717" s="3">
        <f t="shared" si="89"/>
        <v>-0.76877354884634841</v>
      </c>
      <c r="AH1717" s="3">
        <f t="shared" si="90"/>
        <v>1715</v>
      </c>
    </row>
    <row r="1718" spans="32:34" x14ac:dyDescent="0.2">
      <c r="AF1718" s="3">
        <f t="shared" si="91"/>
        <v>0.18239999999999623</v>
      </c>
      <c r="AG1718" s="3">
        <f t="shared" si="89"/>
        <v>-0.76894743163147794</v>
      </c>
      <c r="AH1718" s="3">
        <f t="shared" si="90"/>
        <v>1716</v>
      </c>
    </row>
    <row r="1719" spans="32:34" x14ac:dyDescent="0.2">
      <c r="AF1719" s="3">
        <f t="shared" si="91"/>
        <v>0.18249999999999622</v>
      </c>
      <c r="AG1719" s="3">
        <f t="shared" si="89"/>
        <v>-0.76912117858480245</v>
      </c>
      <c r="AH1719" s="3">
        <f t="shared" si="90"/>
        <v>1717</v>
      </c>
    </row>
    <row r="1720" spans="32:34" x14ac:dyDescent="0.2">
      <c r="AF1720" s="3">
        <f t="shared" si="91"/>
        <v>0.18259999999999621</v>
      </c>
      <c r="AG1720" s="3">
        <f t="shared" si="89"/>
        <v>-0.76929478978075028</v>
      </c>
      <c r="AH1720" s="3">
        <f t="shared" si="90"/>
        <v>1718</v>
      </c>
    </row>
    <row r="1721" spans="32:34" x14ac:dyDescent="0.2">
      <c r="AF1721" s="3">
        <f t="shared" si="91"/>
        <v>0.1826999999999962</v>
      </c>
      <c r="AG1721" s="3">
        <f t="shared" si="89"/>
        <v>-0.76946826529366841</v>
      </c>
      <c r="AH1721" s="3">
        <f t="shared" si="90"/>
        <v>1719</v>
      </c>
    </row>
    <row r="1722" spans="32:34" x14ac:dyDescent="0.2">
      <c r="AF1722" s="3">
        <f t="shared" si="91"/>
        <v>0.18279999999999619</v>
      </c>
      <c r="AG1722" s="3">
        <f t="shared" si="89"/>
        <v>-0.76964160519782221</v>
      </c>
      <c r="AH1722" s="3">
        <f t="shared" si="90"/>
        <v>1720</v>
      </c>
    </row>
    <row r="1723" spans="32:34" x14ac:dyDescent="0.2">
      <c r="AF1723" s="3">
        <f t="shared" si="91"/>
        <v>0.18289999999999618</v>
      </c>
      <c r="AG1723" s="3">
        <f t="shared" si="89"/>
        <v>-0.76981480956739579</v>
      </c>
      <c r="AH1723" s="3">
        <f t="shared" si="90"/>
        <v>1721</v>
      </c>
    </row>
    <row r="1724" spans="32:34" x14ac:dyDescent="0.2">
      <c r="AF1724" s="3">
        <f t="shared" si="91"/>
        <v>0.18299999999999617</v>
      </c>
      <c r="AG1724" s="3">
        <f t="shared" si="89"/>
        <v>-0.76998787847649253</v>
      </c>
      <c r="AH1724" s="3">
        <f t="shared" si="90"/>
        <v>1722</v>
      </c>
    </row>
    <row r="1725" spans="32:34" x14ac:dyDescent="0.2">
      <c r="AF1725" s="3">
        <f t="shared" si="91"/>
        <v>0.18309999999999615</v>
      </c>
      <c r="AG1725" s="3">
        <f t="shared" si="89"/>
        <v>-0.77016081199913455</v>
      </c>
      <c r="AH1725" s="3">
        <f t="shared" si="90"/>
        <v>1723</v>
      </c>
    </row>
    <row r="1726" spans="32:34" x14ac:dyDescent="0.2">
      <c r="AF1726" s="3">
        <f t="shared" si="91"/>
        <v>0.18319999999999614</v>
      </c>
      <c r="AG1726" s="3">
        <f t="shared" si="89"/>
        <v>-0.77033361020926283</v>
      </c>
      <c r="AH1726" s="3">
        <f t="shared" si="90"/>
        <v>1724</v>
      </c>
    </row>
    <row r="1727" spans="32:34" x14ac:dyDescent="0.2">
      <c r="AF1727" s="3">
        <f t="shared" si="91"/>
        <v>0.18329999999999613</v>
      </c>
      <c r="AG1727" s="3">
        <f t="shared" si="89"/>
        <v>-0.77050627318073828</v>
      </c>
      <c r="AH1727" s="3">
        <f t="shared" si="90"/>
        <v>1725</v>
      </c>
    </row>
    <row r="1728" spans="32:34" x14ac:dyDescent="0.2">
      <c r="AF1728" s="3">
        <f t="shared" si="91"/>
        <v>0.18339999999999612</v>
      </c>
      <c r="AG1728" s="3">
        <f t="shared" si="89"/>
        <v>-0.77067880098734065</v>
      </c>
      <c r="AH1728" s="3">
        <f t="shared" si="90"/>
        <v>1726</v>
      </c>
    </row>
    <row r="1729" spans="32:34" x14ac:dyDescent="0.2">
      <c r="AF1729" s="3">
        <f t="shared" si="91"/>
        <v>0.18349999999999611</v>
      </c>
      <c r="AG1729" s="3">
        <f t="shared" si="89"/>
        <v>-0.77085119370276933</v>
      </c>
      <c r="AH1729" s="3">
        <f t="shared" si="90"/>
        <v>1727</v>
      </c>
    </row>
    <row r="1730" spans="32:34" x14ac:dyDescent="0.2">
      <c r="AF1730" s="3">
        <f t="shared" si="91"/>
        <v>0.1835999999999961</v>
      </c>
      <c r="AG1730" s="3">
        <f t="shared" si="89"/>
        <v>-0.77102345140064377</v>
      </c>
      <c r="AH1730" s="3">
        <f t="shared" si="90"/>
        <v>1728</v>
      </c>
    </row>
    <row r="1731" spans="32:34" x14ac:dyDescent="0.2">
      <c r="AF1731" s="3">
        <f t="shared" si="91"/>
        <v>0.18369999999999609</v>
      </c>
      <c r="AG1731" s="3">
        <f t="shared" ref="AG1731:AG1794" si="92">RT0*AF1731*LN(AF1731)</f>
        <v>-0.77119557415450279</v>
      </c>
      <c r="AH1731" s="3">
        <f t="shared" si="90"/>
        <v>1729</v>
      </c>
    </row>
    <row r="1732" spans="32:34" x14ac:dyDescent="0.2">
      <c r="AF1732" s="3">
        <f t="shared" si="91"/>
        <v>0.18379999999999608</v>
      </c>
      <c r="AG1732" s="3">
        <f t="shared" si="92"/>
        <v>-0.77136756203780543</v>
      </c>
      <c r="AH1732" s="3">
        <f t="shared" si="90"/>
        <v>1730</v>
      </c>
    </row>
    <row r="1733" spans="32:34" x14ac:dyDescent="0.2">
      <c r="AF1733" s="3">
        <f t="shared" si="91"/>
        <v>0.18389999999999607</v>
      </c>
      <c r="AG1733" s="3">
        <f t="shared" si="92"/>
        <v>-0.77153941512393043</v>
      </c>
      <c r="AH1733" s="3">
        <f t="shared" ref="AH1733" si="93">AH1732+1</f>
        <v>1731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400</vt:i4>
      </vt:variant>
    </vt:vector>
  </HeadingPairs>
  <TitlesOfParts>
    <vt:vector size="414" baseType="lpstr">
      <vt:lpstr>Constants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Efficiencies</vt:lpstr>
      <vt:lpstr>Waste</vt:lpstr>
      <vt:lpstr>Methane Combustion - EES</vt:lpstr>
      <vt:lpstr>Tables for Paper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BF_CO2Waste</vt:lpstr>
      <vt:lpstr>BF_SolidWaste</vt:lpstr>
      <vt:lpstr>Btu_to_kJ</vt:lpstr>
      <vt:lpstr>BX_across_industry_balance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2025-07-31T15:14:53Z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