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CBFA019D-FE75-5848-A46D-022F4ED2FE2F}" xr6:coauthVersionLast="47" xr6:coauthVersionMax="47" xr10:uidLastSave="{00000000-0000-0000-0000-000000000000}"/>
  <bookViews>
    <workbookView xWindow="2680" yWindow="1380" windowWidth="38000" windowHeight="25460" activeTab="3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Calculators!$P$241</definedName>
    <definedName name="b_ch_Fe">Constants!$E$9</definedName>
    <definedName name="b_ch_Fe2O3">Constants!$E$10</definedName>
    <definedName name="b_ch_FeC">Constants!$E$15</definedName>
    <definedName name="b_ch_fueloil">Calculators!$H$282</definedName>
    <definedName name="b_ch_Gasoline">Calculators!$H$265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Ore_to_PI!$CV$215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Calculators!$Z$95</definedName>
    <definedName name="CH4_to_BF">Calculators!$Z$107</definedName>
    <definedName name="CH4_to_coke_oven">Calculators!$AH$107</definedName>
    <definedName name="CO2_BF_Out">Calculators!$M$23</definedName>
    <definedName name="CO2_Diesel_molcoeff">Calculators!$M$233</definedName>
    <definedName name="CO2_from_coke_oven_comb">Calculators!$I$121</definedName>
    <definedName name="CO2_Gasoline_molcoeff">Calculators!$M$258</definedName>
    <definedName name="CO2_Kiln_Out">Calculators!$I$38</definedName>
    <definedName name="CO2_Kiln_out_from_methane">Calculators!$L$59</definedName>
    <definedName name="CO2_molcoeff">Calculators!$M$233</definedName>
    <definedName name="Co2_Naturalgas_molcoeff">Calculators!$M$291</definedName>
    <definedName name="Co2_Oil_molcoef">Calculators!$M$275</definedName>
    <definedName name="CO2_out_BF">Calculators!$M$164</definedName>
    <definedName name="CO2_out_Coal_Ext">Calculators!$I$233</definedName>
    <definedName name="CO2_out_coke_oven">Calculators!$M$198</definedName>
    <definedName name="COG_needed">Calculators!#REF!</definedName>
    <definedName name="Coking_BF_in">Calculators!$L$23</definedName>
    <definedName name="Diesel_N2_molcoeff">Calculators!$M$235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Calculators!$M$234</definedName>
    <definedName name="H2O_from_coke_oven_comb">Calculators!$I$122</definedName>
    <definedName name="H2O_Gasoline_molcoeff">Calculators!$M$259</definedName>
    <definedName name="H2O_Kiln_Out">Calculators!$L$60</definedName>
    <definedName name="H2O_molcoeff">Calculators!$M$234</definedName>
    <definedName name="H2O_Naturalgas_molcoeff">Calculators!$M$292</definedName>
    <definedName name="H2O_Oil_molcoeff">Calculators!$M$276</definedName>
    <definedName name="H2O_out_BF">Calculators!$M$163</definedName>
    <definedName name="H2O_out_Coal_Ext">Calculators!$I$234</definedName>
    <definedName name="H2O_out_coke_oven">Calculators!$M$197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Calculators!$I$93</definedName>
    <definedName name="mol_C_to_BF">Ore_to_PI!$CO$210</definedName>
    <definedName name="mol_Coal">Calculators!$L$102</definedName>
    <definedName name="mol_Coke">Calculators!$M$92</definedName>
    <definedName name="mol_H_Coal">Calculators!$H$102</definedName>
    <definedName name="mol_H_coke">Calculators!$H$93</definedName>
    <definedName name="mol_N_Coal">Calculators!$K$102</definedName>
    <definedName name="mol_N_coke">Calculators!$K$93</definedName>
    <definedName name="mol_O_Coal">Calculators!$J$102</definedName>
    <definedName name="mol_O_coke">Calculators!$J$93</definedName>
    <definedName name="mol_S_coal">Calculators!$L$102</definedName>
    <definedName name="mol_S_coke">Calculators!$L$93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Calculators!$C$171</definedName>
    <definedName name="N2_BF_out">Calculators!$I$23</definedName>
    <definedName name="N2_for_coke_oven_comb">Calculators!$C$123</definedName>
    <definedName name="N2_from_coke_oven_comb">Calculators!$I$123</definedName>
    <definedName name="N2_in_Coal_Ext">Calculators!$C$235</definedName>
    <definedName name="N2_in_coke_oven">Calculators!$C$204</definedName>
    <definedName name="N2_Kiln_in">Calculators!$C$61</definedName>
    <definedName name="N2_molcoeff">Calculators!$G$235</definedName>
    <definedName name="N2_out_coke_oven">Calculators!$M$199</definedName>
    <definedName name="N2_out_COtreatment">Calculators!$Z$97</definedName>
    <definedName name="N2_to_BF_from_coke">Calculators!$Z$109</definedName>
    <definedName name="N2_to_coke_oven">Calculators!$AH$109</definedName>
    <definedName name="NCV_bituminous">Constants!$Q$19</definedName>
    <definedName name="NCV_dry_anthrocite">Constants!$R$15</definedName>
    <definedName name="O2_added_BF">Calculators!$C$170</definedName>
    <definedName name="O2_BF_in">Calculators!$I$21</definedName>
    <definedName name="O2_Diesel_molcoeff">Calculators!$G$234</definedName>
    <definedName name="O2_for_coke_oven_comb">Calculators!$C$122</definedName>
    <definedName name="O2_Gasoline_molcoeff">Calculators!$G$259</definedName>
    <definedName name="O2_in_Coal_Ext">Calculators!$C$234</definedName>
    <definedName name="O2_in_coke_oven">Calculators!$C$203</definedName>
    <definedName name="O2_Kiln_in">Calculators!$C$60</definedName>
    <definedName name="O2_molcoeff">Calculators!$G$234</definedName>
    <definedName name="O2_Naturalgas_molcoeff">Calculators!$G$292</definedName>
    <definedName name="O2_Oil_molcoeff">Calculators!$G$276</definedName>
    <definedName name="O2_out_COtreatment">Calculators!$Z$96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217" i="11" l="1"/>
  <c r="BQ216" i="11"/>
  <c r="BQ215" i="11"/>
  <c r="BQ214" i="11"/>
  <c r="BQ213" i="11"/>
  <c r="BQ212" i="11"/>
  <c r="BQ211" i="11"/>
  <c r="BQ218" i="11" s="1"/>
  <c r="K114" i="9"/>
  <c r="CP255" i="11" a="1"/>
  <c r="CP255" i="11" s="1"/>
  <c r="CW210" i="11"/>
  <c r="CW211" i="11"/>
  <c r="CW206" i="11" s="1"/>
  <c r="CV211" i="11"/>
  <c r="CR210" i="11"/>
  <c r="CP211" i="11"/>
  <c r="CL211" i="11"/>
  <c r="CM210" i="11" s="1"/>
  <c r="CO253" i="11"/>
  <c r="CO252" i="11"/>
  <c r="BT236" i="11" l="1"/>
  <c r="BQ236" i="11" s="1"/>
  <c r="CV206" i="11"/>
  <c r="CF210" i="11" s="1"/>
  <c r="CP210" i="9"/>
  <c r="D89" i="11"/>
  <c r="D95" i="11"/>
  <c r="BU210" i="9"/>
  <c r="CQ278" i="9"/>
  <c r="CQ277" i="9"/>
  <c r="CQ276" i="9"/>
  <c r="CQ275" i="9"/>
  <c r="CQ274" i="9"/>
  <c r="CQ273" i="9"/>
  <c r="CQ272" i="9"/>
  <c r="CQ271" i="9"/>
  <c r="CQ270" i="9"/>
  <c r="CQ269" i="9"/>
  <c r="CQ268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N278" i="9"/>
  <c r="CN277" i="9"/>
  <c r="CN276" i="9"/>
  <c r="CN275" i="9"/>
  <c r="CN274" i="9"/>
  <c r="CN273" i="9"/>
  <c r="CN272" i="9"/>
  <c r="CN271" i="9"/>
  <c r="CN270" i="9"/>
  <c r="CN269" i="9"/>
  <c r="CN268" i="9"/>
  <c r="CQ239" i="9"/>
  <c r="CQ236" i="9" a="1"/>
  <c r="CQ236" i="9" s="1"/>
  <c r="CP239" i="9"/>
  <c r="CP238" i="9"/>
  <c r="CP237" i="9"/>
  <c r="CP236" i="9"/>
  <c r="CN239" i="9"/>
  <c r="CN238" i="9"/>
  <c r="CN237" i="9"/>
  <c r="CN236" i="9"/>
  <c r="CN235" i="9"/>
  <c r="CN240" i="9" s="1"/>
  <c r="CQ225" i="9"/>
  <c r="CP225" i="9"/>
  <c r="CN225" i="9"/>
  <c r="CN219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42" i="3"/>
  <c r="D107" i="11" s="1"/>
  <c r="D113" i="11"/>
  <c r="D112" i="11"/>
  <c r="D110" i="11"/>
  <c r="G107" i="11"/>
  <c r="F114" i="11" s="1"/>
  <c r="L114" i="11"/>
  <c r="D109" i="11"/>
  <c r="F117" i="11"/>
  <c r="E29" i="3"/>
  <c r="CN279" i="9" l="1"/>
  <c r="G44" i="3"/>
  <c r="D108" i="11"/>
  <c r="G42" i="3"/>
  <c r="F115" i="11"/>
  <c r="F116" i="11"/>
  <c r="H154" i="22"/>
  <c r="F118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AI210" i="9"/>
  <c r="BB210" i="9"/>
  <c r="O210" i="9"/>
  <c r="G15" i="3"/>
  <c r="D282" i="11"/>
  <c r="D265" i="11"/>
  <c r="L241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23" i="11"/>
  <c r="L123" i="11" s="1"/>
  <c r="M233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6" i="11"/>
  <c r="M259" i="11"/>
  <c r="M258" i="11"/>
  <c r="W6" i="3"/>
  <c r="O21" i="21" s="1"/>
  <c r="M234" i="11"/>
  <c r="E39" i="3"/>
  <c r="BK250" i="9"/>
  <c r="BL25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CZ229" i="9"/>
  <c r="EG156" i="9"/>
  <c r="DK237" i="9"/>
  <c r="AA82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G98" i="11"/>
  <c r="D86" i="11"/>
  <c r="CQ235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76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8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19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7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107" i="11" l="1"/>
  <c r="BS212" i="9"/>
  <c r="J108" i="11"/>
  <c r="AG215" i="9"/>
  <c r="J111" i="11"/>
  <c r="M47" i="9"/>
  <c r="J112" i="11"/>
  <c r="J293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L115" i="22" s="1"/>
  <c r="EF240" i="9"/>
  <c r="G33" i="3"/>
  <c r="E82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77" i="11"/>
  <c r="G19" i="3"/>
  <c r="AI233" i="9" s="1"/>
  <c r="EC240" i="9"/>
  <c r="G21" i="3"/>
  <c r="Y54" i="8"/>
  <c r="D114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93" i="11"/>
  <c r="G18" i="21"/>
  <c r="H18" i="21" s="1"/>
  <c r="V6" i="21" s="1"/>
  <c r="CN142" i="9"/>
  <c r="CQ142" i="9"/>
  <c r="D277" i="11"/>
  <c r="CQ144" i="9"/>
  <c r="N21" i="21"/>
  <c r="J15" i="21"/>
  <c r="J292" i="11"/>
  <c r="D64" i="11"/>
  <c r="D65" i="11"/>
  <c r="BV156" i="9"/>
  <c r="D299" i="11"/>
  <c r="D298" i="11"/>
  <c r="AJ148" i="9"/>
  <c r="D41" i="3"/>
  <c r="E282" i="11" s="1"/>
  <c r="F282" i="11" s="1"/>
  <c r="G282" i="11" s="1"/>
  <c r="H282" i="11" s="1"/>
  <c r="G8" i="21"/>
  <c r="H8" i="21" s="1"/>
  <c r="U6" i="21" s="1"/>
  <c r="D11" i="21"/>
  <c r="G234" i="11"/>
  <c r="G259" i="11"/>
  <c r="M260" i="11" s="1"/>
  <c r="J253" i="11" s="1"/>
  <c r="E229" i="9"/>
  <c r="AG148" i="9"/>
  <c r="D260" i="11"/>
  <c r="J260" i="11"/>
  <c r="J259" i="11"/>
  <c r="M168" i="9"/>
  <c r="P168" i="9"/>
  <c r="AG147" i="9"/>
  <c r="AJ147" i="9"/>
  <c r="AF68" i="9"/>
  <c r="AI69" i="9"/>
  <c r="AI68" i="9"/>
  <c r="P241" i="9"/>
  <c r="AF69" i="9"/>
  <c r="J234" i="11"/>
  <c r="AG232" i="9"/>
  <c r="AJ232" i="9"/>
  <c r="AG233" i="9"/>
  <c r="AJ233" i="9"/>
  <c r="M241" i="9"/>
  <c r="M77" i="9"/>
  <c r="P77" i="9"/>
  <c r="J235" i="11"/>
  <c r="D235" i="11"/>
  <c r="E204" i="11"/>
  <c r="CN252" i="9"/>
  <c r="D123" i="11"/>
  <c r="AG211" i="9"/>
  <c r="AG214" i="9"/>
  <c r="E163" i="11"/>
  <c r="O163" i="11"/>
  <c r="D32" i="3"/>
  <c r="G32" i="3" s="1"/>
  <c r="EE237" i="9" s="1"/>
  <c r="J123" i="11"/>
  <c r="EG157" i="9"/>
  <c r="FA238" i="9"/>
  <c r="ED156" i="9"/>
  <c r="J122" i="11"/>
  <c r="E166" i="11"/>
  <c r="O165" i="11"/>
  <c r="H37" i="8"/>
  <c r="FD146" i="9"/>
  <c r="D39" i="3"/>
  <c r="D40" i="3"/>
  <c r="E35" i="3"/>
  <c r="DH237" i="9"/>
  <c r="DK238" i="9"/>
  <c r="BV237" i="9"/>
  <c r="AG212" i="9"/>
  <c r="AJ213" i="9"/>
  <c r="AB75" i="11"/>
  <c r="AB88" i="11"/>
  <c r="BS214" i="9"/>
  <c r="M212" i="9"/>
  <c r="D18" i="3"/>
  <c r="EC238" i="9" s="1"/>
  <c r="AJ106" i="11"/>
  <c r="BV214" i="9"/>
  <c r="AB106" i="11"/>
  <c r="EX237" i="9"/>
  <c r="D16" i="3"/>
  <c r="G16" i="3" s="1"/>
  <c r="EG159" i="9"/>
  <c r="BV213" i="9"/>
  <c r="O199" i="11"/>
  <c r="AB109" i="11"/>
  <c r="BS215" i="9"/>
  <c r="AJ109" i="11"/>
  <c r="E171" i="11"/>
  <c r="BS216" i="9"/>
  <c r="CN254" i="9"/>
  <c r="CQ254" i="9"/>
  <c r="CQ252" i="9"/>
  <c r="AJ211" i="9"/>
  <c r="FG146" i="9"/>
  <c r="AG213" i="9"/>
  <c r="DH240" i="9"/>
  <c r="M211" i="9"/>
  <c r="EX240" i="9"/>
  <c r="AB80" i="11"/>
  <c r="DK240" i="9"/>
  <c r="FA240" i="9"/>
  <c r="AB97" i="11"/>
  <c r="BS237" i="9"/>
  <c r="BS211" i="9"/>
  <c r="D36" i="3"/>
  <c r="G36" i="3" s="1"/>
  <c r="BV211" i="9"/>
  <c r="E197" i="11"/>
  <c r="D8" i="3"/>
  <c r="M59" i="11" s="1"/>
  <c r="E200" i="11"/>
  <c r="E81" i="11"/>
  <c r="D12" i="3"/>
  <c r="ED159" i="9"/>
  <c r="BS213" i="9"/>
  <c r="O197" i="11"/>
  <c r="P214" i="9"/>
  <c r="M215" i="9"/>
  <c r="M216" i="9"/>
  <c r="P211" i="9"/>
  <c r="E101" i="11"/>
  <c r="E100" i="11"/>
  <c r="M213" i="9"/>
  <c r="E98" i="11"/>
  <c r="AG216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2" i="9"/>
  <c r="BB49" i="9"/>
  <c r="CN221" i="9"/>
  <c r="AY49" i="9"/>
  <c r="AZ49" i="9" s="1"/>
  <c r="AZ211" i="9"/>
  <c r="CQ221" i="9"/>
  <c r="AZ214" i="9"/>
  <c r="BC213" i="9"/>
  <c r="BC214" i="9"/>
  <c r="CQ222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S218" i="9" l="1"/>
  <c r="J114" i="11"/>
  <c r="E103" i="11" s="1"/>
  <c r="BT47" i="9"/>
  <c r="FF146" i="9"/>
  <c r="AH68" i="9"/>
  <c r="CP252" i="9"/>
  <c r="Y55" i="8"/>
  <c r="X54" i="8" s="1"/>
  <c r="BB216" i="9"/>
  <c r="BU216" i="9"/>
  <c r="BB131" i="9"/>
  <c r="AI216" i="9"/>
  <c r="EF131" i="9"/>
  <c r="O216" i="9"/>
  <c r="AI147" i="9"/>
  <c r="AK134" i="22"/>
  <c r="AR57" i="9"/>
  <c r="AI232" i="9"/>
  <c r="CP224" i="9"/>
  <c r="AH47" i="9"/>
  <c r="BA47" i="9"/>
  <c r="J228" i="11"/>
  <c r="M235" i="11"/>
  <c r="BA48" i="9"/>
  <c r="CP219" i="9"/>
  <c r="O211" i="9"/>
  <c r="DJ240" i="9"/>
  <c r="BB215" i="9"/>
  <c r="CP118" i="9"/>
  <c r="CP119" i="9" s="1"/>
  <c r="Z129" i="22" s="1"/>
  <c r="Z60" i="9"/>
  <c r="AA60" i="9" s="1"/>
  <c r="BT59" i="9"/>
  <c r="AI148" i="9"/>
  <c r="O51" i="9"/>
  <c r="EF145" i="9"/>
  <c r="AH69" i="9"/>
  <c r="EE240" i="9"/>
  <c r="O168" i="9"/>
  <c r="E104" i="11"/>
  <c r="EF159" i="9"/>
  <c r="BU237" i="9"/>
  <c r="EZ240" i="9"/>
  <c r="FF147" i="9"/>
  <c r="CP254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1" i="9"/>
  <c r="BU214" i="9"/>
  <c r="CP222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3" i="9"/>
  <c r="BU215" i="9"/>
  <c r="O46" i="9"/>
  <c r="BT46" i="9"/>
  <c r="AH46" i="9"/>
  <c r="AI211" i="9"/>
  <c r="O214" i="9"/>
  <c r="BB214" i="9"/>
  <c r="EF133" i="9"/>
  <c r="BT60" i="9"/>
  <c r="O213" i="9"/>
  <c r="BB213" i="9"/>
  <c r="K5" i="21"/>
  <c r="U5" i="21" s="1"/>
  <c r="G18" i="3"/>
  <c r="BU212" i="9"/>
  <c r="AI212" i="9"/>
  <c r="O212" i="9"/>
  <c r="CP220" i="9"/>
  <c r="BB212" i="9"/>
  <c r="CP130" i="9"/>
  <c r="CP131" i="9" s="1"/>
  <c r="EF132" i="9"/>
  <c r="CP235" i="9"/>
  <c r="EF156" i="9"/>
  <c r="EZ237" i="9"/>
  <c r="DJ237" i="9"/>
  <c r="CN143" i="9"/>
  <c r="CN145" i="9" s="1"/>
  <c r="G8" i="3"/>
  <c r="E265" i="11"/>
  <c r="F265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8" i="11"/>
  <c r="EG105" i="9"/>
  <c r="D275" i="11"/>
  <c r="ED105" i="9"/>
  <c r="ED106" i="9" s="1"/>
  <c r="D276" i="11"/>
  <c r="ED144" i="9"/>
  <c r="D292" i="11"/>
  <c r="E85" i="11"/>
  <c r="D291" i="11"/>
  <c r="ED118" i="9"/>
  <c r="ED119" i="9" s="1"/>
  <c r="J275" i="11"/>
  <c r="J291" i="11"/>
  <c r="M277" i="11"/>
  <c r="J270" i="11" s="1"/>
  <c r="M144" i="9"/>
  <c r="M145" i="9" s="1"/>
  <c r="AF67" i="9"/>
  <c r="AF70" i="9" s="1"/>
  <c r="AG146" i="9"/>
  <c r="AG149" i="9" s="1"/>
  <c r="J258" i="11"/>
  <c r="M155" i="9"/>
  <c r="M156" i="9" s="1"/>
  <c r="D258" i="11"/>
  <c r="M167" i="9"/>
  <c r="M169" i="9" s="1"/>
  <c r="D259" i="11"/>
  <c r="D233" i="11"/>
  <c r="M63" i="9"/>
  <c r="M64" i="9" s="1"/>
  <c r="M226" i="9"/>
  <c r="M227" i="9" s="1"/>
  <c r="E12" i="8"/>
  <c r="D122" i="11"/>
  <c r="D234" i="11"/>
  <c r="M76" i="9"/>
  <c r="M78" i="9" s="1"/>
  <c r="M240" i="9"/>
  <c r="M242" i="9" s="1"/>
  <c r="J233" i="11"/>
  <c r="AG231" i="9"/>
  <c r="AG234" i="9" s="1"/>
  <c r="AB107" i="11"/>
  <c r="BS156" i="9" a="1"/>
  <c r="BS156" i="9" s="1"/>
  <c r="BS157" i="9" s="1"/>
  <c r="F37" i="8" a="1"/>
  <c r="F37" i="8" s="1"/>
  <c r="D59" i="11"/>
  <c r="E198" i="11"/>
  <c r="EX238" i="9"/>
  <c r="D121" i="11"/>
  <c r="BS248" i="9" a="1"/>
  <c r="BS248" i="9" s="1"/>
  <c r="BS249" i="9" s="1"/>
  <c r="J121" i="11"/>
  <c r="Y50" i="8"/>
  <c r="AB95" i="11"/>
  <c r="DH238" i="9"/>
  <c r="AB81" i="11"/>
  <c r="AJ107" i="11"/>
  <c r="E164" i="11"/>
  <c r="ED157" i="9"/>
  <c r="O164" i="11"/>
  <c r="E84" i="11"/>
  <c r="E199" i="11"/>
  <c r="ED158" i="9"/>
  <c r="EX239" i="9"/>
  <c r="DH239" i="9"/>
  <c r="E203" i="11"/>
  <c r="BS236" i="9"/>
  <c r="AG217" i="9"/>
  <c r="E165" i="11"/>
  <c r="O198" i="11"/>
  <c r="CN253" i="9"/>
  <c r="CN255" i="9" s="1"/>
  <c r="AJ108" i="11"/>
  <c r="AB76" i="11"/>
  <c r="AB79" i="11"/>
  <c r="Y51" i="8"/>
  <c r="AB108" i="11"/>
  <c r="E170" i="11"/>
  <c r="E172" i="11" s="1"/>
  <c r="AB96" i="11"/>
  <c r="D60" i="11"/>
  <c r="E83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S238" i="9" l="1"/>
  <c r="AT57" i="9"/>
  <c r="E86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36" i="9"/>
  <c r="BU238" i="9" s="1"/>
  <c r="BA84" i="22" s="1"/>
  <c r="BA44" i="22" s="1"/>
  <c r="G153" i="22"/>
  <c r="EE238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AI146" i="9"/>
  <c r="FF145" i="9"/>
  <c r="CP143" i="9"/>
  <c r="CP253" i="9"/>
  <c r="AH67" i="9"/>
  <c r="AI231" i="9"/>
  <c r="G265" i="11"/>
  <c r="H265" i="11" s="1"/>
  <c r="P155" i="9" s="1"/>
  <c r="BN20" i="8"/>
  <c r="EF157" i="9"/>
  <c r="EZ238" i="9"/>
  <c r="BU248" i="9"/>
  <c r="BU249" i="9" s="1"/>
  <c r="BU156" i="9"/>
  <c r="BU157" i="9" s="1"/>
  <c r="AZ85" i="22" s="1"/>
  <c r="AZ45" i="22" s="1"/>
  <c r="DJ238" i="9"/>
  <c r="EF118" i="9"/>
  <c r="EF119" i="9" s="1"/>
  <c r="BE85" i="22" s="1"/>
  <c r="BE45" i="22" s="1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0" i="9"/>
  <c r="CQ220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/>
  <c r="CQ253" i="9"/>
  <c r="CQ255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4" i="9"/>
  <c r="CQ224" i="9"/>
  <c r="BC216" i="9"/>
  <c r="AZ215" i="9"/>
  <c r="CN223" i="9"/>
  <c r="AY46" i="9"/>
  <c r="BC215" i="9"/>
  <c r="CQ223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N226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74" i="11"/>
  <c r="C89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C91" i="11" l="1"/>
  <c r="C92" i="11"/>
  <c r="C93" i="11"/>
  <c r="C90" i="11"/>
  <c r="CL210" i="9" s="1"/>
  <c r="F89" i="11"/>
  <c r="I92" i="11" s="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D74" i="11"/>
  <c r="U132" i="9"/>
  <c r="V130" i="9"/>
  <c r="Q117" i="9" s="1"/>
  <c r="EE133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 l="1"/>
  <c r="CV206" i="9" s="1"/>
  <c r="CP211" i="9"/>
  <c r="C95" i="1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V132" i="9"/>
  <c r="V126" i="9" s="1"/>
  <c r="L64" i="9"/>
  <c r="U59" i="9" s="1"/>
  <c r="N63" i="9"/>
  <c r="BL44" i="8"/>
  <c r="CM210" i="9" l="1"/>
  <c r="CM211" i="9" s="1"/>
  <c r="BI85" i="20"/>
  <c r="J171" i="20" s="1"/>
  <c r="G8" i="14"/>
  <c r="D57" i="14"/>
  <c r="F8" i="14"/>
  <c r="D54" i="14"/>
  <c r="F9" i="14"/>
  <c r="E54" i="14"/>
  <c r="G9" i="14"/>
  <c r="E57" i="14"/>
  <c r="BI103" i="20"/>
  <c r="J189" i="20" s="1"/>
  <c r="BG59" i="20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N64" i="9"/>
  <c r="Q63" i="9" s="1"/>
  <c r="R63" i="9" s="1"/>
  <c r="S63" i="9" s="1"/>
  <c r="F7" i="12"/>
  <c r="F6" i="12"/>
  <c r="G6" i="12"/>
  <c r="BI86" i="20" l="1"/>
  <c r="J172" i="20" s="1"/>
  <c r="Y63" i="9"/>
  <c r="AA62" i="9"/>
  <c r="Z61" i="9"/>
  <c r="AA61" i="9" s="1"/>
  <c r="Z63" i="9"/>
  <c r="AD67" i="9"/>
  <c r="AD68" i="9"/>
  <c r="K76" i="9"/>
  <c r="AD130" i="22" l="1"/>
  <c r="BL108" i="22"/>
  <c r="Y64" i="9"/>
  <c r="AG69" i="9"/>
  <c r="Z64" i="9" s="1"/>
  <c r="AA63" i="9"/>
  <c r="K77" i="9"/>
  <c r="U72" i="9" s="1"/>
  <c r="K217" i="9"/>
  <c r="U206" i="9" s="1"/>
  <c r="AA64" i="9" l="1"/>
  <c r="O217" i="9" a="1"/>
  <c r="O217" i="9" s="1"/>
  <c r="AQ117" i="22"/>
  <c r="AQ84" i="15"/>
  <c r="AQ44" i="15" s="1"/>
  <c r="AA193" i="9"/>
  <c r="F226" i="9"/>
  <c r="F228" i="9"/>
  <c r="F227" i="9"/>
  <c r="L77" i="9"/>
  <c r="L76" i="9"/>
  <c r="AD69" i="9"/>
  <c r="AG70" i="9"/>
  <c r="AA185" i="9"/>
  <c r="AA191" i="9"/>
  <c r="AA189" i="9"/>
  <c r="AA190" i="9"/>
  <c r="AA188" i="9"/>
  <c r="AA187" i="9"/>
  <c r="AA192" i="9"/>
  <c r="AA194" i="9"/>
  <c r="AA186" i="9"/>
  <c r="E152" i="15"/>
  <c r="E160" i="15" s="1"/>
  <c r="AS83" i="15"/>
  <c r="AS43" i="15" s="1"/>
  <c r="X128" i="22" l="1"/>
  <c r="BA102" i="22"/>
  <c r="BA62" i="22" s="1"/>
  <c r="E151" i="22"/>
  <c r="E159" i="22" s="1"/>
  <c r="AS83" i="22"/>
  <c r="AS43" i="22" s="1"/>
  <c r="AQ117" i="15"/>
  <c r="BF83" i="15"/>
  <c r="G170" i="15" s="1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L35" i="9"/>
  <c r="J36" i="11"/>
  <c r="AX130" i="9"/>
  <c r="AE130" i="9"/>
  <c r="F8" i="17" l="1"/>
  <c r="H8" i="17" s="1"/>
  <c r="C215" i="22"/>
  <c r="BF83" i="22"/>
  <c r="G169" i="22" s="1"/>
  <c r="M120" i="22"/>
  <c r="BL91" i="22"/>
  <c r="AH130" i="9"/>
  <c r="AR137" i="9" s="1"/>
  <c r="BF102" i="22"/>
  <c r="G188" i="22" s="1"/>
  <c r="AL128" i="22"/>
  <c r="X136" i="22"/>
  <c r="N240" i="9"/>
  <c r="AH233" i="9"/>
  <c r="N241" i="9" s="1"/>
  <c r="AC195" i="9"/>
  <c r="AV93" i="20" s="1"/>
  <c r="AV49" i="20" s="1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91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33" i="1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5" i="11" s="1"/>
  <c r="E275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91" i="11"/>
  <c r="K291" i="11" s="1"/>
  <c r="C299" i="11"/>
  <c r="C298" i="11" s="1"/>
  <c r="C301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AH231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33" i="11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X117" i="22" l="1"/>
  <c r="EE105" i="9"/>
  <c r="EC106" i="9"/>
  <c r="EL101" i="9" s="1"/>
  <c r="J157" i="15" s="1"/>
  <c r="J160" i="15" s="1"/>
  <c r="AL124" i="22"/>
  <c r="G11" i="17"/>
  <c r="I11" i="17" s="1"/>
  <c r="BF97" i="22"/>
  <c r="G183" i="22" s="1"/>
  <c r="BF92" i="22"/>
  <c r="G178" i="22" s="1"/>
  <c r="C258" i="11"/>
  <c r="E258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92" i="11"/>
  <c r="I292" i="11" s="1"/>
  <c r="C302" i="1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C243" i="11"/>
  <c r="K234" i="11"/>
  <c r="I234" i="11" s="1"/>
  <c r="AE232" i="9" s="1"/>
  <c r="K233" i="11"/>
  <c r="E234" i="11"/>
  <c r="EE106" i="9"/>
  <c r="EH105" i="9" s="1"/>
  <c r="EI105" i="9" s="1"/>
  <c r="EJ105" i="9" s="1"/>
  <c r="EK105" i="9" s="1"/>
  <c r="EL105" i="9" s="1"/>
  <c r="EM105" i="9" s="1"/>
  <c r="K276" i="11"/>
  <c r="I276" i="11" s="1"/>
  <c r="K275" i="11"/>
  <c r="E276" i="11"/>
  <c r="I291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H159" i="22"/>
  <c r="BF88" i="22"/>
  <c r="G174" i="22" s="1"/>
  <c r="BF87" i="22"/>
  <c r="G173" i="22" s="1"/>
  <c r="W136" i="22"/>
  <c r="AL127" i="22"/>
  <c r="BF101" i="22"/>
  <c r="G187" i="22" s="1"/>
  <c r="E298" i="11"/>
  <c r="G298" i="11" s="1"/>
  <c r="H298" i="11" s="1"/>
  <c r="E292" i="11"/>
  <c r="G292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4" i="11"/>
  <c r="E235" i="11"/>
  <c r="I233" i="11"/>
  <c r="AE231" i="9" s="1"/>
  <c r="C241" i="11"/>
  <c r="C242" i="11"/>
  <c r="I275" i="11"/>
  <c r="EM106" i="9"/>
  <c r="EM101" i="9" s="1"/>
  <c r="F28" i="17" s="1"/>
  <c r="G28" i="17" s="1"/>
  <c r="EL106" i="9"/>
  <c r="E277" i="11"/>
  <c r="C276" i="11"/>
  <c r="EM119" i="9"/>
  <c r="EM114" i="9" s="1"/>
  <c r="EL119" i="9"/>
  <c r="E259" i="11"/>
  <c r="K259" i="11"/>
  <c r="I259" i="11" s="1"/>
  <c r="K258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BF82" i="15"/>
  <c r="G169" i="15" s="1"/>
  <c r="D17" i="14"/>
  <c r="D16" i="12"/>
  <c r="I44" i="11"/>
  <c r="J39" i="11"/>
  <c r="J44" i="11" s="1"/>
  <c r="CL119" i="9"/>
  <c r="CV114" i="9" s="1"/>
  <c r="EM134" i="9"/>
  <c r="EM126" i="9" s="1"/>
  <c r="CO119" i="9"/>
  <c r="CR118" i="9" s="1"/>
  <c r="CS118" i="9" s="1"/>
  <c r="BW132" i="9"/>
  <c r="CA132" i="9"/>
  <c r="F18" i="14" l="1"/>
  <c r="E55" i="14"/>
  <c r="F17" i="14"/>
  <c r="D55" i="14"/>
  <c r="E293" i="11"/>
  <c r="E294" i="11" s="1"/>
  <c r="C292" i="11"/>
  <c r="BM104" i="22"/>
  <c r="BF86" i="22"/>
  <c r="G172" i="22" s="1"/>
  <c r="G243" i="11"/>
  <c r="G242" i="11" s="1"/>
  <c r="G241" i="11" s="1"/>
  <c r="C247" i="11"/>
  <c r="E243" i="11"/>
  <c r="E241" i="11" s="1"/>
  <c r="C248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5" i="11"/>
  <c r="C235" i="11"/>
  <c r="C236" i="11" s="1"/>
  <c r="E236" i="11"/>
  <c r="K240" i="9"/>
  <c r="C277" i="11"/>
  <c r="C278" i="11" s="1"/>
  <c r="K277" i="11"/>
  <c r="E278" i="11"/>
  <c r="M293" i="11"/>
  <c r="J286" i="11" s="1"/>
  <c r="AE146" i="9"/>
  <c r="AE147" i="9"/>
  <c r="I258" i="11"/>
  <c r="E260" i="11"/>
  <c r="C259" i="11"/>
  <c r="K167" i="9"/>
  <c r="N168" i="9"/>
  <c r="Y143" i="9" s="1"/>
  <c r="BM102" i="15"/>
  <c r="F13" i="13"/>
  <c r="BM91" i="15"/>
  <c r="G16" i="14"/>
  <c r="D15" i="12"/>
  <c r="F15" i="12"/>
  <c r="F16" i="12"/>
  <c r="CB132" i="9"/>
  <c r="CB126" i="9" s="1"/>
  <c r="G18" i="14"/>
  <c r="CT118" i="9"/>
  <c r="CU118" i="9" s="1"/>
  <c r="CV118" i="9" s="1"/>
  <c r="C293" i="11" l="1"/>
  <c r="C294" i="11" s="1"/>
  <c r="K293" i="11"/>
  <c r="I293" i="11" s="1"/>
  <c r="I294" i="11" s="1"/>
  <c r="BI116" i="20"/>
  <c r="J202" i="20" s="1"/>
  <c r="BH72" i="20"/>
  <c r="BI92" i="20"/>
  <c r="J178" i="20" s="1"/>
  <c r="BH48" i="20"/>
  <c r="BI91" i="20"/>
  <c r="J177" i="20" s="1"/>
  <c r="AU47" i="20"/>
  <c r="Z136" i="22"/>
  <c r="E242" i="11"/>
  <c r="C249" i="11"/>
  <c r="N241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5" i="11"/>
  <c r="I236" i="11" s="1"/>
  <c r="K236" i="11"/>
  <c r="I277" i="11"/>
  <c r="I278" i="11" s="1"/>
  <c r="K278" i="11"/>
  <c r="K168" i="9"/>
  <c r="K169" i="9" s="1"/>
  <c r="U163" i="9" s="1"/>
  <c r="AH148" i="9"/>
  <c r="Z143" i="9" s="1"/>
  <c r="AA143" i="9" s="1"/>
  <c r="K260" i="11"/>
  <c r="C260" i="11"/>
  <c r="C261" i="11" s="1"/>
  <c r="E261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94" i="11" l="1"/>
  <c r="G17" i="14"/>
  <c r="D58" i="14"/>
  <c r="O169" i="9" a="1"/>
  <c r="O169" i="9" s="1"/>
  <c r="AR84" i="22" s="1"/>
  <c r="AR44" i="22" s="1"/>
  <c r="AS117" i="22"/>
  <c r="M241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60" i="11"/>
  <c r="I261" i="11" s="1"/>
  <c r="K261" i="11"/>
  <c r="L167" i="9"/>
  <c r="G15" i="12"/>
  <c r="AR117" i="22" l="1"/>
  <c r="Q122" i="22"/>
  <c r="BL95" i="22"/>
  <c r="O241" i="11"/>
  <c r="P241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H228" i="9"/>
  <c r="AC194" i="9"/>
  <c r="AC193" i="9"/>
  <c r="AC189" i="9"/>
  <c r="H226" i="9"/>
  <c r="AC190" i="9"/>
  <c r="H227" i="9"/>
  <c r="AC191" i="9"/>
  <c r="AC186" i="9"/>
  <c r="AC188" i="9"/>
  <c r="AC185" i="9"/>
  <c r="AC187" i="9"/>
  <c r="AC192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O122" i="15"/>
  <c r="O137" i="15" s="1"/>
  <c r="Y130" i="9"/>
  <c r="E17" i="12" s="1"/>
  <c r="BL93" i="15"/>
  <c r="AO149" i="9"/>
  <c r="AP146" i="9"/>
  <c r="AP149" i="9" s="1"/>
  <c r="AP142" i="9" s="1"/>
  <c r="AF149" i="9"/>
  <c r="E18" i="14" l="1"/>
  <c r="E52" i="14"/>
  <c r="AU121" i="20"/>
  <c r="AU46" i="20"/>
  <c r="O136" i="22"/>
  <c r="AL121" i="22"/>
  <c r="E16" i="12"/>
  <c r="BI90" i="20"/>
  <c r="J176" i="20" s="1"/>
  <c r="E16" i="14"/>
  <c r="E14" i="12"/>
  <c r="E5" i="12"/>
  <c r="E7" i="14"/>
  <c r="D8" i="14"/>
  <c r="D6" i="12"/>
  <c r="D7" i="12"/>
  <c r="D9" i="14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BM108" i="22" l="1"/>
  <c r="R140" i="20"/>
  <c r="E17" i="14"/>
  <c r="E15" i="12"/>
  <c r="BM99" i="15"/>
  <c r="AD136" i="22" l="1"/>
  <c r="AX217" i="9"/>
  <c r="BB217" i="9" s="1" a="1"/>
  <c r="BB217" i="9" s="1"/>
  <c r="AY98" i="22" l="1"/>
  <c r="AY58" i="22" s="1"/>
  <c r="T125" i="22"/>
  <c r="BK194" i="9"/>
  <c r="BM194" i="9" s="1"/>
  <c r="L210" i="9"/>
  <c r="BH206" i="9"/>
  <c r="AE217" i="9"/>
  <c r="AI217" i="9" s="1" a="1"/>
  <c r="AI217" i="9" s="1"/>
  <c r="BK193" i="9"/>
  <c r="BM193" i="9" s="1"/>
  <c r="AY210" i="9"/>
  <c r="AF210" i="9"/>
  <c r="Y222" i="9" s="1"/>
  <c r="Y221" i="9" s="1"/>
  <c r="BK190" i="9"/>
  <c r="BK192" i="9"/>
  <c r="BM192" i="9" s="1"/>
  <c r="BK191" i="9"/>
  <c r="BM191" i="9" s="1"/>
  <c r="AV94" i="22" l="1"/>
  <c r="AV54" i="22" s="1"/>
  <c r="P122" i="22"/>
  <c r="T126" i="15"/>
  <c r="T137" i="15" s="1"/>
  <c r="AY98" i="15"/>
  <c r="AY58" i="15" s="1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F19" i="17"/>
  <c r="C38" i="12" s="1"/>
  <c r="BI93" i="20"/>
  <c r="J179" i="20" s="1"/>
  <c r="AV117" i="15"/>
  <c r="BF94" i="15"/>
  <c r="G181" i="15" s="1"/>
  <c r="E25" i="12"/>
  <c r="F25" i="12"/>
  <c r="C59" i="11" l="1"/>
  <c r="BT156" i="9"/>
  <c r="BR157" i="9"/>
  <c r="CA152" i="9"/>
  <c r="G159" i="22" l="1"/>
  <c r="CE144" i="9"/>
  <c r="CE140" i="9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CB157" i="9"/>
  <c r="D51" i="11"/>
  <c r="L59" i="11" l="1"/>
  <c r="E60" i="11"/>
  <c r="BC89" i="20"/>
  <c r="BC45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BL105" i="22" s="1"/>
  <c r="CM143" i="9"/>
  <c r="CM142" i="9"/>
  <c r="BX144" i="9"/>
  <c r="BY144" i="9" s="1"/>
  <c r="BZ144" i="9" s="1"/>
  <c r="CA144" i="9" s="1"/>
  <c r="BW146" i="9"/>
  <c r="Q136" i="22"/>
  <c r="AL122" i="22"/>
  <c r="Q137" i="15"/>
  <c r="CM144" i="9"/>
  <c r="CV138" i="9"/>
  <c r="AA129" i="22" l="1"/>
  <c r="CA146" i="9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B121" i="20" l="1"/>
  <c r="AY121" i="20" l="1"/>
  <c r="BM93" i="15" l="1"/>
  <c r="BM100" i="15"/>
  <c r="BM106" i="15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BM110" i="15" l="1"/>
  <c r="BM110" i="22"/>
  <c r="BP114" i="20" l="1"/>
  <c r="AH234" i="9" l="1"/>
  <c r="AK233" i="9" s="1"/>
  <c r="AL233" i="9" s="1"/>
  <c r="AM233" i="9" s="1"/>
  <c r="AN233" i="9" s="1"/>
  <c r="AO233" i="9" s="1"/>
  <c r="AP233" i="9" s="1"/>
  <c r="N242" i="9"/>
  <c r="Q240" i="9" s="1"/>
  <c r="R240" i="9" s="1"/>
  <c r="S240" i="9" s="1"/>
  <c r="T240" i="9" s="1"/>
  <c r="U240" i="9" s="1"/>
  <c r="F159" i="22" l="1"/>
  <c r="C167" i="22" s="1" a="1"/>
  <c r="C167" i="22" s="1"/>
  <c r="AK232" i="9"/>
  <c r="AL232" i="9" s="1"/>
  <c r="AM232" i="9" s="1"/>
  <c r="AN232" i="9" s="1"/>
  <c r="AO232" i="9" s="1"/>
  <c r="AP232" i="9" s="1"/>
  <c r="AK231" i="9"/>
  <c r="V240" i="9"/>
  <c r="Q241" i="9"/>
  <c r="R241" i="9" s="1"/>
  <c r="S241" i="9" s="1"/>
  <c r="T241" i="9" s="1"/>
  <c r="U241" i="9" s="1"/>
  <c r="U242" i="9" s="1"/>
  <c r="BF84" i="22" l="1"/>
  <c r="G170" i="22" s="1"/>
  <c r="AL231" i="9"/>
  <c r="AM231" i="9" s="1"/>
  <c r="AN231" i="9" s="1"/>
  <c r="AO231" i="9" s="1"/>
  <c r="AK234" i="9"/>
  <c r="BF84" i="15"/>
  <c r="G171" i="15" s="1"/>
  <c r="V241" i="9"/>
  <c r="V242" i="9" s="1"/>
  <c r="V236" i="9" s="1"/>
  <c r="AP231" i="9" l="1"/>
  <c r="AP234" i="9" s="1"/>
  <c r="AP227" i="9" s="1"/>
  <c r="AO234" i="9"/>
  <c r="AV88" i="20"/>
  <c r="AV44" i="20" s="1"/>
  <c r="BI88" i="20" l="1"/>
  <c r="J174" i="20" s="1"/>
  <c r="X210" i="9"/>
  <c r="L17" i="13" s="1"/>
  <c r="BO99" i="20"/>
  <c r="BP99" i="20" s="1"/>
  <c r="T126" i="20"/>
  <c r="T140" i="20" l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H17" i="14"/>
  <c r="AO133" i="20" l="1"/>
  <c r="H221" i="20" s="1"/>
  <c r="I90" i="11"/>
  <c r="F90" i="11"/>
  <c r="H92" i="11" s="1"/>
  <c r="K90" i="11"/>
  <c r="G74" i="11"/>
  <c r="G78" i="11" s="1"/>
  <c r="E118" i="11" s="1"/>
  <c r="E117" i="11" s="1"/>
  <c r="AB131" i="15"/>
  <c r="L90" i="11"/>
  <c r="F93" i="11"/>
  <c r="L92" i="11" s="1"/>
  <c r="L93" i="11" s="1"/>
  <c r="J90" i="11"/>
  <c r="F91" i="11"/>
  <c r="J92" i="11" s="1"/>
  <c r="J93" i="11" s="1"/>
  <c r="G73" i="11" l="1"/>
  <c r="G76" i="11"/>
  <c r="G77" i="11"/>
  <c r="E116" i="11"/>
  <c r="H93" i="11"/>
  <c r="AB137" i="15"/>
  <c r="CL278" i="9"/>
  <c r="C117" i="11"/>
  <c r="BD106" i="15"/>
  <c r="DV131" i="9"/>
  <c r="D34" i="12" s="1"/>
  <c r="E108" i="11"/>
  <c r="E111" i="11"/>
  <c r="E112" i="11"/>
  <c r="E115" i="11"/>
  <c r="E107" i="11"/>
  <c r="E110" i="11"/>
  <c r="E114" i="11"/>
  <c r="E109" i="11"/>
  <c r="E113" i="11"/>
  <c r="M90" i="11"/>
  <c r="N90" i="11" s="1"/>
  <c r="F92" i="11"/>
  <c r="G75" i="11"/>
  <c r="C86" i="11" s="1"/>
  <c r="C103" i="11" l="1"/>
  <c r="K114" i="11"/>
  <c r="K112" i="11" s="1"/>
  <c r="CL277" i="9"/>
  <c r="CO277" i="9" s="1"/>
  <c r="C116" i="11"/>
  <c r="C109" i="11"/>
  <c r="CL270" i="9"/>
  <c r="C112" i="11"/>
  <c r="CL273" i="9"/>
  <c r="BF106" i="15"/>
  <c r="G193" i="15" s="1"/>
  <c r="BD117" i="15"/>
  <c r="BD66" i="15"/>
  <c r="C81" i="11"/>
  <c r="C85" i="11"/>
  <c r="C83" i="11"/>
  <c r="Z82" i="11"/>
  <c r="C82" i="11"/>
  <c r="C84" i="11"/>
  <c r="CL274" i="9"/>
  <c r="C113" i="11"/>
  <c r="CL275" i="9"/>
  <c r="C114" i="11"/>
  <c r="CL271" i="9"/>
  <c r="C110" i="11"/>
  <c r="CL276" i="9"/>
  <c r="C115" i="11"/>
  <c r="C111" i="11"/>
  <c r="CL272" i="9"/>
  <c r="C108" i="11"/>
  <c r="CL269" i="9"/>
  <c r="C107" i="11"/>
  <c r="CL268" i="9"/>
  <c r="CO278" i="9"/>
  <c r="F101" i="11"/>
  <c r="K92" i="11"/>
  <c r="K109" i="11"/>
  <c r="K111" i="11"/>
  <c r="K113" i="11"/>
  <c r="K110" i="11"/>
  <c r="K107" i="11"/>
  <c r="K108" i="11"/>
  <c r="CO271" i="9" l="1"/>
  <c r="CO275" i="9"/>
  <c r="CL225" i="9"/>
  <c r="BQ217" i="9" s="1"/>
  <c r="I113" i="11"/>
  <c r="CO274" i="9"/>
  <c r="C101" i="11"/>
  <c r="K100" i="11"/>
  <c r="CO276" i="9"/>
  <c r="CL223" i="9"/>
  <c r="BQ215" i="9" s="1"/>
  <c r="I111" i="11"/>
  <c r="CL221" i="9"/>
  <c r="BQ213" i="9" s="1"/>
  <c r="I109" i="11"/>
  <c r="CL238" i="9"/>
  <c r="F84" i="11"/>
  <c r="K93" i="11"/>
  <c r="CK210" i="9" s="1"/>
  <c r="M92" i="11"/>
  <c r="Z81" i="11"/>
  <c r="AC81" i="11" s="1"/>
  <c r="Z78" i="11"/>
  <c r="AC78" i="11" s="1"/>
  <c r="Z76" i="11"/>
  <c r="AC76" i="11" s="1"/>
  <c r="Z79" i="11"/>
  <c r="AC79" i="11" s="1"/>
  <c r="Z75" i="11"/>
  <c r="AC75" i="11" s="1"/>
  <c r="Z80" i="11"/>
  <c r="AC80" i="11" s="1"/>
  <c r="F82" i="11"/>
  <c r="CL236" i="9"/>
  <c r="CL237" i="9"/>
  <c r="F83" i="11"/>
  <c r="CO273" i="9"/>
  <c r="F85" i="11"/>
  <c r="CL239" i="9"/>
  <c r="F81" i="11"/>
  <c r="CL235" i="9"/>
  <c r="CO268" i="9"/>
  <c r="CL279" i="9"/>
  <c r="CM275" i="9" s="1"/>
  <c r="CO269" i="9"/>
  <c r="CL220" i="9"/>
  <c r="BQ212" i="9" s="1"/>
  <c r="I108" i="11"/>
  <c r="CO270" i="9"/>
  <c r="CL224" i="9"/>
  <c r="BQ216" i="9" s="1"/>
  <c r="I112" i="11"/>
  <c r="CO272" i="9"/>
  <c r="I107" i="11"/>
  <c r="CL219" i="9"/>
  <c r="BQ211" i="9" s="1"/>
  <c r="I110" i="11"/>
  <c r="CL222" i="9"/>
  <c r="BQ214" i="9" s="1"/>
  <c r="CM268" i="9" l="1"/>
  <c r="F100" i="11"/>
  <c r="CM276" i="9"/>
  <c r="CM272" i="9"/>
  <c r="CM273" i="9"/>
  <c r="CM274" i="9"/>
  <c r="CM270" i="9"/>
  <c r="CL240" i="9"/>
  <c r="CV231" i="9" s="1"/>
  <c r="CO235" i="9"/>
  <c r="CO239" i="9"/>
  <c r="CO221" i="9"/>
  <c r="AX213" i="9"/>
  <c r="CM237" i="9"/>
  <c r="CO237" i="9"/>
  <c r="J100" i="11"/>
  <c r="C100" i="11"/>
  <c r="F86" i="11"/>
  <c r="F98" i="11"/>
  <c r="AX215" i="9"/>
  <c r="CO223" i="9"/>
  <c r="CO224" i="9"/>
  <c r="AX216" i="9"/>
  <c r="AH85" i="11"/>
  <c r="CO222" i="9"/>
  <c r="AX214" i="9"/>
  <c r="AH75" i="11"/>
  <c r="AH76" i="11"/>
  <c r="AJ76" i="11" s="1"/>
  <c r="AJ75" i="11"/>
  <c r="CO225" i="9"/>
  <c r="CO236" i="9"/>
  <c r="F102" i="11"/>
  <c r="F99" i="11"/>
  <c r="AC97" i="11"/>
  <c r="AC82" i="11"/>
  <c r="AD75" i="11" s="1"/>
  <c r="AJ81" i="11"/>
  <c r="AJ80" i="11" s="1"/>
  <c r="CO220" i="9"/>
  <c r="AX212" i="9"/>
  <c r="CM269" i="9"/>
  <c r="AH95" i="11"/>
  <c r="CV264" i="9"/>
  <c r="CM277" i="9"/>
  <c r="CM278" i="9"/>
  <c r="CO210" i="9"/>
  <c r="CQ210" i="9"/>
  <c r="CM271" i="9"/>
  <c r="CO238" i="9"/>
  <c r="CL226" i="9"/>
  <c r="CV215" i="9" s="1"/>
  <c r="CO219" i="9"/>
  <c r="AX211" i="9"/>
  <c r="I114" i="11"/>
  <c r="F103" i="11" s="1"/>
  <c r="CO279" i="9"/>
  <c r="CR274" i="9" s="1"/>
  <c r="CO211" i="9" l="1"/>
  <c r="CR210" i="9"/>
  <c r="AD79" i="11"/>
  <c r="CR269" i="9"/>
  <c r="CR270" i="9"/>
  <c r="CS270" i="9" s="1"/>
  <c r="CT270" i="9" s="1"/>
  <c r="CU270" i="9" s="1"/>
  <c r="CV270" i="9" s="1"/>
  <c r="CW270" i="9" s="1"/>
  <c r="CR275" i="9"/>
  <c r="CS275" i="9" s="1"/>
  <c r="CT275" i="9" s="1"/>
  <c r="CU275" i="9" s="1"/>
  <c r="CV275" i="9" s="1"/>
  <c r="CW275" i="9" s="1"/>
  <c r="CR271" i="9"/>
  <c r="CS271" i="9" s="1"/>
  <c r="CT271" i="9" s="1"/>
  <c r="CU271" i="9" s="1"/>
  <c r="CV271" i="9" s="1"/>
  <c r="CW271" i="9" s="1"/>
  <c r="CR268" i="9"/>
  <c r="CM239" i="9"/>
  <c r="CP240" i="9" a="1"/>
  <c r="CP240" i="9" s="1"/>
  <c r="AC130" i="22" s="1"/>
  <c r="CM219" i="9"/>
  <c r="CM238" i="9"/>
  <c r="CM236" i="9"/>
  <c r="CM279" i="9"/>
  <c r="CM222" i="9"/>
  <c r="CP226" i="9" a="1"/>
  <c r="CP226" i="9" s="1"/>
  <c r="AD78" i="11"/>
  <c r="AY214" i="9"/>
  <c r="BA214" i="9"/>
  <c r="AE214" i="9"/>
  <c r="CO226" i="9"/>
  <c r="CR223" i="9" s="1"/>
  <c r="CS223" i="9" s="1"/>
  <c r="CT223" i="9" s="1"/>
  <c r="CU223" i="9" s="1"/>
  <c r="CV223" i="9" s="1"/>
  <c r="CW223" i="9" s="1"/>
  <c r="CF222" i="9"/>
  <c r="AE212" i="9"/>
  <c r="BA212" i="9"/>
  <c r="AY212" i="9"/>
  <c r="BT214" i="9"/>
  <c r="CM220" i="9"/>
  <c r="BT212" i="9"/>
  <c r="CF225" i="9"/>
  <c r="AH84" i="11"/>
  <c r="AJ85" i="11"/>
  <c r="AJ84" i="11" s="1"/>
  <c r="CZ248" i="9"/>
  <c r="CM221" i="9"/>
  <c r="CS210" i="9"/>
  <c r="CT210" i="9" s="1"/>
  <c r="CU210" i="9" s="1"/>
  <c r="CV210" i="9" s="1"/>
  <c r="CF227" i="9"/>
  <c r="Z97" i="11"/>
  <c r="AD80" i="11"/>
  <c r="BA216" i="9"/>
  <c r="AE216" i="9"/>
  <c r="AY216" i="9"/>
  <c r="CM224" i="9"/>
  <c r="C102" i="11"/>
  <c r="L100" i="11"/>
  <c r="CZ246" i="9"/>
  <c r="CZ249" i="9"/>
  <c r="AE211" i="9"/>
  <c r="BA211" i="9"/>
  <c r="AY211" i="9"/>
  <c r="BL108" i="15"/>
  <c r="BM108" i="15" s="1"/>
  <c r="E21" i="13"/>
  <c r="E23" i="13" s="1"/>
  <c r="AD131" i="15"/>
  <c r="AD137" i="15" s="1"/>
  <c r="BT213" i="9"/>
  <c r="CS274" i="9"/>
  <c r="CT274" i="9" s="1"/>
  <c r="CU274" i="9" s="1"/>
  <c r="CV274" i="9" s="1"/>
  <c r="CW274" i="9" s="1"/>
  <c r="CS268" i="9"/>
  <c r="CT268" i="9" s="1"/>
  <c r="CU268" i="9" s="1"/>
  <c r="CV268" i="9" s="1"/>
  <c r="CR277" i="9"/>
  <c r="CR278" i="9"/>
  <c r="BT217" i="9"/>
  <c r="CR272" i="9"/>
  <c r="CZ247" i="9"/>
  <c r="CO240" i="9"/>
  <c r="CR239" i="9" s="1"/>
  <c r="CF223" i="9"/>
  <c r="AD81" i="11"/>
  <c r="CM225" i="9"/>
  <c r="CF226" i="9"/>
  <c r="DA229" i="9"/>
  <c r="DB229" i="9" s="1"/>
  <c r="AC131" i="15"/>
  <c r="BB107" i="15"/>
  <c r="C98" i="11"/>
  <c r="J98" i="11" s="1"/>
  <c r="I100" i="11"/>
  <c r="J102" i="11" s="1"/>
  <c r="AD76" i="11"/>
  <c r="AY213" i="9"/>
  <c r="AE213" i="9"/>
  <c r="BA213" i="9"/>
  <c r="BA215" i="9"/>
  <c r="AY215" i="9"/>
  <c r="AE215" i="9"/>
  <c r="CM235" i="9"/>
  <c r="CF224" i="9"/>
  <c r="C99" i="11"/>
  <c r="H100" i="11"/>
  <c r="BT216" i="9"/>
  <c r="CS269" i="9"/>
  <c r="CT269" i="9" s="1"/>
  <c r="CU269" i="9" s="1"/>
  <c r="CV269" i="9" s="1"/>
  <c r="CW269" i="9" s="1"/>
  <c r="CR276" i="9"/>
  <c r="CR273" i="9"/>
  <c r="CM223" i="9"/>
  <c r="BT211" i="9"/>
  <c r="AJ95" i="11"/>
  <c r="AJ88" i="11" s="1"/>
  <c r="AH88" i="11"/>
  <c r="BT215" i="9"/>
  <c r="CW210" i="9" l="1"/>
  <c r="CW211" i="9" s="1"/>
  <c r="CW206" i="9" s="1"/>
  <c r="CV211" i="9"/>
  <c r="BB107" i="22"/>
  <c r="CM240" i="9"/>
  <c r="CR220" i="9"/>
  <c r="CS220" i="9" s="1"/>
  <c r="CT220" i="9" s="1"/>
  <c r="CU220" i="9" s="1"/>
  <c r="CV220" i="9" s="1"/>
  <c r="CW220" i="9" s="1"/>
  <c r="CR225" i="9"/>
  <c r="CS225" i="9" s="1"/>
  <c r="CT225" i="9" s="1"/>
  <c r="CU225" i="9" s="1"/>
  <c r="CV225" i="9" s="1"/>
  <c r="CW225" i="9" s="1"/>
  <c r="AM84" i="11"/>
  <c r="AM85" i="11" s="1"/>
  <c r="AC96" i="11" s="1"/>
  <c r="AD82" i="11"/>
  <c r="CS239" i="9"/>
  <c r="CT239" i="9" s="1"/>
  <c r="CU239" i="9" s="1"/>
  <c r="CV239" i="9" s="1"/>
  <c r="CW239" i="9" s="1"/>
  <c r="CW268" i="9"/>
  <c r="BL224" i="9"/>
  <c r="CE224" i="9"/>
  <c r="CG224" i="9" s="1"/>
  <c r="BK227" i="9"/>
  <c r="AS227" i="9"/>
  <c r="Z96" i="11"/>
  <c r="CE226" i="9"/>
  <c r="CG226" i="9" s="1"/>
  <c r="BL226" i="9"/>
  <c r="AH215" i="9"/>
  <c r="AF215" i="9"/>
  <c r="K215" i="9"/>
  <c r="AS226" i="9"/>
  <c r="BK226" i="9"/>
  <c r="BK222" i="9"/>
  <c r="AS222" i="9"/>
  <c r="CS272" i="9"/>
  <c r="CT272" i="9" s="1"/>
  <c r="CU272" i="9" s="1"/>
  <c r="CV272" i="9" s="1"/>
  <c r="BL223" i="9"/>
  <c r="CE223" i="9"/>
  <c r="CG223" i="9" s="1"/>
  <c r="CE225" i="9"/>
  <c r="CG225" i="9" s="1"/>
  <c r="BL225" i="9"/>
  <c r="BL222" i="9"/>
  <c r="CE222" i="9"/>
  <c r="CG222" i="9" s="1"/>
  <c r="AS224" i="9"/>
  <c r="BK224" i="9"/>
  <c r="CS276" i="9"/>
  <c r="CT276" i="9" s="1"/>
  <c r="CU276" i="9" s="1"/>
  <c r="CV276" i="9" s="1"/>
  <c r="CW276" i="9" s="1"/>
  <c r="CR237" i="9"/>
  <c r="BK223" i="9"/>
  <c r="AS223" i="9"/>
  <c r="CR224" i="9"/>
  <c r="CS224" i="9" s="1"/>
  <c r="CT224" i="9" s="1"/>
  <c r="CU224" i="9" s="1"/>
  <c r="CV224" i="9" s="1"/>
  <c r="CW224" i="9" s="1"/>
  <c r="CS273" i="9"/>
  <c r="CT273" i="9" s="1"/>
  <c r="CU273" i="9" s="1"/>
  <c r="CV273" i="9" s="1"/>
  <c r="CW273" i="9" s="1"/>
  <c r="AH210" i="9"/>
  <c r="N210" i="9"/>
  <c r="BA210" i="9"/>
  <c r="BT210" i="9"/>
  <c r="K102" i="11"/>
  <c r="CS278" i="9"/>
  <c r="CT278" i="9" s="1"/>
  <c r="CU278" i="9" s="1"/>
  <c r="CV278" i="9" s="1"/>
  <c r="CW278" i="9" s="1"/>
  <c r="CR236" i="9"/>
  <c r="CR219" i="9"/>
  <c r="CS219" i="9" s="1"/>
  <c r="CT219" i="9" s="1"/>
  <c r="CU219" i="9" s="1"/>
  <c r="CV219" i="9" s="1"/>
  <c r="CW219" i="9" s="1"/>
  <c r="AF216" i="9"/>
  <c r="K216" i="9"/>
  <c r="AH216" i="9"/>
  <c r="AH213" i="9"/>
  <c r="AF213" i="9"/>
  <c r="K213" i="9"/>
  <c r="CR235" i="9"/>
  <c r="AH211" i="9"/>
  <c r="AF211" i="9"/>
  <c r="K211" i="9"/>
  <c r="AM80" i="11"/>
  <c r="AM81" i="11" s="1"/>
  <c r="AH214" i="9"/>
  <c r="K214" i="9"/>
  <c r="AF214" i="9"/>
  <c r="EA240" i="9"/>
  <c r="DF240" i="9"/>
  <c r="AF212" i="9"/>
  <c r="AH212" i="9"/>
  <c r="K212" i="9"/>
  <c r="M100" i="11"/>
  <c r="H102" i="11"/>
  <c r="I98" i="11"/>
  <c r="C104" i="11"/>
  <c r="D103" i="11" s="1"/>
  <c r="BQ210" i="9"/>
  <c r="BQ218" i="9" s="1"/>
  <c r="L98" i="11"/>
  <c r="K98" i="11"/>
  <c r="AC136" i="22"/>
  <c r="CR238" i="9"/>
  <c r="AS225" i="9"/>
  <c r="BK225" i="9"/>
  <c r="CS277" i="9"/>
  <c r="CT277" i="9" s="1"/>
  <c r="CU277" i="9" s="1"/>
  <c r="CV277" i="9" s="1"/>
  <c r="CW277" i="9" s="1"/>
  <c r="BB67" i="22"/>
  <c r="BB117" i="22"/>
  <c r="BF107" i="22"/>
  <c r="G193" i="22" s="1"/>
  <c r="BB117" i="15"/>
  <c r="BF107" i="15"/>
  <c r="G194" i="15" s="1"/>
  <c r="BB67" i="15"/>
  <c r="L102" i="11"/>
  <c r="CR222" i="9"/>
  <c r="CS222" i="9" s="1"/>
  <c r="CT222" i="9" s="1"/>
  <c r="CU222" i="9" s="1"/>
  <c r="CV222" i="9" s="1"/>
  <c r="CW222" i="9" s="1"/>
  <c r="CM226" i="9"/>
  <c r="AC137" i="15"/>
  <c r="CR221" i="9"/>
  <c r="CS221" i="9" s="1"/>
  <c r="CT221" i="9" s="1"/>
  <c r="CU221" i="9" s="1"/>
  <c r="CV221" i="9" s="1"/>
  <c r="CW221" i="9" s="1"/>
  <c r="M98" i="11"/>
  <c r="CE227" i="9"/>
  <c r="CG227" i="9" s="1"/>
  <c r="BL227" i="9"/>
  <c r="C220" i="22"/>
  <c r="DD229" i="9"/>
  <c r="F15" i="17"/>
  <c r="D99" i="11" l="1"/>
  <c r="BM226" i="9"/>
  <c r="AR220" i="9"/>
  <c r="N98" i="11"/>
  <c r="O98" i="11" s="1"/>
  <c r="BV210" i="9" s="1"/>
  <c r="BC210" i="9" s="1"/>
  <c r="AJ210" i="9" s="1"/>
  <c r="P210" i="9" s="1"/>
  <c r="BM227" i="9"/>
  <c r="CW272" i="9"/>
  <c r="CV279" i="9"/>
  <c r="BM225" i="9"/>
  <c r="BL221" i="9"/>
  <c r="AR221" i="9"/>
  <c r="AS221" i="9"/>
  <c r="Y236" i="9"/>
  <c r="Z236" i="9"/>
  <c r="BK221" i="9"/>
  <c r="BM221" i="9" s="1"/>
  <c r="Y233" i="9"/>
  <c r="BL218" i="9"/>
  <c r="BT218" i="9"/>
  <c r="BW210" i="9" s="1"/>
  <c r="BX210" i="9" s="1"/>
  <c r="BY210" i="9" s="1"/>
  <c r="BZ210" i="9" s="1"/>
  <c r="CA210" i="9" s="1"/>
  <c r="CS235" i="9"/>
  <c r="CT235" i="9" s="1"/>
  <c r="CU235" i="9" s="1"/>
  <c r="CV235" i="9" s="1"/>
  <c r="CR240" i="9"/>
  <c r="D101" i="11"/>
  <c r="D100" i="11"/>
  <c r="N213" i="9"/>
  <c r="L213" i="9"/>
  <c r="CS238" i="9"/>
  <c r="CT238" i="9" s="1"/>
  <c r="CU238" i="9" s="1"/>
  <c r="CV238" i="9" s="1"/>
  <c r="CW238" i="9" s="1"/>
  <c r="N214" i="9"/>
  <c r="L214" i="9"/>
  <c r="CW279" i="9"/>
  <c r="CW264" i="9" s="1"/>
  <c r="AR222" i="9"/>
  <c r="AT222" i="9" s="1"/>
  <c r="Z237" i="9"/>
  <c r="BA217" i="9"/>
  <c r="AK211" i="9" s="1"/>
  <c r="AL211" i="9" s="1"/>
  <c r="AM211" i="9" s="1"/>
  <c r="AN211" i="9" s="1"/>
  <c r="AO211" i="9" s="1"/>
  <c r="AP211" i="9" s="1"/>
  <c r="AS218" i="9"/>
  <c r="BK218" i="9"/>
  <c r="EA239" i="9"/>
  <c r="DF239" i="9"/>
  <c r="AR225" i="9"/>
  <c r="AT225" i="9" s="1"/>
  <c r="Z240" i="9"/>
  <c r="N161" i="20"/>
  <c r="N163" i="20" s="1"/>
  <c r="F25" i="17"/>
  <c r="G25" i="17" s="1"/>
  <c r="BE93" i="20"/>
  <c r="D98" i="11"/>
  <c r="AR219" i="9"/>
  <c r="AW210" i="9"/>
  <c r="BK219" i="9"/>
  <c r="BL219" i="9"/>
  <c r="J210" i="9"/>
  <c r="M102" i="11"/>
  <c r="Z234" i="9"/>
  <c r="BP210" i="9"/>
  <c r="AD210" i="9"/>
  <c r="AS219" i="9"/>
  <c r="Y234" i="9"/>
  <c r="CS237" i="9"/>
  <c r="CT237" i="9" s="1"/>
  <c r="CU237" i="9" s="1"/>
  <c r="CV237" i="9" s="1"/>
  <c r="CW237" i="9" s="1"/>
  <c r="BM222" i="9"/>
  <c r="H15" i="17"/>
  <c r="G15" i="17"/>
  <c r="I15" i="17" s="1"/>
  <c r="BM223" i="9"/>
  <c r="AR227" i="9"/>
  <c r="AT227" i="9" s="1"/>
  <c r="Z242" i="9"/>
  <c r="Z235" i="9"/>
  <c r="L216" i="9"/>
  <c r="N216" i="9"/>
  <c r="Z239" i="9"/>
  <c r="AR224" i="9"/>
  <c r="AT224" i="9" s="1"/>
  <c r="CW226" i="9"/>
  <c r="CW215" i="9" s="1"/>
  <c r="CV226" i="9"/>
  <c r="BM224" i="9"/>
  <c r="AO81" i="11"/>
  <c r="AO80" i="11" s="1"/>
  <c r="AO75" i="11" s="1"/>
  <c r="AO76" i="11" s="1"/>
  <c r="AC88" i="11" s="1"/>
  <c r="AC95" i="11"/>
  <c r="N211" i="9"/>
  <c r="L211" i="9"/>
  <c r="N212" i="9"/>
  <c r="L212" i="9"/>
  <c r="D102" i="11"/>
  <c r="AS220" i="9"/>
  <c r="AT220" i="9" s="1"/>
  <c r="AR223" i="9"/>
  <c r="AT223" i="9" s="1"/>
  <c r="Z238" i="9"/>
  <c r="L215" i="9"/>
  <c r="N215" i="9"/>
  <c r="BK220" i="9"/>
  <c r="BL220" i="9"/>
  <c r="CS236" i="9"/>
  <c r="CT236" i="9" s="1"/>
  <c r="CU236" i="9" s="1"/>
  <c r="CV236" i="9" s="1"/>
  <c r="CW236" i="9" s="1"/>
  <c r="AR218" i="9"/>
  <c r="Z233" i="9"/>
  <c r="AH217" i="9"/>
  <c r="DI240" i="9"/>
  <c r="AR226" i="9"/>
  <c r="AT226" i="9" s="1"/>
  <c r="Z241" i="9"/>
  <c r="ED240" i="9"/>
  <c r="DX133" i="9" l="1"/>
  <c r="BG110" i="20"/>
  <c r="AE134" i="20"/>
  <c r="AE140" i="20" s="1"/>
  <c r="DX132" i="9"/>
  <c r="DU131" i="9"/>
  <c r="AT219" i="9"/>
  <c r="BM220" i="9"/>
  <c r="CB210" i="9"/>
  <c r="CA206" i="9"/>
  <c r="BM250" i="9" s="1"/>
  <c r="BR212" i="9"/>
  <c r="BR213" i="9"/>
  <c r="BR215" i="9"/>
  <c r="BR217" i="9"/>
  <c r="BR216" i="9"/>
  <c r="BR214" i="9"/>
  <c r="BU218" i="9" a="1"/>
  <c r="BU218" i="9" s="1"/>
  <c r="BR211" i="9"/>
  <c r="Y241" i="9"/>
  <c r="AA241" i="9" s="1"/>
  <c r="Q215" i="9"/>
  <c r="R215" i="9" s="1"/>
  <c r="S215" i="9" s="1"/>
  <c r="T215" i="9" s="1"/>
  <c r="U215" i="9" s="1"/>
  <c r="V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1" i="9"/>
  <c r="BE211" i="9" s="1"/>
  <c r="BF211" i="9" s="1"/>
  <c r="BG211" i="9" s="1"/>
  <c r="BH211" i="9" s="1"/>
  <c r="BI211" i="9" s="1"/>
  <c r="AK212" i="9"/>
  <c r="AL212" i="9" s="1"/>
  <c r="AM212" i="9" s="1"/>
  <c r="AN212" i="9" s="1"/>
  <c r="AO212" i="9" s="1"/>
  <c r="AP212" i="9" s="1"/>
  <c r="N217" i="9"/>
  <c r="Q216" i="9"/>
  <c r="R216" i="9" s="1"/>
  <c r="S216" i="9" s="1"/>
  <c r="T216" i="9" s="1"/>
  <c r="U216" i="9" s="1"/>
  <c r="V216" i="9" s="1"/>
  <c r="Y242" i="9"/>
  <c r="AA242" i="9" s="1"/>
  <c r="AK216" i="9"/>
  <c r="AL216" i="9" s="1"/>
  <c r="AM216" i="9" s="1"/>
  <c r="AN216" i="9" s="1"/>
  <c r="AO216" i="9" s="1"/>
  <c r="AP216" i="9" s="1"/>
  <c r="Q210" i="9"/>
  <c r="AK215" i="9"/>
  <c r="AL215" i="9" s="1"/>
  <c r="AM215" i="9" s="1"/>
  <c r="AN215" i="9" s="1"/>
  <c r="AO215" i="9" s="1"/>
  <c r="AP215" i="9" s="1"/>
  <c r="AK213" i="9"/>
  <c r="AL213" i="9" s="1"/>
  <c r="AM213" i="9" s="1"/>
  <c r="AN213" i="9" s="1"/>
  <c r="AO213" i="9" s="1"/>
  <c r="AP213" i="9" s="1"/>
  <c r="BD210" i="9"/>
  <c r="EP248" i="9"/>
  <c r="DA249" i="9"/>
  <c r="DB249" i="9" s="1"/>
  <c r="AK210" i="9"/>
  <c r="Q212" i="9"/>
  <c r="R212" i="9" s="1"/>
  <c r="S212" i="9" s="1"/>
  <c r="T212" i="9" s="1"/>
  <c r="U212" i="9" s="1"/>
  <c r="V212" i="9" s="1"/>
  <c r="Y238" i="9"/>
  <c r="AA238" i="9" s="1"/>
  <c r="AA233" i="9"/>
  <c r="BM219" i="9"/>
  <c r="AT218" i="9"/>
  <c r="BR210" i="9"/>
  <c r="Y235" i="9"/>
  <c r="AA235" i="9" s="1"/>
  <c r="D104" i="11"/>
  <c r="Y240" i="9"/>
  <c r="AA240" i="9" s="1"/>
  <c r="Q214" i="9"/>
  <c r="R214" i="9" s="1"/>
  <c r="S214" i="9" s="1"/>
  <c r="T214" i="9" s="1"/>
  <c r="U214" i="9" s="1"/>
  <c r="V214" i="9" s="1"/>
  <c r="BE49" i="20"/>
  <c r="AA236" i="9"/>
  <c r="Z95" i="11"/>
  <c r="AK214" i="9"/>
  <c r="AL214" i="9" s="1"/>
  <c r="AM214" i="9" s="1"/>
  <c r="AN214" i="9" s="1"/>
  <c r="AO214" i="9" s="1"/>
  <c r="AP214" i="9" s="1"/>
  <c r="Q213" i="9"/>
  <c r="R213" i="9" s="1"/>
  <c r="S213" i="9" s="1"/>
  <c r="T213" i="9" s="1"/>
  <c r="U213" i="9" s="1"/>
  <c r="V213" i="9" s="1"/>
  <c r="Y239" i="9"/>
  <c r="AA239" i="9" s="1"/>
  <c r="Y237" i="9"/>
  <c r="AA237" i="9" s="1"/>
  <c r="Q211" i="9"/>
  <c r="R211" i="9" s="1"/>
  <c r="S211" i="9" s="1"/>
  <c r="T211" i="9" s="1"/>
  <c r="U211" i="9" s="1"/>
  <c r="V211" i="9" s="1"/>
  <c r="AC98" i="11"/>
  <c r="AD95" i="11" s="1"/>
  <c r="Z88" i="11"/>
  <c r="AT221" i="9"/>
  <c r="AA234" i="9"/>
  <c r="DI239" i="9"/>
  <c r="ED239" i="9"/>
  <c r="CV240" i="9"/>
  <c r="CW235" i="9"/>
  <c r="CW240" i="9" s="1"/>
  <c r="CW231" i="9" s="1"/>
  <c r="BO112" i="20"/>
  <c r="BP112" i="20" s="1"/>
  <c r="AG134" i="20"/>
  <c r="AG140" i="20" s="1"/>
  <c r="BM218" i="9"/>
  <c r="D34" i="14" l="1"/>
  <c r="D32" i="12"/>
  <c r="D64" i="14"/>
  <c r="BG66" i="20"/>
  <c r="BI110" i="20"/>
  <c r="J196" i="20" s="1"/>
  <c r="BG121" i="20"/>
  <c r="E64" i="14"/>
  <c r="D35" i="14"/>
  <c r="D33" i="12"/>
  <c r="EP247" i="9"/>
  <c r="DA248" i="9"/>
  <c r="DB248" i="9" s="1"/>
  <c r="Q217" i="9"/>
  <c r="R210" i="9"/>
  <c r="S210" i="9" s="1"/>
  <c r="T210" i="9" s="1"/>
  <c r="U210" i="9" s="1"/>
  <c r="DF238" i="9"/>
  <c r="EA238" i="9"/>
  <c r="BR218" i="9"/>
  <c r="BL210" i="9"/>
  <c r="BO250" i="9"/>
  <c r="BA102" i="15"/>
  <c r="X129" i="15"/>
  <c r="BQ248" i="9"/>
  <c r="BR248" i="9" s="1"/>
  <c r="C121" i="11" s="1"/>
  <c r="E121" i="11" s="1"/>
  <c r="AF134" i="20"/>
  <c r="BE111" i="20"/>
  <c r="Z98" i="11"/>
  <c r="AA95" i="11" s="1"/>
  <c r="DF237" i="9"/>
  <c r="EA237" i="9"/>
  <c r="AD97" i="11"/>
  <c r="AD96" i="11"/>
  <c r="CA218" i="9"/>
  <c r="BE210" i="9"/>
  <c r="BF210" i="9" s="1"/>
  <c r="BG210" i="9" s="1"/>
  <c r="BH210" i="9" s="1"/>
  <c r="BD217" i="9"/>
  <c r="AD88" i="11"/>
  <c r="AK217" i="9"/>
  <c r="AL210" i="9"/>
  <c r="AM210" i="9" s="1"/>
  <c r="AN210" i="9" s="1"/>
  <c r="AO210" i="9" s="1"/>
  <c r="CB218" i="9"/>
  <c r="CB206" i="9" s="1"/>
  <c r="C127" i="11" l="1"/>
  <c r="C126" i="11" s="1"/>
  <c r="E126" i="11" s="1"/>
  <c r="E127" i="11" s="1"/>
  <c r="K122" i="11"/>
  <c r="I122" i="11" s="1"/>
  <c r="K121" i="11"/>
  <c r="AA88" i="11"/>
  <c r="AD98" i="11"/>
  <c r="AF140" i="20"/>
  <c r="F14" i="17"/>
  <c r="BQ249" i="9"/>
  <c r="AO217" i="9"/>
  <c r="AP210" i="9"/>
  <c r="AB210" i="9"/>
  <c r="AA132" i="20"/>
  <c r="BD106" i="20"/>
  <c r="ED238" i="9"/>
  <c r="U217" i="9"/>
  <c r="V210" i="9"/>
  <c r="Q193" i="9"/>
  <c r="AL129" i="15"/>
  <c r="E217" i="15" s="1"/>
  <c r="X137" i="15"/>
  <c r="BI210" i="9"/>
  <c r="BH217" i="9"/>
  <c r="AU210" i="9"/>
  <c r="BN210" i="9"/>
  <c r="C59" i="14" s="1"/>
  <c r="AI107" i="11"/>
  <c r="AA107" i="11"/>
  <c r="AA106" i="11"/>
  <c r="AI106" i="11"/>
  <c r="DF241" i="9"/>
  <c r="EB238" i="9" s="1"/>
  <c r="DI237" i="9"/>
  <c r="DJ241" i="9" a="1"/>
  <c r="DJ241" i="9" s="1"/>
  <c r="BE67" i="20"/>
  <c r="BI111" i="20"/>
  <c r="J197" i="20" s="1"/>
  <c r="BE121" i="20"/>
  <c r="BF102" i="15"/>
  <c r="G189" i="15" s="1"/>
  <c r="BA62" i="15"/>
  <c r="DG238" i="9"/>
  <c r="DI238" i="9"/>
  <c r="ED237" i="9"/>
  <c r="EA241" i="9"/>
  <c r="EK233" i="9" s="1"/>
  <c r="AH110" i="11"/>
  <c r="Z110" i="11"/>
  <c r="AA97" i="11"/>
  <c r="AA96" i="11"/>
  <c r="I121" i="11" l="1"/>
  <c r="E122" i="11"/>
  <c r="DG237" i="9"/>
  <c r="Z107" i="11"/>
  <c r="AC107" i="11" s="1"/>
  <c r="AH107" i="11"/>
  <c r="AK107" i="11" s="1"/>
  <c r="BI217" i="9"/>
  <c r="BI206" i="9" s="1"/>
  <c r="ED241" i="9"/>
  <c r="Q195" i="9"/>
  <c r="V217" i="9"/>
  <c r="V206" i="9" s="1"/>
  <c r="AB212" i="9" s="1"/>
  <c r="BI106" i="20"/>
  <c r="J192" i="20" s="1"/>
  <c r="BD62" i="20"/>
  <c r="EP246" i="9"/>
  <c r="DI241" i="9"/>
  <c r="EG238" i="9" s="1"/>
  <c r="EH238" i="9" s="1"/>
  <c r="EI238" i="9" s="1"/>
  <c r="EJ238" i="9" s="1"/>
  <c r="EK238" i="9" s="1"/>
  <c r="EL238" i="9" s="1"/>
  <c r="AI109" i="11"/>
  <c r="AH109" i="11" s="1"/>
  <c r="AA109" i="11"/>
  <c r="Z109" i="11" s="1"/>
  <c r="AA140" i="20"/>
  <c r="AO132" i="20"/>
  <c r="H220" i="20" s="1"/>
  <c r="EB160" i="9"/>
  <c r="EL152" i="9" s="1"/>
  <c r="BE111" i="15" s="1"/>
  <c r="BE71" i="15" s="1"/>
  <c r="DP233" i="9"/>
  <c r="EB240" i="9"/>
  <c r="DG240" i="9"/>
  <c r="EB239" i="9"/>
  <c r="DG239" i="9"/>
  <c r="E24" i="14"/>
  <c r="E22" i="12"/>
  <c r="C53" i="14"/>
  <c r="BR249" i="9"/>
  <c r="CA244" i="9" s="1"/>
  <c r="BT248" i="9"/>
  <c r="D22" i="12"/>
  <c r="D24" i="14"/>
  <c r="BC110" i="22"/>
  <c r="AF131" i="22"/>
  <c r="AI108" i="11"/>
  <c r="AH108" i="11" s="1"/>
  <c r="AA108" i="11"/>
  <c r="Z108" i="11" s="1"/>
  <c r="H14" i="17"/>
  <c r="G14" i="17"/>
  <c r="I14" i="17" s="1"/>
  <c r="AG133" i="15"/>
  <c r="F24" i="14"/>
  <c r="F22" i="12"/>
  <c r="C56" i="14"/>
  <c r="EP245" i="9"/>
  <c r="DA246" i="9"/>
  <c r="DB246" i="9" s="1"/>
  <c r="DA247" i="9"/>
  <c r="DB247" i="9" s="1"/>
  <c r="AH106" i="11"/>
  <c r="AA98" i="11"/>
  <c r="AP217" i="9"/>
  <c r="AP206" i="9" s="1"/>
  <c r="Z106" i="11"/>
  <c r="AE112" i="11"/>
  <c r="EB237" i="9"/>
  <c r="EE241" i="9" a="1"/>
  <c r="EE241" i="9" s="1"/>
  <c r="AG132" i="22" s="1"/>
  <c r="EV238" i="9" l="1"/>
  <c r="C198" i="11"/>
  <c r="CO253" i="9"/>
  <c r="CO252" i="9"/>
  <c r="CL252" i="9" s="1"/>
  <c r="C164" i="11"/>
  <c r="C122" i="11"/>
  <c r="E123" i="11"/>
  <c r="EB157" i="9"/>
  <c r="DG241" i="9"/>
  <c r="AI110" i="11"/>
  <c r="EC157" i="9"/>
  <c r="EE157" i="9"/>
  <c r="EB156" i="9"/>
  <c r="C163" i="11"/>
  <c r="AC106" i="11"/>
  <c r="BC110" i="15"/>
  <c r="DA237" i="9"/>
  <c r="AF132" i="15"/>
  <c r="AB211" i="9"/>
  <c r="AY98" i="20"/>
  <c r="Y210" i="9"/>
  <c r="S126" i="20"/>
  <c r="AR210" i="9"/>
  <c r="E24" i="12"/>
  <c r="E26" i="14"/>
  <c r="E53" i="14"/>
  <c r="C165" i="11"/>
  <c r="EB158" i="9"/>
  <c r="AC108" i="11"/>
  <c r="BC70" i="22"/>
  <c r="BC117" i="22"/>
  <c r="BF110" i="22"/>
  <c r="G196" i="22" s="1"/>
  <c r="EB159" i="9"/>
  <c r="C166" i="11"/>
  <c r="AC109" i="1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EV237" i="9"/>
  <c r="AK106" i="11"/>
  <c r="C197" i="11"/>
  <c r="EY238" i="9"/>
  <c r="F198" i="11"/>
  <c r="H155" i="20"/>
  <c r="H163" i="20" s="1"/>
  <c r="Q194" i="9"/>
  <c r="AV87" i="20"/>
  <c r="D26" i="14"/>
  <c r="D24" i="12"/>
  <c r="EG237" i="9"/>
  <c r="C199" i="11"/>
  <c r="EV239" i="9"/>
  <c r="AK108" i="11"/>
  <c r="AL131" i="22"/>
  <c r="AF136" i="22"/>
  <c r="BW248" i="9"/>
  <c r="BX248" i="9" s="1"/>
  <c r="BY248" i="9" s="1"/>
  <c r="BZ248" i="9" s="1"/>
  <c r="CA248" i="9" s="1"/>
  <c r="CA249" i="9" s="1"/>
  <c r="BT249" i="9"/>
  <c r="DL237" i="9"/>
  <c r="G154" i="15"/>
  <c r="G160" i="15" s="1"/>
  <c r="BA85" i="15"/>
  <c r="DL238" i="9"/>
  <c r="DM238" i="9" s="1"/>
  <c r="DN238" i="9" s="1"/>
  <c r="DO238" i="9" s="1"/>
  <c r="DP238" i="9" s="1"/>
  <c r="EV240" i="9"/>
  <c r="C200" i="11"/>
  <c r="AK109" i="11"/>
  <c r="AG136" i="22"/>
  <c r="AL132" i="22"/>
  <c r="DU237" i="9"/>
  <c r="EB241" i="9"/>
  <c r="AU212" i="9"/>
  <c r="AG137" i="15"/>
  <c r="AL133" i="15"/>
  <c r="E221" i="15" s="1"/>
  <c r="AA110" i="11"/>
  <c r="F164" i="11"/>
  <c r="W129" i="20"/>
  <c r="BK210" i="9"/>
  <c r="BB102" i="20"/>
  <c r="AU211" i="9"/>
  <c r="BN212" i="9"/>
  <c r="E59" i="14" s="1"/>
  <c r="BN211" i="9"/>
  <c r="D59" i="14" s="1"/>
  <c r="K123" i="11" l="1"/>
  <c r="I123" i="11" s="1"/>
  <c r="I124" i="11" s="1"/>
  <c r="C123" i="11"/>
  <c r="BT236" i="9"/>
  <c r="BQ236" i="9" s="1"/>
  <c r="BA45" i="15"/>
  <c r="BF85" i="15"/>
  <c r="G172" i="15" s="1"/>
  <c r="C211" i="11"/>
  <c r="C210" i="11" s="1"/>
  <c r="H210" i="11" s="1"/>
  <c r="H211" i="11" s="1"/>
  <c r="BI102" i="20"/>
  <c r="J188" i="20" s="1"/>
  <c r="BB58" i="20"/>
  <c r="DM237" i="9"/>
  <c r="DN237" i="9" s="1"/>
  <c r="DO237" i="9" s="1"/>
  <c r="DP237" i="9" s="1"/>
  <c r="DL241" i="9"/>
  <c r="EQ245" i="9"/>
  <c r="ER245" i="9" s="1"/>
  <c r="EE158" i="9"/>
  <c r="EC158" i="9"/>
  <c r="F165" i="11"/>
  <c r="G165" i="11" s="1"/>
  <c r="D165" i="11"/>
  <c r="EV241" i="9"/>
  <c r="FF233" i="9" s="1"/>
  <c r="BK111" i="15" s="1"/>
  <c r="BM111" i="15" s="1"/>
  <c r="EY237" i="9"/>
  <c r="EW239" i="9"/>
  <c r="D56" i="14"/>
  <c r="F23" i="12"/>
  <c r="F25" i="14"/>
  <c r="AO129" i="20"/>
  <c r="H217" i="20" s="1"/>
  <c r="W140" i="20"/>
  <c r="CB249" i="9"/>
  <c r="CB244" i="9" s="1"/>
  <c r="C201" i="11"/>
  <c r="D198" i="11" s="1"/>
  <c r="F197" i="11"/>
  <c r="CE218" i="9"/>
  <c r="S140" i="20"/>
  <c r="AO126" i="20"/>
  <c r="H214" i="20" s="1"/>
  <c r="F26" i="14"/>
  <c r="E56" i="14"/>
  <c r="F24" i="12"/>
  <c r="AY54" i="20"/>
  <c r="BI98" i="20"/>
  <c r="J184" i="20" s="1"/>
  <c r="E23" i="12"/>
  <c r="D53" i="14"/>
  <c r="E25" i="14"/>
  <c r="F199" i="11"/>
  <c r="AL132" i="15"/>
  <c r="E220" i="15" s="1"/>
  <c r="AF137" i="15"/>
  <c r="EY239" i="9"/>
  <c r="BC71" i="15"/>
  <c r="BF110" i="15"/>
  <c r="G197" i="15" s="1"/>
  <c r="BC117" i="15"/>
  <c r="F166" i="11"/>
  <c r="AC110" i="11"/>
  <c r="AD107" i="11" s="1"/>
  <c r="EC159" i="9"/>
  <c r="EE159" i="9"/>
  <c r="F163" i="11"/>
  <c r="P163" i="11" s="1"/>
  <c r="C167" i="11"/>
  <c r="D164" i="11" s="1"/>
  <c r="CB248" i="9"/>
  <c r="EG241" i="9"/>
  <c r="EH237" i="9"/>
  <c r="EI237" i="9" s="1"/>
  <c r="EJ237" i="9" s="1"/>
  <c r="EK237" i="9" s="1"/>
  <c r="AV43" i="20"/>
  <c r="AV121" i="20"/>
  <c r="BI87" i="20"/>
  <c r="J173" i="20" s="1"/>
  <c r="D23" i="12"/>
  <c r="D25" i="14"/>
  <c r="EF160" i="9" a="1"/>
  <c r="EF160" i="9" s="1"/>
  <c r="BE111" i="22" s="1"/>
  <c r="EE156" i="9"/>
  <c r="EC156" i="9"/>
  <c r="F200" i="11"/>
  <c r="EY240" i="9"/>
  <c r="EQ143" i="9"/>
  <c r="AK110" i="11"/>
  <c r="AL107" i="11" s="1"/>
  <c r="C179" i="11"/>
  <c r="P164" i="11"/>
  <c r="C180" i="11"/>
  <c r="DQ238" i="9"/>
  <c r="DC239" i="9" s="1"/>
  <c r="E62" i="14" s="1"/>
  <c r="DC237" i="9"/>
  <c r="C62" i="14" s="1"/>
  <c r="C124" i="11" l="1"/>
  <c r="BQ237" i="11"/>
  <c r="BQ237" i="9"/>
  <c r="D163" i="11"/>
  <c r="D166" i="11"/>
  <c r="AD109" i="11"/>
  <c r="BA111" i="22"/>
  <c r="BA117" i="22" s="1"/>
  <c r="EW240" i="9"/>
  <c r="EW237" i="9"/>
  <c r="AL109" i="11"/>
  <c r="AL108" i="11"/>
  <c r="D197" i="11"/>
  <c r="D199" i="11"/>
  <c r="AD108" i="11"/>
  <c r="G164" i="11"/>
  <c r="AL106" i="11"/>
  <c r="CE219" i="9"/>
  <c r="EY241" i="9"/>
  <c r="EQ246" i="9"/>
  <c r="ER246" i="9" s="1"/>
  <c r="EZ241" i="9" a="1"/>
  <c r="EZ241" i="9" s="1"/>
  <c r="BK111" i="22" s="1"/>
  <c r="BM111" i="22" s="1"/>
  <c r="M164" i="11"/>
  <c r="H180" i="11"/>
  <c r="H179" i="11" s="1"/>
  <c r="Q164" i="11"/>
  <c r="H183" i="11"/>
  <c r="H182" i="11" s="1"/>
  <c r="EQ247" i="9"/>
  <c r="ER247" i="9" s="1"/>
  <c r="F201" i="11"/>
  <c r="G198" i="11" s="1"/>
  <c r="E210" i="11"/>
  <c r="J210" i="11" s="1"/>
  <c r="J211" i="11" s="1"/>
  <c r="EH158" i="9"/>
  <c r="EI158" i="9" s="1"/>
  <c r="EJ158" i="9" s="1"/>
  <c r="EK158" i="9" s="1"/>
  <c r="EL158" i="9" s="1"/>
  <c r="EM158" i="9" s="1"/>
  <c r="Q163" i="11"/>
  <c r="J180" i="11"/>
  <c r="J179" i="11" s="1"/>
  <c r="J183" i="11"/>
  <c r="J182" i="11" s="1"/>
  <c r="M163" i="11"/>
  <c r="EL237" i="9"/>
  <c r="EL241" i="9" s="1"/>
  <c r="EL233" i="9" s="1"/>
  <c r="EK241" i="9"/>
  <c r="C214" i="11"/>
  <c r="C213" i="11" s="1"/>
  <c r="J157" i="20"/>
  <c r="J163" i="20" s="1"/>
  <c r="F26" i="17"/>
  <c r="G26" i="17" s="1"/>
  <c r="BD89" i="20"/>
  <c r="DQ237" i="9"/>
  <c r="DQ241" i="9" s="1"/>
  <c r="DQ233" i="9" s="1"/>
  <c r="DP241" i="9"/>
  <c r="G163" i="11"/>
  <c r="E180" i="11"/>
  <c r="E179" i="11" s="1"/>
  <c r="F167" i="11"/>
  <c r="EE160" i="9"/>
  <c r="EH157" i="9" s="1"/>
  <c r="EI157" i="9" s="1"/>
  <c r="EJ157" i="9" s="1"/>
  <c r="EK157" i="9" s="1"/>
  <c r="EL157" i="9" s="1"/>
  <c r="EM157" i="9" s="1"/>
  <c r="EQ145" i="9"/>
  <c r="G166" i="11"/>
  <c r="BE117" i="22"/>
  <c r="BE71" i="22"/>
  <c r="D167" i="11"/>
  <c r="P198" i="11"/>
  <c r="H214" i="11"/>
  <c r="H213" i="11" s="1"/>
  <c r="EH159" i="9"/>
  <c r="EI159" i="9" s="1"/>
  <c r="EJ159" i="9" s="1"/>
  <c r="EK159" i="9" s="1"/>
  <c r="EL159" i="9" s="1"/>
  <c r="EM159" i="9" s="1"/>
  <c r="EQ248" i="9"/>
  <c r="ER248" i="9" s="1"/>
  <c r="D200" i="11"/>
  <c r="E214" i="11"/>
  <c r="AD106" i="11"/>
  <c r="BA111" i="15"/>
  <c r="EW238" i="9"/>
  <c r="BA71" i="22" l="1"/>
  <c r="EH156" i="9"/>
  <c r="AL110" i="11"/>
  <c r="EW241" i="9"/>
  <c r="FB237" i="9"/>
  <c r="BF111" i="22"/>
  <c r="G197" i="22" s="1"/>
  <c r="C182" i="11"/>
  <c r="C183" i="11" s="1"/>
  <c r="F170" i="11" s="1"/>
  <c r="F171" i="11" s="1"/>
  <c r="F172" i="11" s="1"/>
  <c r="G170" i="11" s="1"/>
  <c r="AD110" i="11"/>
  <c r="FB239" i="9"/>
  <c r="FC239" i="9" s="1"/>
  <c r="FD239" i="9" s="1"/>
  <c r="FE239" i="9" s="1"/>
  <c r="FF239" i="9" s="1"/>
  <c r="FG239" i="9" s="1"/>
  <c r="D201" i="11"/>
  <c r="FB240" i="9"/>
  <c r="FC240" i="9" s="1"/>
  <c r="FD240" i="9" s="1"/>
  <c r="FE240" i="9" s="1"/>
  <c r="FF240" i="9" s="1"/>
  <c r="FG240" i="9" s="1"/>
  <c r="G197" i="11"/>
  <c r="BD45" i="20"/>
  <c r="BI89" i="20"/>
  <c r="J175" i="20" s="1"/>
  <c r="AI135" i="20"/>
  <c r="DC238" i="9"/>
  <c r="D62" i="14" s="1"/>
  <c r="BF114" i="20"/>
  <c r="DT237" i="9"/>
  <c r="CZ237" i="9"/>
  <c r="FB145" i="9"/>
  <c r="BF111" i="15"/>
  <c r="G198" i="15" s="1"/>
  <c r="BA71" i="15"/>
  <c r="G199" i="11"/>
  <c r="M198" i="11"/>
  <c r="CL253" i="9" s="1"/>
  <c r="Q198" i="11"/>
  <c r="P197" i="11"/>
  <c r="J214" i="11"/>
  <c r="J213" i="11" s="1"/>
  <c r="C217" i="11" s="1"/>
  <c r="C218" i="11" s="1"/>
  <c r="DW238" i="9"/>
  <c r="D63" i="14" s="1"/>
  <c r="DW239" i="9"/>
  <c r="E63" i="14" s="1"/>
  <c r="AJ136" i="20"/>
  <c r="EH160" i="9"/>
  <c r="EI156" i="9"/>
  <c r="EJ156" i="9" s="1"/>
  <c r="EK156" i="9" s="1"/>
  <c r="EL156" i="9" s="1"/>
  <c r="FB146" i="9"/>
  <c r="FC237" i="9"/>
  <c r="FD237" i="9" s="1"/>
  <c r="FE237" i="9" s="1"/>
  <c r="FF237" i="9" s="1"/>
  <c r="G200" i="11"/>
  <c r="G167" i="11"/>
  <c r="FB238" i="9"/>
  <c r="FC238" i="9" s="1"/>
  <c r="FD238" i="9" s="1"/>
  <c r="FE238" i="9" s="1"/>
  <c r="FF238" i="9" s="1"/>
  <c r="FG238" i="9" s="1"/>
  <c r="C170" i="11" l="1"/>
  <c r="M197" i="11"/>
  <c r="Q197" i="11"/>
  <c r="FE145" i="9"/>
  <c r="G7" i="13"/>
  <c r="G8" i="13" s="1"/>
  <c r="AO135" i="20"/>
  <c r="H223" i="20" s="1"/>
  <c r="AI140" i="20"/>
  <c r="E218" i="11"/>
  <c r="F203" i="11"/>
  <c r="C203" i="11" s="1"/>
  <c r="FB241" i="9"/>
  <c r="FG237" i="9"/>
  <c r="FG241" i="9" s="1"/>
  <c r="FG233" i="9" s="1"/>
  <c r="BN115" i="20" s="1"/>
  <c r="BP115" i="20" s="1"/>
  <c r="FF241" i="9"/>
  <c r="G171" i="11"/>
  <c r="G172" i="11" s="1"/>
  <c r="C171" i="11"/>
  <c r="C172" i="11" s="1"/>
  <c r="C174" i="11" s="1"/>
  <c r="P165" i="11"/>
  <c r="E183" i="11"/>
  <c r="EB144" i="9"/>
  <c r="FE146" i="9"/>
  <c r="EL160" i="9"/>
  <c r="EM156" i="9"/>
  <c r="EM160" i="9" s="1"/>
  <c r="EM152" i="9" s="1"/>
  <c r="BF121" i="20"/>
  <c r="BF70" i="20"/>
  <c r="BI114" i="20"/>
  <c r="J200" i="20" s="1"/>
  <c r="AO136" i="20"/>
  <c r="H224" i="20" s="1"/>
  <c r="AJ140" i="20"/>
  <c r="G201" i="11"/>
  <c r="BD115" i="20" l="1"/>
  <c r="ER145" i="9"/>
  <c r="ES145" i="9" s="1"/>
  <c r="ER144" i="9"/>
  <c r="F204" i="11"/>
  <c r="C204" i="11" s="1"/>
  <c r="H218" i="11"/>
  <c r="P199" i="11" s="1"/>
  <c r="EE144" i="9"/>
  <c r="ER143" i="9"/>
  <c r="ES143" i="9" s="1"/>
  <c r="BH115" i="20"/>
  <c r="BH71" i="20" s="1"/>
  <c r="D170" i="11"/>
  <c r="M165" i="11"/>
  <c r="Q165" i="11"/>
  <c r="Q166" i="11" s="1"/>
  <c r="P166" i="11"/>
  <c r="EB145" i="9"/>
  <c r="EB146" i="9" s="1"/>
  <c r="EL140" i="9" s="1"/>
  <c r="D171" i="11"/>
  <c r="Q199" i="11" l="1"/>
  <c r="Q200" i="11" s="1"/>
  <c r="M199" i="11"/>
  <c r="P200" i="11"/>
  <c r="BE84" i="15"/>
  <c r="EE145" i="9"/>
  <c r="EE146" i="9" s="1"/>
  <c r="EH144" i="9" s="1"/>
  <c r="EI144" i="9" s="1"/>
  <c r="EJ144" i="9" s="1"/>
  <c r="EK144" i="9" s="1"/>
  <c r="EL144" i="9" s="1"/>
  <c r="EC145" i="9"/>
  <c r="FB147" i="9"/>
  <c r="EC144" i="9"/>
  <c r="EQ144" i="9"/>
  <c r="ES144" i="9" s="1"/>
  <c r="M166" i="11"/>
  <c r="N165" i="11" s="1"/>
  <c r="D172" i="11"/>
  <c r="C205" i="11"/>
  <c r="BD71" i="20"/>
  <c r="BI115" i="20"/>
  <c r="J201" i="20" s="1"/>
  <c r="FE147" i="9" l="1"/>
  <c r="FB148" i="9"/>
  <c r="FF148" i="9" s="1" a="1"/>
  <c r="FF148" i="9" s="1"/>
  <c r="BT237" i="9"/>
  <c r="EH145" i="9"/>
  <c r="EI145" i="9" s="1"/>
  <c r="EJ145" i="9" s="1"/>
  <c r="EK145" i="9" s="1"/>
  <c r="EL145" i="9" s="1"/>
  <c r="EL146" i="9" s="1"/>
  <c r="EQ146" i="9"/>
  <c r="CE220" i="9"/>
  <c r="EM144" i="9"/>
  <c r="C206" i="11"/>
  <c r="D203" i="11"/>
  <c r="BE117" i="15"/>
  <c r="BE44" i="15"/>
  <c r="I162" i="11"/>
  <c r="N163" i="11"/>
  <c r="N164" i="11"/>
  <c r="CF219" i="9"/>
  <c r="CG219" i="9" s="1"/>
  <c r="M200" i="11"/>
  <c r="BQ238" i="9"/>
  <c r="BR237" i="9" s="1"/>
  <c r="D204" i="11"/>
  <c r="BT238" i="9" l="1"/>
  <c r="CO254" i="9"/>
  <c r="CL254" i="9" s="1"/>
  <c r="N166" i="11"/>
  <c r="EM145" i="9"/>
  <c r="EM146" i="9" s="1"/>
  <c r="EM140" i="9" s="1"/>
  <c r="D205" i="11"/>
  <c r="BW236" i="9"/>
  <c r="BX236" i="9" s="1"/>
  <c r="BY236" i="9" s="1"/>
  <c r="BZ236" i="9" s="1"/>
  <c r="CA236" i="9" s="1"/>
  <c r="L240" i="9"/>
  <c r="L242" i="9" s="1"/>
  <c r="L241" i="9"/>
  <c r="CA232" i="9"/>
  <c r="BR236" i="9"/>
  <c r="BR238" i="9" s="1"/>
  <c r="N198" i="11"/>
  <c r="N197" i="11"/>
  <c r="ER146" i="9"/>
  <c r="ES146" i="9" s="1"/>
  <c r="FE148" i="9"/>
  <c r="FH147" i="9" s="1"/>
  <c r="FI147" i="9" s="1"/>
  <c r="FJ147" i="9" s="1"/>
  <c r="FK147" i="9" s="1"/>
  <c r="FL147" i="9" s="1"/>
  <c r="BW237" i="9"/>
  <c r="BX237" i="9" s="1"/>
  <c r="BY237" i="9" s="1"/>
  <c r="BZ237" i="9" s="1"/>
  <c r="CA237" i="9" s="1"/>
  <c r="CB237" i="9" s="1"/>
  <c r="CE221" i="9"/>
  <c r="N199" i="11"/>
  <c r="FL141" i="9"/>
  <c r="FC145" i="9"/>
  <c r="FC146" i="9"/>
  <c r="FC147" i="9"/>
  <c r="AJ134" i="22"/>
  <c r="BL114" i="22"/>
  <c r="BM114" i="22" s="1"/>
  <c r="BH88" i="20" l="1"/>
  <c r="ES133" i="9"/>
  <c r="BL114" i="15"/>
  <c r="BM114" i="15" s="1"/>
  <c r="AJ135" i="15"/>
  <c r="EQ131" i="9"/>
  <c r="E34" i="12" s="1"/>
  <c r="N200" i="11"/>
  <c r="BA84" i="15"/>
  <c r="F153" i="15"/>
  <c r="F160" i="15" s="1"/>
  <c r="C168" i="15" s="1" a="1"/>
  <c r="CA238" i="9"/>
  <c r="CB236" i="9"/>
  <c r="CB238" i="9" s="1"/>
  <c r="CB232" i="9" s="1"/>
  <c r="CH212" i="9" s="1"/>
  <c r="FM147" i="9"/>
  <c r="FH146" i="9"/>
  <c r="FI146" i="9" s="1"/>
  <c r="FJ146" i="9" s="1"/>
  <c r="FK146" i="9" s="1"/>
  <c r="FL146" i="9" s="1"/>
  <c r="FM146" i="9" s="1"/>
  <c r="FH145" i="9"/>
  <c r="AJ136" i="22"/>
  <c r="AL134" i="22"/>
  <c r="I156" i="20" l="1"/>
  <c r="I163" i="20" s="1"/>
  <c r="F171" i="20" s="1" a="1"/>
  <c r="BD88" i="20"/>
  <c r="FH148" i="9"/>
  <c r="FI145" i="9"/>
  <c r="FJ145" i="9" s="1"/>
  <c r="FK145" i="9" s="1"/>
  <c r="FL145" i="9" s="1"/>
  <c r="C168" i="15"/>
  <c r="BA44" i="15"/>
  <c r="BA117" i="15"/>
  <c r="C209" i="15" s="1" a="1"/>
  <c r="AL135" i="15"/>
  <c r="E223" i="15" s="1"/>
  <c r="AJ137" i="15"/>
  <c r="E33" i="12"/>
  <c r="E35" i="14"/>
  <c r="E65" i="14"/>
  <c r="BH121" i="20"/>
  <c r="BH44" i="20"/>
  <c r="CF221" i="9"/>
  <c r="CG221" i="9" s="1"/>
  <c r="FL148" i="9" l="1"/>
  <c r="FM145" i="9"/>
  <c r="FM148" i="9" s="1"/>
  <c r="FM141" i="9" s="1"/>
  <c r="G218" i="15"/>
  <c r="G223" i="15"/>
  <c r="G210" i="15"/>
  <c r="G222" i="15"/>
  <c r="G215" i="15"/>
  <c r="G217" i="15"/>
  <c r="G214" i="15"/>
  <c r="C209" i="15"/>
  <c r="G209" i="15" s="1"/>
  <c r="G220" i="15"/>
  <c r="G216" i="15"/>
  <c r="G213" i="15"/>
  <c r="G211" i="15"/>
  <c r="G212" i="15"/>
  <c r="E61" i="14"/>
  <c r="G24" i="12"/>
  <c r="G26" i="14"/>
  <c r="BD121" i="20"/>
  <c r="F212" i="20" s="1" a="1"/>
  <c r="BD44" i="20"/>
  <c r="F171" i="20"/>
  <c r="J221" i="20" l="1"/>
  <c r="J213" i="20"/>
  <c r="J218" i="20"/>
  <c r="J216" i="20"/>
  <c r="J215" i="20"/>
  <c r="J214" i="20"/>
  <c r="J219" i="20"/>
  <c r="J224" i="20"/>
  <c r="F212" i="20"/>
  <c r="J212" i="20" s="1"/>
  <c r="J223" i="20"/>
  <c r="J217" i="20"/>
  <c r="J220" i="20"/>
  <c r="J225" i="20"/>
  <c r="BO118" i="20"/>
  <c r="BP118" i="20" s="1"/>
  <c r="EO131" i="9"/>
  <c r="M22" i="13" s="1"/>
  <c r="ES132" i="9"/>
  <c r="AM138" i="20"/>
  <c r="EP131" i="9"/>
  <c r="AO138" i="20" l="1"/>
  <c r="H226" i="20" s="1"/>
  <c r="J226" i="20" s="1"/>
  <c r="AM140" i="20"/>
  <c r="E32" i="12"/>
  <c r="E34" i="14"/>
  <c r="D65" i="14"/>
  <c r="CL255" i="9"/>
  <c r="CM254" i="9" l="1"/>
  <c r="CP255" i="9" a="1"/>
  <c r="CP255" i="9" s="1"/>
  <c r="CF218" i="9"/>
  <c r="CG218" i="9" s="1"/>
  <c r="CO255" i="9"/>
  <c r="CV248" i="9"/>
  <c r="CF210" i="9" s="1"/>
  <c r="CM252" i="9"/>
  <c r="CF220" i="9"/>
  <c r="CG220" i="9" s="1"/>
  <c r="CM253" i="9"/>
  <c r="AE130" i="22" l="1"/>
  <c r="BL109" i="22"/>
  <c r="BM109" i="22" s="1"/>
  <c r="I167" i="22" s="1" a="1"/>
  <c r="I167" i="22" s="1"/>
  <c r="CM255" i="9"/>
  <c r="AE131" i="15"/>
  <c r="BL109" i="15"/>
  <c r="BM109" i="15" s="1"/>
  <c r="I168" i="15" s="1" a="1"/>
  <c r="I168" i="15" s="1"/>
  <c r="G25" i="12"/>
  <c r="CR252" i="9"/>
  <c r="CR254" i="9"/>
  <c r="CR253" i="9"/>
  <c r="CS254" i="9" l="1"/>
  <c r="CT254" i="9" s="1"/>
  <c r="CU254" i="9" s="1"/>
  <c r="CV254" i="9" s="1"/>
  <c r="CW254" i="9" s="1"/>
  <c r="CS253" i="9"/>
  <c r="CT253" i="9" s="1"/>
  <c r="CU253" i="9" s="1"/>
  <c r="CV253" i="9" s="1"/>
  <c r="CW253" i="9" s="1"/>
  <c r="CS252" i="9"/>
  <c r="CT252" i="9" s="1"/>
  <c r="CU252" i="9" s="1"/>
  <c r="CV252" i="9" s="1"/>
  <c r="AL131" i="15"/>
  <c r="E219" i="15" s="1"/>
  <c r="G219" i="15" s="1"/>
  <c r="AE137" i="15"/>
  <c r="E168" i="15" s="1" a="1"/>
  <c r="AL130" i="22"/>
  <c r="AE136" i="22"/>
  <c r="E167" i="22" s="1" a="1"/>
  <c r="CV255" i="9" l="1"/>
  <c r="CW252" i="9"/>
  <c r="CW255" i="9" s="1"/>
  <c r="CW248" i="9" s="1"/>
  <c r="K190" i="22"/>
  <c r="K170" i="22"/>
  <c r="K184" i="22"/>
  <c r="K200" i="22"/>
  <c r="K194" i="22"/>
  <c r="K193" i="22"/>
  <c r="K175" i="22"/>
  <c r="K192" i="22"/>
  <c r="K180" i="22"/>
  <c r="K199" i="22"/>
  <c r="K191" i="22"/>
  <c r="K188" i="22"/>
  <c r="E167" i="22"/>
  <c r="K167" i="22" s="1"/>
  <c r="K195" i="22"/>
  <c r="K183" i="22"/>
  <c r="K178" i="22"/>
  <c r="K173" i="22"/>
  <c r="K187" i="22"/>
  <c r="K182" i="22"/>
  <c r="K196" i="22"/>
  <c r="K185" i="22"/>
  <c r="K181" i="22"/>
  <c r="K176" i="22"/>
  <c r="K198" i="22"/>
  <c r="K201" i="22"/>
  <c r="K177" i="22"/>
  <c r="K189" i="22"/>
  <c r="K168" i="22"/>
  <c r="K186" i="22"/>
  <c r="K174" i="22"/>
  <c r="K169" i="22"/>
  <c r="K179" i="22"/>
  <c r="K189" i="15"/>
  <c r="K186" i="15"/>
  <c r="K192" i="15"/>
  <c r="K170" i="15"/>
  <c r="K175" i="15"/>
  <c r="K180" i="15"/>
  <c r="K183" i="15"/>
  <c r="K171" i="15"/>
  <c r="E168" i="15"/>
  <c r="K168" i="15" s="1"/>
  <c r="K185" i="15"/>
  <c r="K178" i="15"/>
  <c r="K181" i="15"/>
  <c r="K176" i="15"/>
  <c r="K187" i="15"/>
  <c r="K172" i="15"/>
  <c r="K202" i="15"/>
  <c r="K182" i="15"/>
  <c r="K197" i="15"/>
  <c r="K184" i="15"/>
  <c r="K193" i="15"/>
  <c r="K200" i="15"/>
  <c r="K199" i="15"/>
  <c r="K174" i="15"/>
  <c r="K191" i="15"/>
  <c r="K196" i="15"/>
  <c r="K188" i="15"/>
  <c r="K190" i="15"/>
  <c r="K201" i="15"/>
  <c r="K169" i="15"/>
  <c r="K177" i="15"/>
  <c r="K173" i="15"/>
  <c r="K195" i="15"/>
  <c r="K194" i="15"/>
  <c r="K179" i="15"/>
  <c r="K202" i="22" l="1"/>
  <c r="K203" i="15"/>
  <c r="AH134" i="20"/>
  <c r="CD210" i="9"/>
  <c r="N17" i="13" s="1"/>
  <c r="CE210" i="9"/>
  <c r="T5" i="13" s="1"/>
  <c r="BO113" i="20"/>
  <c r="BP113" i="20" s="1"/>
  <c r="L171" i="20" s="1" a="1"/>
  <c r="L171" i="20" s="1"/>
  <c r="CH211" i="9"/>
  <c r="D61" i="14" l="1"/>
  <c r="G23" i="12"/>
  <c r="G25" i="14"/>
  <c r="AH140" i="20"/>
  <c r="H171" i="20" s="1" a="1"/>
  <c r="AO134" i="20"/>
  <c r="H222" i="20" s="1"/>
  <c r="J222" i="20" s="1"/>
  <c r="N174" i="20" l="1"/>
  <c r="N204" i="20"/>
  <c r="N180" i="20"/>
  <c r="N179" i="20"/>
  <c r="N185" i="20"/>
  <c r="N182" i="20"/>
  <c r="N196" i="20"/>
  <c r="N189" i="20"/>
  <c r="N192" i="20"/>
  <c r="N188" i="20"/>
  <c r="N190" i="20"/>
  <c r="N191" i="20"/>
  <c r="N194" i="20"/>
  <c r="N203" i="20"/>
  <c r="N172" i="20"/>
  <c r="N197" i="20"/>
  <c r="N183" i="20"/>
  <c r="N193" i="20"/>
  <c r="N195" i="20"/>
  <c r="N173" i="20"/>
  <c r="N201" i="20"/>
  <c r="N202" i="20"/>
  <c r="N187" i="20"/>
  <c r="N186" i="20"/>
  <c r="N176" i="20"/>
  <c r="N177" i="20"/>
  <c r="N205" i="20"/>
  <c r="N184" i="20"/>
  <c r="N198" i="20"/>
  <c r="N181" i="20"/>
  <c r="N175" i="20"/>
  <c r="N178" i="20"/>
  <c r="N199" i="20"/>
  <c r="H171" i="20"/>
  <c r="N171" i="20" s="1"/>
  <c r="N200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<sst xmlns="http://schemas.openxmlformats.org/spreadsheetml/2006/main" count="5797" uniqueCount="708">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</sst>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2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4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70" fillId="26" borderId="1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5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9" fontId="0" fillId="0" borderId="27" xfId="0" applyNumberFormat="1" applyBorder="1" applyAlignment="1">
      <alignment horizontal="center"/>
    </xf>
    <xf numFmtId="0" fontId="24" fillId="0" borderId="0" xfId="0" applyFont="1" applyBorder="1" applyAlignment="1">
      <alignment horizontal="center"/>
    </xf>
    <xf numFmtId="169" fontId="0" fillId="0" borderId="32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117587</xdr:colOff>
      <xdr:row>137</xdr:row>
      <xdr:rowOff>0</xdr:rowOff>
    </xdr:from>
    <xdr:to>
      <xdr:col>13</xdr:col>
      <xdr:colOff>387100</xdr:colOff>
      <xdr:row>154</xdr:row>
      <xdr:rowOff>104769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8867" y="26527760"/>
          <a:ext cx="3916953" cy="3386449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136</xdr:row>
      <xdr:rowOff>52694</xdr:rowOff>
    </xdr:from>
    <xdr:to>
      <xdr:col>10</xdr:col>
      <xdr:colOff>636975</xdr:colOff>
      <xdr:row>150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137</xdr:row>
      <xdr:rowOff>117322</xdr:rowOff>
    </xdr:from>
    <xdr:to>
      <xdr:col>22</xdr:col>
      <xdr:colOff>146352</xdr:colOff>
      <xdr:row>146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138</xdr:row>
      <xdr:rowOff>185115</xdr:rowOff>
    </xdr:from>
    <xdr:to>
      <xdr:col>5</xdr:col>
      <xdr:colOff>20320</xdr:colOff>
      <xdr:row>152</xdr:row>
      <xdr:rowOff>69904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29783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112</xdr:row>
      <xdr:rowOff>87717</xdr:rowOff>
    </xdr:from>
    <xdr:to>
      <xdr:col>38</xdr:col>
      <xdr:colOff>204165</xdr:colOff>
      <xdr:row>121</xdr:row>
      <xdr:rowOff>216520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71120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138</xdr:row>
      <xdr:rowOff>94660</xdr:rowOff>
    </xdr:from>
    <xdr:to>
      <xdr:col>4</xdr:col>
      <xdr:colOff>860823</xdr:colOff>
      <xdr:row>154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194555</xdr:colOff>
      <xdr:row>103</xdr:row>
      <xdr:rowOff>95928</xdr:rowOff>
    </xdr:from>
    <xdr:to>
      <xdr:col>20</xdr:col>
      <xdr:colOff>163002</xdr:colOff>
      <xdr:row>119</xdr:row>
      <xdr:rowOff>69260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4946875" y="21442088"/>
          <a:ext cx="3473647" cy="352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226</xdr:row>
      <xdr:rowOff>108857</xdr:rowOff>
    </xdr:from>
    <xdr:to>
      <xdr:col>12</xdr:col>
      <xdr:colOff>794657</xdr:colOff>
      <xdr:row>226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251</xdr:row>
      <xdr:rowOff>108857</xdr:rowOff>
    </xdr:from>
    <xdr:to>
      <xdr:col>12</xdr:col>
      <xdr:colOff>794657</xdr:colOff>
      <xdr:row>251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268</xdr:row>
      <xdr:rowOff>108857</xdr:rowOff>
    </xdr:from>
    <xdr:to>
      <xdr:col>12</xdr:col>
      <xdr:colOff>794657</xdr:colOff>
      <xdr:row>268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284</xdr:row>
      <xdr:rowOff>108857</xdr:rowOff>
    </xdr:from>
    <xdr:to>
      <xdr:col>12</xdr:col>
      <xdr:colOff>794657</xdr:colOff>
      <xdr:row>284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241</xdr:row>
      <xdr:rowOff>146010</xdr:rowOff>
    </xdr:from>
    <xdr:to>
      <xdr:col>13</xdr:col>
      <xdr:colOff>47203</xdr:colOff>
      <xdr:row>248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112</xdr:row>
      <xdr:rowOff>66261</xdr:rowOff>
    </xdr:from>
    <xdr:to>
      <xdr:col>50</xdr:col>
      <xdr:colOff>53010</xdr:colOff>
      <xdr:row>122</xdr:row>
      <xdr:rowOff>141445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126</xdr:row>
      <xdr:rowOff>30480</xdr:rowOff>
    </xdr:from>
    <xdr:to>
      <xdr:col>13</xdr:col>
      <xdr:colOff>467360</xdr:colOff>
      <xdr:row>132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111760</xdr:colOff>
      <xdr:row>66</xdr:row>
      <xdr:rowOff>51911</xdr:rowOff>
    </xdr:from>
    <xdr:to>
      <xdr:col>11</xdr:col>
      <xdr:colOff>1300479</xdr:colOff>
      <xdr:row>79</xdr:row>
      <xdr:rowOff>72158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2560" y="13747591"/>
          <a:ext cx="4734559" cy="2753287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124</xdr:row>
      <xdr:rowOff>121920</xdr:rowOff>
    </xdr:from>
    <xdr:to>
      <xdr:col>13</xdr:col>
      <xdr:colOff>1026160</xdr:colOff>
      <xdr:row>132</xdr:row>
      <xdr:rowOff>91440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271</xdr:row>
      <xdr:rowOff>56284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215</xdr:row>
      <xdr:rowOff>157112</xdr:rowOff>
    </xdr:from>
    <xdr:to>
      <xdr:col>101</xdr:col>
      <xdr:colOff>266352</xdr:colOff>
      <xdr:row>215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10763</xdr:colOff>
      <xdr:row>206</xdr:row>
      <xdr:rowOff>182217</xdr:rowOff>
    </xdr:from>
    <xdr:to>
      <xdr:col>88</xdr:col>
      <xdr:colOff>81529</xdr:colOff>
      <xdr:row>274</xdr:row>
      <xdr:rowOff>10763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17288" y="44513827"/>
          <a:ext cx="70766" cy="150685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169984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231</xdr:row>
      <xdr:rowOff>165028</xdr:rowOff>
    </xdr:from>
    <xdr:to>
      <xdr:col>101</xdr:col>
      <xdr:colOff>710339</xdr:colOff>
      <xdr:row>231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232</xdr:row>
      <xdr:rowOff>201083</xdr:rowOff>
    </xdr:from>
    <xdr:to>
      <xdr:col>80</xdr:col>
      <xdr:colOff>136769</xdr:colOff>
      <xdr:row>232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248</xdr:row>
      <xdr:rowOff>157023</xdr:rowOff>
    </xdr:from>
    <xdr:to>
      <xdr:col>101</xdr:col>
      <xdr:colOff>389643</xdr:colOff>
      <xdr:row>248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265</xdr:row>
      <xdr:rowOff>90422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244</xdr:row>
      <xdr:rowOff>195781</xdr:rowOff>
    </xdr:from>
    <xdr:to>
      <xdr:col>80</xdr:col>
      <xdr:colOff>175302</xdr:colOff>
      <xdr:row>245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264</xdr:row>
      <xdr:rowOff>157023</xdr:rowOff>
    </xdr:from>
    <xdr:to>
      <xdr:col>101</xdr:col>
      <xdr:colOff>389643</xdr:colOff>
      <xdr:row>264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7" zoomScale="233" workbookViewId="0">
      <selection activeCell="K44" sqref="K44"/>
    </sheetView>
  </sheetViews>
  <sheetFormatPr baseColWidth="10" defaultColWidth="8.83203125" defaultRowHeight="15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>
      <c r="R2" s="312" t="s">
        <v>102</v>
      </c>
      <c r="S2" s="313"/>
      <c r="T2" s="312" t="s">
        <v>108</v>
      </c>
      <c r="U2" s="313"/>
      <c r="W2" s="314" t="s">
        <v>233</v>
      </c>
      <c r="X2" s="314"/>
      <c r="Y2" s="13" t="s">
        <v>52</v>
      </c>
      <c r="AB2" s="3" t="s">
        <v>345</v>
      </c>
      <c r="AH2" s="3" t="s">
        <v>425</v>
      </c>
    </row>
    <row r="3" spans="2:34" ht="18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455</v>
      </c>
      <c r="AA5" s="61" t="s">
        <v>487</v>
      </c>
      <c r="AB5" s="13">
        <v>43400</v>
      </c>
    </row>
    <row r="6" spans="2:34" ht="18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506</v>
      </c>
      <c r="AB6" s="13">
        <v>39500</v>
      </c>
    </row>
    <row r="7" spans="2:34" ht="18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488</v>
      </c>
      <c r="AB7" s="13">
        <v>42600</v>
      </c>
    </row>
    <row r="8" spans="2:34" ht="18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5" t="s">
        <v>389</v>
      </c>
      <c r="R12" s="315"/>
    </row>
    <row r="13" spans="2:34" ht="18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390</v>
      </c>
      <c r="S13" s="13" t="s">
        <v>33</v>
      </c>
      <c r="T13" s="13" t="s">
        <v>34</v>
      </c>
      <c r="U13" s="13" t="s">
        <v>35</v>
      </c>
      <c r="V13" s="13" t="s">
        <v>397</v>
      </c>
      <c r="W13" s="13" t="s">
        <v>36</v>
      </c>
    </row>
    <row r="14" spans="2:34" ht="18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40" t="s">
        <v>703</v>
      </c>
      <c r="R16" s="340"/>
    </row>
    <row r="17" spans="2:17" ht="16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  <c r="Q17" s="13" t="s">
        <v>390</v>
      </c>
    </row>
    <row r="18" spans="2:17" ht="17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346</v>
      </c>
    </row>
    <row r="19" spans="2:17" ht="18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>
      <c r="B39" s="4" t="s">
        <v>487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>
      <c r="B40" s="4" t="s">
        <v>488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>
      <c r="B41" s="4" t="s">
        <v>506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>
      <c r="A42" s="3" t="s">
        <v>690</v>
      </c>
      <c r="B42" s="3" t="s">
        <v>677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>
      <c r="A43" s="3" t="s">
        <v>693</v>
      </c>
      <c r="B43" s="3" t="s">
        <v>678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8" si="0">F43/D43</f>
        <v>1161.3984808683447</v>
      </c>
    </row>
    <row r="44" spans="1:7" ht="17">
      <c r="A44" s="3" t="s">
        <v>694</v>
      </c>
      <c r="B44" s="3" t="s">
        <v>679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>
      <c r="A45" s="3" t="s">
        <v>692</v>
      </c>
      <c r="B45" s="3" t="s">
        <v>691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>
      <c r="A46" s="3" t="s">
        <v>695</v>
      </c>
      <c r="B46" s="3" t="s">
        <v>698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>
      <c r="A47" s="3" t="s">
        <v>696</v>
      </c>
      <c r="B47" s="3" t="s">
        <v>700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>
      <c r="A48" s="3" t="s">
        <v>697</v>
      </c>
      <c r="B48" s="4" t="s">
        <v>701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6">
      <c r="G49" s="1"/>
    </row>
    <row r="50" spans="2:7" ht="16">
      <c r="G50" s="1"/>
    </row>
    <row r="51" spans="2:7" ht="16">
      <c r="G51" s="1"/>
    </row>
    <row r="52" spans="2:7" ht="16">
      <c r="G52" s="1"/>
    </row>
    <row r="53" spans="2:7" ht="16">
      <c r="G53" s="1"/>
    </row>
    <row r="54" spans="2:7">
      <c r="B54" s="4"/>
    </row>
    <row r="55" spans="2:7">
      <c r="B55" s="3" t="s">
        <v>107</v>
      </c>
    </row>
    <row r="56" spans="2:7" ht="17">
      <c r="B56" s="13" t="s">
        <v>54</v>
      </c>
      <c r="C56" s="3" t="s">
        <v>124</v>
      </c>
    </row>
    <row r="57" spans="2:7" ht="17">
      <c r="B57" s="13" t="s">
        <v>54</v>
      </c>
      <c r="C57" s="16" t="s">
        <v>374</v>
      </c>
    </row>
    <row r="58" spans="2:7" ht="18">
      <c r="B58" s="19" t="s">
        <v>6</v>
      </c>
      <c r="C58" s="16" t="s">
        <v>362</v>
      </c>
    </row>
    <row r="59" spans="2:7" ht="18">
      <c r="B59" s="19" t="s">
        <v>6</v>
      </c>
      <c r="C59" s="3" t="s">
        <v>128</v>
      </c>
    </row>
    <row r="60" spans="2:7" ht="17">
      <c r="B60" s="13" t="s">
        <v>172</v>
      </c>
      <c r="C60" s="3" t="s">
        <v>173</v>
      </c>
    </row>
    <row r="61" spans="2:7">
      <c r="B61" s="13" t="s">
        <v>345</v>
      </c>
      <c r="C61" s="16" t="s">
        <v>347</v>
      </c>
    </row>
    <row r="62" spans="2:7">
      <c r="B62" s="13" t="s">
        <v>5</v>
      </c>
      <c r="C62" s="16" t="s">
        <v>359</v>
      </c>
    </row>
    <row r="63" spans="2:7">
      <c r="B63" s="13" t="s">
        <v>390</v>
      </c>
      <c r="C63" s="16" t="s">
        <v>664</v>
      </c>
    </row>
    <row r="64" spans="2:7">
      <c r="B64" s="128" t="s">
        <v>395</v>
      </c>
      <c r="C64" s="3" t="s">
        <v>398</v>
      </c>
    </row>
    <row r="65" spans="2:3">
      <c r="B65" s="13" t="s">
        <v>405</v>
      </c>
      <c r="C65" s="3" t="s">
        <v>338</v>
      </c>
    </row>
    <row r="66" spans="2:3">
      <c r="B66" s="13" t="s">
        <v>500</v>
      </c>
      <c r="C66" s="3" t="s">
        <v>501</v>
      </c>
    </row>
    <row r="67" spans="2:3" ht="17">
      <c r="B67" s="13" t="s">
        <v>492</v>
      </c>
      <c r="C67" s="3" t="s">
        <v>491</v>
      </c>
    </row>
    <row r="68" spans="2:3">
      <c r="B68" s="13" t="s">
        <v>40</v>
      </c>
      <c r="C68" s="3" t="s">
        <v>657</v>
      </c>
    </row>
    <row r="69" spans="2:3">
      <c r="B69" s="13" t="s">
        <v>662</v>
      </c>
      <c r="C69" s="3" t="s">
        <v>661</v>
      </c>
    </row>
    <row r="70" spans="2:3">
      <c r="B70" s="3" t="s">
        <v>676</v>
      </c>
      <c r="C70" s="3" t="s">
        <v>699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/>
  <sheetData>
    <row r="1" spans="2:22">
      <c r="C1" s="3" t="s">
        <v>622</v>
      </c>
    </row>
    <row r="2" spans="2:22">
      <c r="C2" s="3">
        <f>298.15</f>
        <v>298.14999999999998</v>
      </c>
    </row>
    <row r="3" spans="2:22" ht="19">
      <c r="B3" s="3"/>
      <c r="C3" s="3"/>
      <c r="D3" s="290" t="s">
        <v>612</v>
      </c>
      <c r="E3" s="3" t="s">
        <v>611</v>
      </c>
      <c r="F3" s="290" t="s">
        <v>606</v>
      </c>
      <c r="G3" s="290" t="s">
        <v>614</v>
      </c>
      <c r="H3" s="3" t="s">
        <v>615</v>
      </c>
      <c r="I3" s="290" t="s">
        <v>616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623</v>
      </c>
      <c r="V3" s="3" t="s">
        <v>624</v>
      </c>
    </row>
    <row r="4" spans="2:22">
      <c r="B4" s="3"/>
      <c r="C4" s="169" t="s">
        <v>595</v>
      </c>
      <c r="D4" s="13" t="s">
        <v>613</v>
      </c>
      <c r="E4" s="13" t="s">
        <v>63</v>
      </c>
      <c r="F4" s="13" t="s">
        <v>346</v>
      </c>
      <c r="G4" s="13" t="s">
        <v>613</v>
      </c>
      <c r="H4" s="13" t="s">
        <v>98</v>
      </c>
      <c r="I4" s="13" t="s">
        <v>613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595</v>
      </c>
      <c r="U4" s="13" t="s">
        <v>58</v>
      </c>
      <c r="V4" s="13" t="s">
        <v>58</v>
      </c>
    </row>
    <row r="5" spans="2:22" ht="15" customHeight="1">
      <c r="B5" s="345" t="s">
        <v>589</v>
      </c>
      <c r="C5" s="3" t="s">
        <v>594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594</v>
      </c>
      <c r="U5" s="3">
        <f>K5</f>
        <v>-9.8484726160779719</v>
      </c>
      <c r="V5">
        <f>K15</f>
        <v>880.83108552905367</v>
      </c>
    </row>
    <row r="6" spans="2:22" ht="18">
      <c r="B6" s="345"/>
      <c r="C6" s="3"/>
      <c r="D6" s="3" t="s">
        <v>54</v>
      </c>
      <c r="E6" s="1" t="s">
        <v>599</v>
      </c>
      <c r="F6" s="1" t="s">
        <v>600</v>
      </c>
      <c r="G6" s="1" t="s">
        <v>601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597</v>
      </c>
      <c r="U6" s="3">
        <f>H8</f>
        <v>831.8</v>
      </c>
      <c r="V6" s="3">
        <f>H18</f>
        <v>831.8</v>
      </c>
    </row>
    <row r="7" spans="2:22" ht="16">
      <c r="B7" s="345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596</v>
      </c>
      <c r="U7" s="3">
        <f>Q11</f>
        <v>-293.51452993154498</v>
      </c>
      <c r="V7">
        <f>P21</f>
        <v>-2123.0450060933322</v>
      </c>
    </row>
    <row r="8" spans="2:22">
      <c r="B8" s="345"/>
      <c r="C8" s="3" t="s">
        <v>597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>
      <c r="B9" s="345"/>
      <c r="C9" s="3"/>
      <c r="D9" s="3" t="s">
        <v>40</v>
      </c>
      <c r="E9" s="3" t="s">
        <v>591</v>
      </c>
      <c r="F9" s="3" t="s">
        <v>592</v>
      </c>
      <c r="G9" s="290" t="s">
        <v>603</v>
      </c>
      <c r="H9" s="290" t="s">
        <v>604</v>
      </c>
      <c r="I9" s="3" t="s">
        <v>605</v>
      </c>
      <c r="J9" s="290" t="s">
        <v>606</v>
      </c>
      <c r="K9" s="290" t="s">
        <v>607</v>
      </c>
      <c r="L9" s="290" t="s">
        <v>101</v>
      </c>
      <c r="M9" s="290" t="s">
        <v>608</v>
      </c>
      <c r="N9" s="290" t="s">
        <v>609</v>
      </c>
      <c r="O9" s="3" t="s">
        <v>54</v>
      </c>
      <c r="P9" s="290" t="s">
        <v>610</v>
      </c>
      <c r="Q9" s="290" t="s">
        <v>34</v>
      </c>
    </row>
    <row r="10" spans="2:22" ht="17">
      <c r="B10" s="345"/>
      <c r="C10" s="3"/>
      <c r="D10" s="13" t="s">
        <v>625</v>
      </c>
      <c r="E10" s="13" t="s">
        <v>240</v>
      </c>
      <c r="F10" s="13" t="s">
        <v>240</v>
      </c>
      <c r="G10" s="13" t="s">
        <v>498</v>
      </c>
      <c r="H10" s="13" t="s">
        <v>498</v>
      </c>
      <c r="I10" s="13" t="s">
        <v>240</v>
      </c>
      <c r="J10" s="13" t="s">
        <v>498</v>
      </c>
      <c r="K10" s="13" t="s">
        <v>499</v>
      </c>
      <c r="L10" s="13" t="s">
        <v>499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623</v>
      </c>
      <c r="V10" s="3" t="s">
        <v>624</v>
      </c>
    </row>
    <row r="11" spans="2:22">
      <c r="B11" s="345"/>
      <c r="C11" s="3" t="s">
        <v>596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595</v>
      </c>
      <c r="U11" s="13" t="s">
        <v>58</v>
      </c>
      <c r="V11" s="13" t="s">
        <v>58</v>
      </c>
    </row>
    <row r="12" spans="2:22">
      <c r="S12" s="346" t="s">
        <v>626</v>
      </c>
      <c r="T12" s="13" t="s">
        <v>594</v>
      </c>
      <c r="U12" s="238" t="s">
        <v>474</v>
      </c>
      <c r="V12" s="238">
        <v>880.83</v>
      </c>
    </row>
    <row r="13" spans="2:22">
      <c r="B13" s="238"/>
      <c r="C13" s="238"/>
      <c r="D13" s="238" t="s">
        <v>593</v>
      </c>
      <c r="E13" s="238" t="s">
        <v>591</v>
      </c>
      <c r="F13" s="238" t="s">
        <v>592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6"/>
      <c r="T13" s="13" t="s">
        <v>597</v>
      </c>
      <c r="U13" s="238">
        <v>831.8</v>
      </c>
      <c r="V13" s="238">
        <f>U13</f>
        <v>831.8</v>
      </c>
    </row>
    <row r="14" spans="2:2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598</v>
      </c>
      <c r="H14" s="292" t="s">
        <v>598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6"/>
      <c r="T14" s="13" t="s">
        <v>596</v>
      </c>
      <c r="U14" s="238">
        <v>869.44899999999996</v>
      </c>
      <c r="V14" s="238">
        <v>858.81600000000003</v>
      </c>
    </row>
    <row r="15" spans="2:22">
      <c r="B15" s="345" t="s">
        <v>590</v>
      </c>
      <c r="C15" s="238" t="s">
        <v>594</v>
      </c>
      <c r="D15" s="238">
        <f>Ore_to_PI!BR156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>
      <c r="B16" s="345"/>
      <c r="C16" s="238"/>
      <c r="D16" s="238" t="s">
        <v>54</v>
      </c>
      <c r="E16" s="293" t="s">
        <v>599</v>
      </c>
      <c r="F16" s="293" t="s">
        <v>600</v>
      </c>
      <c r="G16" s="293" t="s">
        <v>601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>
      <c r="B17" s="345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>
      <c r="B18" s="345"/>
      <c r="C18" s="238" t="s">
        <v>597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>
      <c r="B19" s="345"/>
      <c r="C19" s="238"/>
      <c r="D19" s="238" t="s">
        <v>497</v>
      </c>
      <c r="E19" s="238" t="s">
        <v>497</v>
      </c>
      <c r="F19" s="295" t="s">
        <v>618</v>
      </c>
      <c r="G19" s="295" t="s">
        <v>619</v>
      </c>
      <c r="H19" s="295" t="s">
        <v>606</v>
      </c>
      <c r="I19" s="295" t="s">
        <v>616</v>
      </c>
      <c r="J19" s="295" t="s">
        <v>616</v>
      </c>
      <c r="K19" s="238" t="s">
        <v>40</v>
      </c>
      <c r="L19" s="295" t="s">
        <v>608</v>
      </c>
      <c r="M19" s="295" t="s">
        <v>609</v>
      </c>
      <c r="N19" s="295" t="s">
        <v>620</v>
      </c>
      <c r="O19" s="295" t="s">
        <v>621</v>
      </c>
      <c r="P19" s="295" t="s">
        <v>34</v>
      </c>
    </row>
    <row r="20" spans="2:16">
      <c r="B20" s="345"/>
      <c r="C20" s="238"/>
      <c r="D20" s="292" t="s">
        <v>498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499</v>
      </c>
      <c r="J20" s="292" t="s">
        <v>617</v>
      </c>
      <c r="K20" s="292" t="s">
        <v>602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>
      <c r="B21" s="345"/>
      <c r="C21" s="238" t="s">
        <v>596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>
      <c r="C31" s="3"/>
    </row>
    <row r="32" spans="2:16">
      <c r="C32" s="3" t="s">
        <v>568</v>
      </c>
    </row>
    <row r="33" spans="3:3">
      <c r="C33" s="3" t="s">
        <v>569</v>
      </c>
    </row>
    <row r="34" spans="3:3">
      <c r="C34" s="3" t="s">
        <v>553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302"/>
  <sheetViews>
    <sheetView tabSelected="1" topLeftCell="A88" zoomScale="83" zoomScaleNormal="83" workbookViewId="0">
      <selection activeCell="CE244" sqref="CE244"/>
    </sheetView>
  </sheetViews>
  <sheetFormatPr baseColWidth="10" defaultColWidth="8.83203125" defaultRowHeight="15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10.6640625" style="3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>
      <c r="A1" s="25" t="s">
        <v>51</v>
      </c>
    </row>
    <row r="2" spans="1:28">
      <c r="A2" s="16" t="s">
        <v>126</v>
      </c>
      <c r="B2" s="3" t="s">
        <v>127</v>
      </c>
      <c r="C2" s="3" t="s">
        <v>174</v>
      </c>
    </row>
    <row r="10" spans="1:28" ht="17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4" t="s">
        <v>125</v>
      </c>
      <c r="P10" s="314"/>
      <c r="Q10" s="314"/>
      <c r="R10" s="314"/>
      <c r="S10" s="314"/>
      <c r="T10" s="314"/>
      <c r="U10" s="314"/>
      <c r="V10" s="314" t="s">
        <v>125</v>
      </c>
      <c r="W10" s="314"/>
      <c r="X10" s="314"/>
      <c r="Y10" s="314"/>
      <c r="Z10" s="314"/>
      <c r="AA10" s="314"/>
      <c r="AB10" s="314"/>
    </row>
    <row r="11" spans="1:28" ht="18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4" t="s">
        <v>306</v>
      </c>
      <c r="P11" s="314"/>
      <c r="Q11" s="314"/>
      <c r="R11" s="312"/>
      <c r="S11" s="313"/>
      <c r="T11" s="330" t="s">
        <v>305</v>
      </c>
      <c r="U11" s="319"/>
      <c r="V11" s="314" t="str">
        <f>_xlfn.CONCAT(E19," ",C19," ","+"," ",E21," ",C21," ","--&gt;"," ",E22," ",C22," ","+"," ",E20*E21," ",C20)</f>
        <v>1.5 C + 1.5 O2 --&gt; 1.5 CO2 + 5.64 N2</v>
      </c>
      <c r="W11" s="314"/>
      <c r="X11" s="314"/>
      <c r="Y11" s="314"/>
      <c r="Z11" s="314"/>
      <c r="AA11" s="314"/>
      <c r="AB11" s="314"/>
    </row>
    <row r="12" spans="1:28" ht="18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4" t="s">
        <v>225</v>
      </c>
      <c r="P12" s="314"/>
      <c r="Q12" s="314"/>
      <c r="R12" s="312"/>
      <c r="S12" s="313"/>
      <c r="T12" s="314" t="s">
        <v>224</v>
      </c>
      <c r="U12" s="314"/>
      <c r="V12" s="314" t="str">
        <f>_xlfn.CONCAT(E25," ",C25," ","+"," ",E26," ",C26," ","--&gt;"," ",E27," ",C27)</f>
        <v>1.5 CO2 + 1.5 C --&gt; 3 CO</v>
      </c>
      <c r="W12" s="314"/>
      <c r="X12" s="314"/>
      <c r="Y12" s="314"/>
      <c r="Z12" s="314"/>
      <c r="AA12" s="314"/>
      <c r="AB12" s="314"/>
    </row>
    <row r="13" spans="1:28" ht="18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4" t="s">
        <v>226</v>
      </c>
      <c r="P13" s="314"/>
      <c r="Q13" s="314"/>
      <c r="R13" s="312"/>
      <c r="S13" s="313"/>
      <c r="T13" s="330" t="s">
        <v>227</v>
      </c>
      <c r="U13" s="319"/>
      <c r="V13" s="314" t="str">
        <f>_xlfn.CONCAT(E29," ",C29," ","+"," ",E30," ",C30," ","--&gt;"," ",E31," ",C31," ","+"," ",E32," ",C32)</f>
        <v>1 Fe2O3 + 3 CO --&gt; 2 Fe + 3 CO2</v>
      </c>
      <c r="W13" s="314"/>
      <c r="X13" s="314"/>
      <c r="Y13" s="314"/>
      <c r="Z13" s="314"/>
      <c r="AA13" s="314"/>
      <c r="AB13" s="314"/>
    </row>
    <row r="14" spans="1:28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4"/>
      <c r="P14" s="314"/>
      <c r="Q14" s="314"/>
      <c r="R14" s="312"/>
      <c r="S14" s="313"/>
      <c r="T14" s="314"/>
      <c r="U14" s="314"/>
      <c r="V14" s="314" t="str">
        <f>_xlfn.CONCAT(E36," ",C36," ","--&gt;"," ",E37," ",C37," ","+"," ",E39," ",C39)</f>
        <v>1 CaCO3 --&gt; 1 CaO + 0.0624775822865075 MgO</v>
      </c>
      <c r="W14" s="314"/>
      <c r="X14" s="314"/>
      <c r="Y14" s="314"/>
      <c r="Z14" s="314"/>
      <c r="AA14" s="314"/>
      <c r="AB14" s="314"/>
    </row>
    <row r="15" spans="1:28" ht="17">
      <c r="O15" s="314" t="s">
        <v>228</v>
      </c>
      <c r="P15" s="314"/>
      <c r="Q15" s="314"/>
      <c r="R15" s="312"/>
      <c r="S15" s="313"/>
      <c r="T15" s="314" t="s">
        <v>229</v>
      </c>
      <c r="U15" s="314"/>
      <c r="V15" s="314" t="str">
        <f>_xlfn.CONCAT(E41," ",C41," ","+"," ",E42," ",C42," ","--&gt;"," ",E43," ",C43)</f>
        <v>1 CaO + 1 SiO2 --&gt; 1 CaSiO3</v>
      </c>
      <c r="W15" s="314"/>
      <c r="X15" s="314"/>
      <c r="Y15" s="314"/>
      <c r="Z15" s="314"/>
      <c r="AA15" s="314"/>
      <c r="AB15" s="314"/>
    </row>
    <row r="16" spans="1:28">
      <c r="L16" s="77" t="s">
        <v>410</v>
      </c>
      <c r="M16" s="83" t="s">
        <v>411</v>
      </c>
    </row>
    <row r="17" spans="1:28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4" t="s">
        <v>334</v>
      </c>
      <c r="P17" s="314"/>
      <c r="Q17" s="314"/>
      <c r="R17" s="314"/>
      <c r="S17" s="314"/>
      <c r="T17" s="314"/>
      <c r="U17" s="314"/>
      <c r="V17" s="314" t="s">
        <v>125</v>
      </c>
      <c r="W17" s="314"/>
      <c r="X17" s="314"/>
      <c r="Y17" s="314"/>
      <c r="Z17" s="314"/>
      <c r="AA17" s="314"/>
      <c r="AB17" s="314"/>
    </row>
    <row r="18" spans="1:28" ht="17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4" t="s">
        <v>335</v>
      </c>
      <c r="P18" s="314"/>
      <c r="Q18" s="314"/>
      <c r="R18" s="314"/>
      <c r="S18" s="314"/>
      <c r="T18" s="314" t="s">
        <v>336</v>
      </c>
      <c r="U18" s="312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">
      <c r="B19" s="331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>
      <c r="A20" s="1"/>
      <c r="B20" s="332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>
      <c r="A21" s="1"/>
      <c r="B21" s="333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>
      <c r="B22" s="334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>
      <c r="B23" s="335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>
      <c r="B25" s="336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>
      <c r="B26" s="336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>
      <c r="B29" s="336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>
      <c r="B30" s="336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>
      <c r="B31" s="337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>
      <c r="B32" s="338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408</v>
      </c>
      <c r="O32" s="3" t="s">
        <v>409</v>
      </c>
    </row>
    <row r="33" spans="2:23">
      <c r="M33" s="3" t="s">
        <v>5</v>
      </c>
      <c r="N33" s="3" t="s">
        <v>1</v>
      </c>
      <c r="O33" s="3" t="s">
        <v>1</v>
      </c>
    </row>
    <row r="34" spans="2:23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>
      <c r="B35" s="341" t="s">
        <v>407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>
      <c r="B36" s="342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>
      <c r="B37" s="336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>
      <c r="B38" s="331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>
      <c r="B39" s="331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>
      <c r="B41" s="336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>
      <c r="B42" s="336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>
      <c r="B44" s="340" t="s">
        <v>19</v>
      </c>
      <c r="C44" s="340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>
      <c r="C47" s="325" t="s">
        <v>351</v>
      </c>
      <c r="D47" s="325"/>
      <c r="E47" s="325"/>
      <c r="F47" s="325"/>
    </row>
    <row r="48" spans="2:23">
      <c r="C48" s="343"/>
      <c r="D48" s="343"/>
      <c r="E48" s="343"/>
      <c r="F48" s="343"/>
      <c r="H48" s="314" t="s">
        <v>70</v>
      </c>
      <c r="I48" s="314"/>
      <c r="J48" s="314"/>
      <c r="K48" s="314"/>
      <c r="L48" s="314"/>
      <c r="M48" s="314"/>
    </row>
    <row r="49" spans="1:17" ht="18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4" t="s">
        <v>74</v>
      </c>
      <c r="I49" s="314"/>
      <c r="J49" s="314"/>
      <c r="K49" s="13"/>
      <c r="L49" s="330" t="s">
        <v>358</v>
      </c>
      <c r="M49" s="319"/>
    </row>
    <row r="50" spans="1:17" ht="17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9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9"/>
      <c r="J51" s="339"/>
      <c r="K51" s="339"/>
      <c r="L51" s="339"/>
      <c r="M51" s="339"/>
    </row>
    <row r="52" spans="1:17" ht="16.25" customHeight="1">
      <c r="C52" s="7"/>
      <c r="H52" s="339"/>
      <c r="I52" s="339"/>
      <c r="J52" s="339"/>
      <c r="K52" s="339"/>
      <c r="L52" s="339"/>
      <c r="M52" s="339"/>
    </row>
    <row r="53" spans="1:17" ht="16.25" customHeight="1"/>
    <row r="54" spans="1:17" ht="15.5" customHeight="1"/>
    <row r="55" spans="1:17" ht="15.5" customHeight="1">
      <c r="D55" s="306"/>
    </row>
    <row r="57" spans="1:17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426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426</v>
      </c>
    </row>
    <row r="59" spans="1:17" ht="17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44" t="s">
        <v>648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>
      <c r="A60" s="317" t="s">
        <v>649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8"/>
      <c r="K60" s="299" t="s">
        <v>647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>
      <c r="A61" s="317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8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8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>
      <c r="K63" s="95"/>
      <c r="L63" s="144"/>
      <c r="M63" s="144"/>
      <c r="N63" s="144"/>
      <c r="O63" s="144"/>
      <c r="P63" s="17"/>
      <c r="Q63" s="17"/>
    </row>
    <row r="64" spans="1:17" ht="18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/>
    <row r="67" spans="2:45" ht="19.25" customHeight="1"/>
    <row r="68" spans="2:45" ht="16" thickBot="1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2:45">
      <c r="B69" s="325" t="s">
        <v>377</v>
      </c>
      <c r="C69" s="325"/>
      <c r="D69" s="325"/>
      <c r="E69" s="325"/>
      <c r="F69" s="325"/>
      <c r="G69" s="325"/>
      <c r="W69" s="17"/>
      <c r="X69" s="17"/>
      <c r="Y69" s="322" t="s">
        <v>489</v>
      </c>
      <c r="Z69" s="323"/>
      <c r="AA69" s="323"/>
      <c r="AB69" s="323"/>
      <c r="AC69" s="323"/>
      <c r="AD69" s="323"/>
      <c r="AE69" s="323"/>
      <c r="AF69" s="323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2:45">
      <c r="B70" s="326"/>
      <c r="C70" s="326"/>
      <c r="D70" s="326"/>
      <c r="E70" s="326"/>
      <c r="F70" s="326"/>
      <c r="G70" s="326"/>
      <c r="K70" s="3" t="s">
        <v>675</v>
      </c>
      <c r="Y70" s="324"/>
      <c r="Z70" s="321"/>
      <c r="AA70" s="321"/>
      <c r="AB70" s="321"/>
      <c r="AC70" s="321"/>
      <c r="AD70" s="321"/>
      <c r="AE70" s="321"/>
      <c r="AF70" s="321"/>
    </row>
    <row r="71" spans="2:45">
      <c r="E71" s="13"/>
      <c r="F71" s="13" t="s">
        <v>381</v>
      </c>
      <c r="G71" s="13" t="s">
        <v>381</v>
      </c>
      <c r="Y71" s="324"/>
      <c r="Z71" s="321"/>
      <c r="AA71" s="321"/>
      <c r="AB71" s="321"/>
      <c r="AC71" s="321"/>
      <c r="AD71" s="321"/>
      <c r="AE71" s="321"/>
      <c r="AF71" s="321"/>
    </row>
    <row r="72" spans="2:45">
      <c r="B72" s="13" t="s">
        <v>18</v>
      </c>
      <c r="C72" s="13" t="s">
        <v>5</v>
      </c>
      <c r="D72" s="34" t="s">
        <v>365</v>
      </c>
      <c r="E72" s="13"/>
      <c r="F72" s="13" t="s">
        <v>673</v>
      </c>
      <c r="G72" s="13" t="s">
        <v>674</v>
      </c>
      <c r="Y72" s="24"/>
    </row>
    <row r="73" spans="2:45" ht="17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316.28369840759285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406</v>
      </c>
      <c r="AD73" s="3" t="s">
        <v>39</v>
      </c>
      <c r="AG73" s="169" t="s">
        <v>113</v>
      </c>
      <c r="AH73" s="199" t="s">
        <v>406</v>
      </c>
      <c r="AJ73" s="199" t="s">
        <v>406</v>
      </c>
      <c r="AL73" s="169" t="s">
        <v>114</v>
      </c>
      <c r="AM73" s="199" t="s">
        <v>406</v>
      </c>
      <c r="AO73" s="199" t="s">
        <v>406</v>
      </c>
    </row>
    <row r="74" spans="2:45" ht="18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671</v>
      </c>
      <c r="F74" s="13">
        <v>11994</v>
      </c>
      <c r="G74" s="13">
        <f>C95</f>
        <v>203.67821093694866</v>
      </c>
      <c r="Q74" s="199"/>
      <c r="S74" s="199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5" ht="17">
      <c r="E75" s="13" t="s">
        <v>672</v>
      </c>
      <c r="F75" s="13">
        <v>2720</v>
      </c>
      <c r="G75" s="13">
        <f>(G74*F75)/F74</f>
        <v>46.190156223820274</v>
      </c>
      <c r="R75" s="1"/>
      <c r="Y75" s="13" t="s">
        <v>66</v>
      </c>
      <c r="Z75" s="26">
        <f t="shared" ref="Z75:Z81" si="10">AA75*$Z$82</f>
        <v>26.420769360025194</v>
      </c>
      <c r="AA75" s="17">
        <v>0.57199999999999995</v>
      </c>
      <c r="AB75" s="17">
        <f>MW_H*2</f>
        <v>2.0158800000000003E-3</v>
      </c>
      <c r="AC75" s="233">
        <f>Z75/AB75</f>
        <v>13106.320495280072</v>
      </c>
      <c r="AD75" s="3">
        <f t="shared" ref="AD75:AD81" si="11">AC75/$AC$82</f>
        <v>0.92235600940319784</v>
      </c>
      <c r="AG75" s="61" t="s">
        <v>18</v>
      </c>
      <c r="AH75" s="1">
        <f>2*AC76</f>
        <v>65.859487247085994</v>
      </c>
      <c r="AI75" s="19" t="s">
        <v>182</v>
      </c>
      <c r="AJ75" s="1">
        <f>4*AC76</f>
        <v>131.71897449417199</v>
      </c>
      <c r="AL75" s="13"/>
      <c r="AM75" s="1"/>
      <c r="AN75" s="19" t="s">
        <v>182</v>
      </c>
      <c r="AO75" s="1">
        <f>AJ80+AJ75-AO80</f>
        <v>25725.321166415495</v>
      </c>
    </row>
    <row r="76" spans="2:45" ht="17">
      <c r="E76" s="13" t="s">
        <v>378</v>
      </c>
      <c r="F76" s="13">
        <v>1490</v>
      </c>
      <c r="G76" s="13">
        <f>(G74*F76)/F74</f>
        <v>25.30269587260743</v>
      </c>
      <c r="Q76" s="1"/>
      <c r="R76" s="1"/>
      <c r="S76" s="1"/>
      <c r="Y76" s="61" t="s">
        <v>371</v>
      </c>
      <c r="Z76" s="24">
        <f t="shared" si="10"/>
        <v>0.92380312447640556</v>
      </c>
      <c r="AA76" s="3">
        <v>0.02</v>
      </c>
      <c r="AB76" s="3">
        <f>MW_C2H4</f>
        <v>2.8053759999999997E-2</v>
      </c>
      <c r="AC76" s="153">
        <f t="shared" ref="AC76:AC81" si="12">Z76/AB76</f>
        <v>32.929743623542997</v>
      </c>
      <c r="AD76" s="3">
        <f t="shared" si="11"/>
        <v>2.3174274526721371E-3</v>
      </c>
      <c r="AG76" s="61" t="s">
        <v>371</v>
      </c>
      <c r="AH76" s="1">
        <f>AC76</f>
        <v>32.929743623542997</v>
      </c>
      <c r="AI76" s="61" t="s">
        <v>371</v>
      </c>
      <c r="AJ76" s="1">
        <f>AH76</f>
        <v>32.929743623542997</v>
      </c>
      <c r="AL76" s="61"/>
      <c r="AM76" s="1"/>
      <c r="AN76" s="13" t="s">
        <v>66</v>
      </c>
      <c r="AO76" s="1">
        <f>AO75/2</f>
        <v>12862.660583207748</v>
      </c>
    </row>
    <row r="77" spans="2:45" ht="16">
      <c r="E77" s="13" t="s">
        <v>704</v>
      </c>
      <c r="F77" s="13">
        <v>12.044</v>
      </c>
      <c r="G77" s="13">
        <f>(F77*G74)/F74</f>
        <v>0.20452729469106301</v>
      </c>
      <c r="Q77" s="1"/>
      <c r="R77" s="1"/>
      <c r="S77" s="1"/>
      <c r="Y77" s="61"/>
      <c r="Z77" s="24"/>
      <c r="AC77" s="153"/>
      <c r="AG77" s="434"/>
      <c r="AH77" s="1"/>
      <c r="AI77" s="434"/>
      <c r="AJ77" s="1"/>
      <c r="AL77" s="434"/>
      <c r="AM77" s="1"/>
      <c r="AN77" s="435"/>
      <c r="AO77" s="1"/>
    </row>
    <row r="78" spans="2:45" ht="16">
      <c r="E78" s="13" t="s">
        <v>676</v>
      </c>
      <c r="F78" s="13">
        <v>1415</v>
      </c>
      <c r="G78" s="13">
        <f>(G74*F78)/F74</f>
        <v>24.02907024143591</v>
      </c>
      <c r="H78" s="315"/>
      <c r="I78" s="315"/>
      <c r="J78" s="315"/>
      <c r="K78" s="315"/>
      <c r="L78" s="315"/>
      <c r="P78" s="4"/>
      <c r="Q78" s="1"/>
      <c r="R78" s="4"/>
      <c r="S78" s="1"/>
      <c r="Y78" s="13" t="s">
        <v>122</v>
      </c>
      <c r="Z78" s="24">
        <f t="shared" si="10"/>
        <v>2.0785570300719121</v>
      </c>
      <c r="AA78" s="3">
        <v>4.4999999999999998E-2</v>
      </c>
      <c r="AB78" s="3">
        <f>MW_CO</f>
        <v>2.8010399999999998E-2</v>
      </c>
      <c r="AC78" s="153">
        <f t="shared" si="12"/>
        <v>74.206617187612892</v>
      </c>
      <c r="AD78" s="3">
        <f t="shared" si="11"/>
        <v>5.2222833498636158E-3</v>
      </c>
      <c r="AG78" s="4"/>
      <c r="AH78" s="1"/>
      <c r="AI78" s="1"/>
      <c r="AJ78" s="6"/>
      <c r="AL78" s="4"/>
      <c r="AM78" s="1"/>
      <c r="AO78" s="6"/>
    </row>
    <row r="79" spans="2:45" ht="18">
      <c r="B79" s="25" t="s">
        <v>689</v>
      </c>
      <c r="C79" s="3" t="s">
        <v>1</v>
      </c>
      <c r="D79" s="3" t="s">
        <v>47</v>
      </c>
      <c r="E79" s="3" t="s">
        <v>5</v>
      </c>
      <c r="F79" s="199" t="s">
        <v>406</v>
      </c>
      <c r="H79" s="199"/>
      <c r="I79" s="199"/>
      <c r="J79" s="199"/>
      <c r="K79" s="199"/>
      <c r="L79" s="199"/>
      <c r="M79" s="4"/>
      <c r="N79" s="4"/>
      <c r="O79" s="4"/>
      <c r="P79" s="4"/>
      <c r="Q79" s="1"/>
      <c r="R79" s="1"/>
      <c r="S79" s="6"/>
      <c r="Y79" s="20" t="s">
        <v>64</v>
      </c>
      <c r="Z79" s="24">
        <f t="shared" si="10"/>
        <v>0.64666218713348389</v>
      </c>
      <c r="AA79" s="3">
        <v>1.4E-2</v>
      </c>
      <c r="AB79" s="3">
        <f>MW_CO2</f>
        <v>4.4009800000000002E-2</v>
      </c>
      <c r="AC79" s="153">
        <f t="shared" si="12"/>
        <v>14.693595225006337</v>
      </c>
      <c r="AD79" s="3">
        <f t="shared" si="11"/>
        <v>1.0340603116186131E-3</v>
      </c>
      <c r="AG79" s="1"/>
      <c r="AH79" s="6"/>
      <c r="AI79" s="6"/>
      <c r="AJ79" s="1"/>
      <c r="AL79" s="1"/>
      <c r="AM79" s="6"/>
      <c r="AN79" s="6"/>
      <c r="AO79" s="1"/>
    </row>
    <row r="80" spans="2:45" ht="18">
      <c r="B80" s="13" t="s">
        <v>41</v>
      </c>
      <c r="C80" s="13" t="s">
        <v>11</v>
      </c>
      <c r="D80" s="13" t="s">
        <v>240</v>
      </c>
      <c r="E80" s="19" t="s">
        <v>84</v>
      </c>
      <c r="F80" s="13" t="s">
        <v>42</v>
      </c>
      <c r="G80" s="1"/>
      <c r="O80" s="1"/>
      <c r="P80" s="1"/>
      <c r="Q80" s="6"/>
      <c r="R80" s="6"/>
      <c r="S80" s="1"/>
      <c r="W80"/>
      <c r="X80"/>
      <c r="Y80" s="39" t="s">
        <v>67</v>
      </c>
      <c r="Z80" s="24">
        <f t="shared" si="10"/>
        <v>0.87761296825258517</v>
      </c>
      <c r="AA80" s="3">
        <v>1.9E-2</v>
      </c>
      <c r="AB80" s="3">
        <f>MW_N2</f>
        <v>2.801348E-2</v>
      </c>
      <c r="AC80" s="153">
        <f t="shared" si="12"/>
        <v>31.328237985876271</v>
      </c>
      <c r="AD80" s="3">
        <f t="shared" si="11"/>
        <v>2.20472165171702E-3</v>
      </c>
      <c r="AI80" s="19" t="s">
        <v>182</v>
      </c>
      <c r="AJ80" s="3">
        <f>2*AJ81</f>
        <v>26212.640990560143</v>
      </c>
      <c r="AL80" s="19" t="s">
        <v>18</v>
      </c>
      <c r="AM80" s="3">
        <f>AH84+AH88+AH75</f>
        <v>154.75969965970523</v>
      </c>
      <c r="AN80" s="19" t="s">
        <v>182</v>
      </c>
      <c r="AO80" s="3">
        <f>4*AO81</f>
        <v>619.03879863882094</v>
      </c>
    </row>
    <row r="81" spans="1:41" ht="17">
      <c r="A81" s="316" t="s">
        <v>653</v>
      </c>
      <c r="B81" s="13" t="s">
        <v>66</v>
      </c>
      <c r="C81" s="3">
        <f>D81*$C$86</f>
        <v>28.49932639009711</v>
      </c>
      <c r="D81" s="17">
        <v>0.61699999999999999</v>
      </c>
      <c r="E81" s="17">
        <f>MW_H*2</f>
        <v>2.0158800000000003E-3</v>
      </c>
      <c r="F81" s="17">
        <f>C81/E81</f>
        <v>14137.412142636023</v>
      </c>
      <c r="G81" s="1"/>
      <c r="O81" s="1"/>
      <c r="P81" s="1"/>
      <c r="Y81" s="13" t="s">
        <v>65</v>
      </c>
      <c r="Z81" s="163">
        <f t="shared" si="10"/>
        <v>15.242751553860691</v>
      </c>
      <c r="AA81" s="28">
        <v>0.33</v>
      </c>
      <c r="AB81" s="28">
        <f>MW_CH4</f>
        <v>1.604276E-2</v>
      </c>
      <c r="AC81" s="234">
        <f t="shared" si="12"/>
        <v>950.13274236232985</v>
      </c>
      <c r="AD81" s="3">
        <f t="shared" si="11"/>
        <v>6.6865497830930931E-2</v>
      </c>
      <c r="AI81" s="13" t="s">
        <v>66</v>
      </c>
      <c r="AJ81" s="3">
        <f>AC75</f>
        <v>13106.320495280072</v>
      </c>
      <c r="AL81" s="13" t="s">
        <v>65</v>
      </c>
      <c r="AM81" s="3">
        <f>AM80</f>
        <v>154.75969965970523</v>
      </c>
      <c r="AN81" s="13" t="s">
        <v>65</v>
      </c>
      <c r="AO81" s="3">
        <f>AM81</f>
        <v>154.75969965970523</v>
      </c>
    </row>
    <row r="82" spans="1:41" ht="17">
      <c r="A82" s="316"/>
      <c r="B82" s="13" t="s">
        <v>368</v>
      </c>
      <c r="C82" s="3">
        <f>D82*$C$86</f>
        <v>1.3857046867146081</v>
      </c>
      <c r="D82" s="3">
        <v>0.03</v>
      </c>
      <c r="E82" s="3">
        <f>MW_H2S</f>
        <v>3.4081880000000002E-2</v>
      </c>
      <c r="F82" s="3">
        <f t="shared" ref="F82:F84" si="13">C82/E82</f>
        <v>40.658105911839606</v>
      </c>
      <c r="G82" s="1"/>
      <c r="O82" s="6"/>
      <c r="Y82" s="24" t="s">
        <v>19</v>
      </c>
      <c r="Z82" s="3">
        <f>C86</f>
        <v>46.190156223820274</v>
      </c>
      <c r="AA82" s="3">
        <f>SUM(AA75:AA81)</f>
        <v>1</v>
      </c>
      <c r="AC82" s="3">
        <f>SUM(AC75:AC81)</f>
        <v>14209.611431664438</v>
      </c>
      <c r="AD82" s="3">
        <f>SUM(AD75:AD81)</f>
        <v>1.0000000000000002</v>
      </c>
      <c r="AG82" s="6"/>
      <c r="AL82" s="6"/>
    </row>
    <row r="83" spans="1:41" ht="16">
      <c r="A83" s="316"/>
      <c r="B83" s="13" t="s">
        <v>122</v>
      </c>
      <c r="C83" s="3">
        <f>D83*$C$86</f>
        <v>2.6790290609815761</v>
      </c>
      <c r="D83" s="3">
        <v>5.8000000000000003E-2</v>
      </c>
      <c r="E83" s="3">
        <f>MW_CO</f>
        <v>2.8010399999999998E-2</v>
      </c>
      <c r="F83" s="3">
        <f t="shared" si="13"/>
        <v>95.644084375145525</v>
      </c>
      <c r="G83" s="1"/>
      <c r="O83" s="6"/>
      <c r="P83" s="6"/>
      <c r="Y83" s="24"/>
    </row>
    <row r="84" spans="1:41" ht="18">
      <c r="A84" s="316"/>
      <c r="B84" s="20" t="s">
        <v>64</v>
      </c>
      <c r="C84" s="3">
        <f>D84*$C$86</f>
        <v>1.1547539055955069</v>
      </c>
      <c r="D84" s="3">
        <v>2.5000000000000001E-2</v>
      </c>
      <c r="E84" s="3">
        <f>MW_CO2</f>
        <v>4.4009800000000002E-2</v>
      </c>
      <c r="F84" s="3">
        <f t="shared" si="13"/>
        <v>26.238562901797028</v>
      </c>
      <c r="G84" s="1"/>
      <c r="Y84" s="24"/>
      <c r="AG84" s="19" t="s">
        <v>18</v>
      </c>
      <c r="AH84" s="3">
        <f>AH85</f>
        <v>14.693595225006337</v>
      </c>
      <c r="AI84" s="239" t="s">
        <v>29</v>
      </c>
      <c r="AJ84" s="3">
        <f>2*AJ85</f>
        <v>29.387190450012675</v>
      </c>
      <c r="AL84" s="13" t="s">
        <v>29</v>
      </c>
      <c r="AM84" s="3">
        <f>AJ88+AJ84</f>
        <v>103.59380763762556</v>
      </c>
    </row>
    <row r="85" spans="1:41" ht="18">
      <c r="A85" s="316"/>
      <c r="B85" s="13" t="s">
        <v>65</v>
      </c>
      <c r="C85" s="3">
        <f>D85*$C$86</f>
        <v>12.471342180431474</v>
      </c>
      <c r="D85" s="3">
        <v>0.27</v>
      </c>
      <c r="E85" s="3">
        <f>MW_CH4</f>
        <v>1.604276E-2</v>
      </c>
      <c r="F85" s="3">
        <f>C85/E85</f>
        <v>777.3813346600881</v>
      </c>
      <c r="G85" s="4"/>
      <c r="P85" s="1"/>
      <c r="Y85" s="24"/>
      <c r="AG85" s="20" t="s">
        <v>64</v>
      </c>
      <c r="AH85" s="3">
        <f>AC79</f>
        <v>14.693595225006337</v>
      </c>
      <c r="AI85" s="20" t="s">
        <v>64</v>
      </c>
      <c r="AJ85" s="3">
        <f>AH85</f>
        <v>14.693595225006337</v>
      </c>
      <c r="AL85" s="235" t="s">
        <v>24</v>
      </c>
      <c r="AM85" s="3">
        <f>AM84/2</f>
        <v>51.79690381881278</v>
      </c>
    </row>
    <row r="86" spans="1:41" ht="17">
      <c r="A86" s="316"/>
      <c r="B86" s="13" t="s">
        <v>19</v>
      </c>
      <c r="C86" s="26">
        <f>G75</f>
        <v>46.190156223820274</v>
      </c>
      <c r="D86" s="17">
        <f>SUM(D81:D85)</f>
        <v>1</v>
      </c>
      <c r="E86" s="17">
        <f>SUM(E81:E85)</f>
        <v>0.12416072</v>
      </c>
      <c r="F86" s="17">
        <f>SUM(F81:F85)</f>
        <v>15077.334230484894</v>
      </c>
      <c r="G86" s="1"/>
      <c r="H86" s="1"/>
      <c r="I86" s="1"/>
      <c r="J86" s="1"/>
      <c r="K86" s="6"/>
      <c r="P86" s="7"/>
      <c r="R86" s="7"/>
      <c r="Y86" s="300" t="s">
        <v>114</v>
      </c>
      <c r="Z86" s="3" t="s">
        <v>1</v>
      </c>
      <c r="AA86" s="3" t="s">
        <v>47</v>
      </c>
      <c r="AB86" s="3" t="s">
        <v>5</v>
      </c>
      <c r="AC86" s="199" t="s">
        <v>406</v>
      </c>
      <c r="AD86" s="3" t="s">
        <v>39</v>
      </c>
    </row>
    <row r="87" spans="1:41" ht="18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41" ht="17">
      <c r="B88" s="169" t="s">
        <v>688</v>
      </c>
      <c r="E88" s="283"/>
      <c r="F88" s="7"/>
      <c r="G88" s="132" t="s">
        <v>322</v>
      </c>
      <c r="H88" s="3" t="s">
        <v>390</v>
      </c>
      <c r="I88" s="3" t="s">
        <v>391</v>
      </c>
      <c r="J88" s="4" t="s">
        <v>392</v>
      </c>
      <c r="K88" s="3" t="s">
        <v>393</v>
      </c>
      <c r="L88" s="3" t="s">
        <v>682</v>
      </c>
      <c r="M88" s="132" t="s">
        <v>394</v>
      </c>
      <c r="N88" s="132" t="s">
        <v>483</v>
      </c>
      <c r="X88" s="328" t="s">
        <v>652</v>
      </c>
      <c r="Y88" s="34" t="s">
        <v>66</v>
      </c>
      <c r="Z88" s="24">
        <f t="shared" ref="Z88:Z97" si="14">AB88*AC88</f>
        <v>25.929580216476836</v>
      </c>
      <c r="AA88" s="3">
        <f>Z88/$Z$98</f>
        <v>0.56136593456908357</v>
      </c>
      <c r="AB88" s="3">
        <f>MW_H*2</f>
        <v>2.0158800000000003E-3</v>
      </c>
      <c r="AC88" s="3">
        <f>AO76</f>
        <v>12862.660583207748</v>
      </c>
      <c r="AD88" s="153">
        <f>AC88/$AC$98</f>
        <v>0.91544766952145862</v>
      </c>
      <c r="AG88" s="19" t="s">
        <v>18</v>
      </c>
      <c r="AH88" s="3">
        <f>AH95</f>
        <v>74.206617187612892</v>
      </c>
      <c r="AI88" s="13" t="s">
        <v>29</v>
      </c>
      <c r="AJ88" s="3">
        <f>AJ95</f>
        <v>74.206617187612892</v>
      </c>
    </row>
    <row r="89" spans="1:41" ht="16">
      <c r="B89" s="13" t="s">
        <v>18</v>
      </c>
      <c r="C89" s="3">
        <f>B74</f>
        <v>198.80764502323905</v>
      </c>
      <c r="D89" s="3">
        <f>0.978-0.08</f>
        <v>0.89800000000000002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346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346</v>
      </c>
      <c r="X89" s="328"/>
      <c r="Y89" s="34"/>
      <c r="Z89" s="24"/>
      <c r="AD89" s="153"/>
      <c r="AG89" s="19"/>
      <c r="AI89" s="13"/>
    </row>
    <row r="90" spans="1:41" ht="16">
      <c r="B90" s="13" t="s">
        <v>182</v>
      </c>
      <c r="C90" s="3">
        <f>($C$89*D90)/$D$89</f>
        <v>1.1069467985703734</v>
      </c>
      <c r="D90" s="3">
        <v>5.0000000000000001E-3</v>
      </c>
      <c r="E90" s="3">
        <f>MW_H</f>
        <v>1.0079400000000001E-3</v>
      </c>
      <c r="F90" s="7">
        <f t="shared" ref="F90:F93" si="15">C90/E90</f>
        <v>1098.2268771656777</v>
      </c>
      <c r="G90" s="3">
        <f>phi_anthrocite</f>
        <v>1.0437000000000001</v>
      </c>
      <c r="H90" s="3">
        <f>NCV_dry_anthrocite</f>
        <v>30080</v>
      </c>
      <c r="I90" s="3">
        <f>C90/C89</f>
        <v>5.5679287305122494E-3</v>
      </c>
      <c r="J90" s="3">
        <f>C91/C89</f>
        <v>7.7951002227171495E-3</v>
      </c>
      <c r="K90" s="3">
        <f>C92/C89</f>
        <v>1.1135857461024498E-3</v>
      </c>
      <c r="L90" s="3">
        <f>C93/C89</f>
        <v>1.0022271714922048E-2</v>
      </c>
      <c r="M90" s="3">
        <f>G90+(phi_dry_constant_a_*(I90))+(phi_dry_constant_b*(J90))+(phi_dry_constant_c*(K90))</f>
        <v>1.0452683741648108</v>
      </c>
      <c r="N90" s="3">
        <f>(H90*M90) + (phi_constant_dry_anthracite_d*L90)</f>
        <v>31536.052427616927</v>
      </c>
      <c r="X90" s="328"/>
      <c r="Y90" s="34"/>
      <c r="Z90" s="24"/>
      <c r="AD90" s="153"/>
      <c r="AG90" s="19"/>
      <c r="AI90" s="13"/>
    </row>
    <row r="91" spans="1:41" ht="16">
      <c r="B91" s="13" t="s">
        <v>29</v>
      </c>
      <c r="C91" s="3">
        <f t="shared" ref="C91:C93" si="16">($C$89*D91)/$D$89</f>
        <v>1.5497255179985228</v>
      </c>
      <c r="D91" s="3">
        <v>7.0000000000000001E-3</v>
      </c>
      <c r="E91" s="3">
        <f>MW_O</f>
        <v>1.59994E-2</v>
      </c>
      <c r="F91" s="7">
        <f t="shared" si="15"/>
        <v>96.861477180301932</v>
      </c>
      <c r="H91" s="13" t="s">
        <v>382</v>
      </c>
      <c r="I91" s="13" t="s">
        <v>366</v>
      </c>
      <c r="J91" s="61" t="s">
        <v>383</v>
      </c>
      <c r="K91" s="61" t="s">
        <v>384</v>
      </c>
      <c r="L91" s="13" t="s">
        <v>705</v>
      </c>
      <c r="M91" s="19" t="s">
        <v>706</v>
      </c>
      <c r="X91" s="328"/>
      <c r="Y91" s="34"/>
      <c r="Z91" s="24"/>
      <c r="AD91" s="153"/>
      <c r="AG91" s="19"/>
      <c r="AI91" s="13"/>
    </row>
    <row r="92" spans="1:41" ht="16">
      <c r="B92" s="13" t="s">
        <v>363</v>
      </c>
      <c r="C92" s="3">
        <f t="shared" si="16"/>
        <v>0.22138935971407467</v>
      </c>
      <c r="D92" s="3">
        <v>1E-3</v>
      </c>
      <c r="E92" s="3">
        <f>MW_N2/2</f>
        <v>1.400674E-2</v>
      </c>
      <c r="F92" s="7">
        <f t="shared" si="15"/>
        <v>15.805916274170484</v>
      </c>
      <c r="H92" s="3">
        <f>F90</f>
        <v>1098.2268771656777</v>
      </c>
      <c r="I92" s="3">
        <f>F89</f>
        <v>16552.130965218472</v>
      </c>
      <c r="J92" s="4">
        <f>F91</f>
        <v>96.861477180301932</v>
      </c>
      <c r="K92" s="4">
        <f>F92</f>
        <v>15.805916274170484</v>
      </c>
      <c r="L92" s="3">
        <f>F93</f>
        <v>62.137598622424733</v>
      </c>
      <c r="M92" s="1">
        <f>SUM(H92:L92)</f>
        <v>17825.162834461044</v>
      </c>
      <c r="X92" s="328"/>
      <c r="Y92" s="34"/>
      <c r="Z92" s="24"/>
      <c r="AD92" s="153"/>
      <c r="AG92" s="19"/>
      <c r="AI92" s="13"/>
    </row>
    <row r="93" spans="1:41" ht="16">
      <c r="B93" s="13" t="s">
        <v>180</v>
      </c>
      <c r="C93" s="3">
        <f t="shared" si="16"/>
        <v>1.9925042374266717</v>
      </c>
      <c r="D93" s="3">
        <v>8.9999999999999993E-3</v>
      </c>
      <c r="E93" s="3">
        <f>MW_S</f>
        <v>3.2066000000000004E-2</v>
      </c>
      <c r="F93" s="7">
        <f t="shared" si="15"/>
        <v>62.137598622424733</v>
      </c>
      <c r="G93" s="6"/>
      <c r="H93" s="6">
        <f>H92/I92</f>
        <v>6.6349576345995406E-2</v>
      </c>
      <c r="I93" s="6">
        <v>1</v>
      </c>
      <c r="J93" s="1">
        <f>J92/I92</f>
        <v>5.8519037448314113E-3</v>
      </c>
      <c r="K93" s="4">
        <f>K92/I92</f>
        <v>9.5491730384347285E-4</v>
      </c>
      <c r="L93" s="3">
        <f>L92/I92</f>
        <v>3.7540543119793141E-3</v>
      </c>
      <c r="X93" s="328"/>
      <c r="Y93" s="34"/>
      <c r="Z93" s="24"/>
      <c r="AD93" s="153"/>
      <c r="AG93" s="19"/>
      <c r="AI93" s="13"/>
    </row>
    <row r="94" spans="1:41" ht="16">
      <c r="E94" s="309"/>
      <c r="F94" s="43"/>
      <c r="G94" s="6"/>
      <c r="H94" s="6"/>
      <c r="I94" s="6"/>
      <c r="J94" s="1"/>
      <c r="K94" s="4"/>
      <c r="X94" s="328"/>
      <c r="Y94" s="34"/>
      <c r="Z94" s="24"/>
      <c r="AD94" s="153"/>
      <c r="AG94" s="19"/>
      <c r="AI94" s="13"/>
    </row>
    <row r="95" spans="1:41" ht="17">
      <c r="C95" s="17">
        <f>SUM(C89:C94)</f>
        <v>203.67821093694866</v>
      </c>
      <c r="D95" s="17">
        <f>SUM(D89:D94)</f>
        <v>0.92</v>
      </c>
      <c r="F95" s="1"/>
      <c r="G95" s="6"/>
      <c r="H95" s="6"/>
      <c r="I95" s="6"/>
      <c r="J95" s="6"/>
      <c r="O95" s="3" t="s">
        <v>399</v>
      </c>
      <c r="X95" s="328"/>
      <c r="Y95" s="34" t="s">
        <v>65</v>
      </c>
      <c r="Z95" s="24">
        <f t="shared" si="14"/>
        <v>17.725524273173423</v>
      </c>
      <c r="AA95" s="3">
        <f>Z95/$Z$98</f>
        <v>0.3837511219334731</v>
      </c>
      <c r="AB95" s="3">
        <f>MW_CH4</f>
        <v>1.604276E-2</v>
      </c>
      <c r="AC95" s="3">
        <f>AC81+AM81</f>
        <v>1104.8924420220351</v>
      </c>
      <c r="AD95" s="153">
        <f>AC95/$AC$98</f>
        <v>7.8636235837663701E-2</v>
      </c>
      <c r="AG95" s="128" t="s">
        <v>122</v>
      </c>
      <c r="AH95" s="3">
        <f>AC78</f>
        <v>74.206617187612892</v>
      </c>
      <c r="AI95" s="13" t="s">
        <v>122</v>
      </c>
      <c r="AJ95" s="3">
        <f>AH95</f>
        <v>74.206617187612892</v>
      </c>
    </row>
    <row r="96" spans="1:41" ht="18">
      <c r="B96" s="169" t="s">
        <v>388</v>
      </c>
      <c r="C96" s="3" t="s">
        <v>1</v>
      </c>
      <c r="D96" s="3" t="s">
        <v>47</v>
      </c>
      <c r="E96" s="3" t="s">
        <v>5</v>
      </c>
      <c r="F96" s="199" t="s">
        <v>406</v>
      </c>
      <c r="G96" s="132" t="s">
        <v>322</v>
      </c>
      <c r="H96" s="3" t="s">
        <v>390</v>
      </c>
      <c r="I96" s="3" t="s">
        <v>391</v>
      </c>
      <c r="J96" s="4" t="s">
        <v>392</v>
      </c>
      <c r="K96" s="3" t="s">
        <v>393</v>
      </c>
      <c r="L96" s="3" t="s">
        <v>681</v>
      </c>
      <c r="M96" s="3" t="s">
        <v>682</v>
      </c>
      <c r="N96" s="132" t="s">
        <v>394</v>
      </c>
      <c r="O96" s="132" t="s">
        <v>396</v>
      </c>
      <c r="P96" s="132"/>
      <c r="X96" s="328"/>
      <c r="Y96" s="236" t="s">
        <v>24</v>
      </c>
      <c r="Z96" s="24">
        <f t="shared" si="14"/>
        <v>1.6574387659174263</v>
      </c>
      <c r="AA96" s="3">
        <f>Z96/$Z$98</f>
        <v>3.5882943497443399E-2</v>
      </c>
      <c r="AB96" s="3">
        <f>MW_O2</f>
        <v>3.1998800000000001E-2</v>
      </c>
      <c r="AC96" s="3">
        <f>AM85</f>
        <v>51.79690381881278</v>
      </c>
      <c r="AD96" s="153">
        <f>AC96/$AC$98</f>
        <v>3.6864344341996274E-3</v>
      </c>
    </row>
    <row r="97" spans="1:38" ht="18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346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346</v>
      </c>
      <c r="P97" s="13"/>
      <c r="X97" s="328"/>
      <c r="Y97" s="20" t="s">
        <v>67</v>
      </c>
      <c r="Z97" s="163">
        <f t="shared" si="14"/>
        <v>0.87761296825258517</v>
      </c>
      <c r="AA97" s="28">
        <f>Z97/$Z$98</f>
        <v>1.9000000000000003E-2</v>
      </c>
      <c r="AB97" s="28">
        <f>MW_N2</f>
        <v>2.801348E-2</v>
      </c>
      <c r="AC97" s="28">
        <f>AC80</f>
        <v>31.328237985876271</v>
      </c>
      <c r="AD97" s="234">
        <f>AC97/$AC$98</f>
        <v>2.229660206678009E-3</v>
      </c>
    </row>
    <row r="98" spans="1:38">
      <c r="A98" s="317" t="s">
        <v>650</v>
      </c>
      <c r="B98" s="13" t="s">
        <v>18</v>
      </c>
      <c r="C98" s="3">
        <f>F98*E98</f>
        <v>232.04541707981954</v>
      </c>
      <c r="D98" s="3">
        <f>C98/$C$104</f>
        <v>0.77555251911164136</v>
      </c>
      <c r="E98" s="3">
        <f>MW_C</f>
        <v>1.2010999999999999E-2</v>
      </c>
      <c r="F98" s="3">
        <f>F89+F83+F85+F84+(10*C107)+(14*C108)+(16*C109)+C114+(24*C110)+(12*C111)+(13*C112)+(18*C113)</f>
        <v>19319.408632072231</v>
      </c>
      <c r="G98" s="3">
        <f>phi_anthrocite</f>
        <v>1.0437000000000001</v>
      </c>
      <c r="H98" s="3">
        <f>NCV_bituminous</f>
        <v>33412</v>
      </c>
      <c r="I98" s="3">
        <f>C99/C98</f>
        <v>0.14646657812850905</v>
      </c>
      <c r="J98" s="3">
        <f>C100/C98</f>
        <v>1.8274475417966153E-2</v>
      </c>
      <c r="K98" s="3">
        <f>C101/C98</f>
        <v>1.4150970295439835E-3</v>
      </c>
      <c r="L98" s="3">
        <f>K114/C98</f>
        <v>0.10904199785985752</v>
      </c>
      <c r="M98" s="3">
        <f>C102/C98</f>
        <v>1.420518061971407E-2</v>
      </c>
      <c r="N98" s="3">
        <f>G98+(phi_dry_constant_a_*(I98))+(phi_dry_constant_b*(J98))+(phi_dry_constant_c*(K98))</f>
        <v>1.0724369229242749</v>
      </c>
      <c r="O98" s="3">
        <f>(NCV_dry_anthrocite*N98) + (phi_constant_dry_anthracite_d*M98)</f>
        <v>32392.672827458038</v>
      </c>
      <c r="Y98" s="24" t="s">
        <v>19</v>
      </c>
      <c r="Z98" s="3">
        <f>SUM(Z88:Z97)</f>
        <v>46.190156223820267</v>
      </c>
      <c r="AA98" s="3">
        <f>SUM(AA88:AA97)</f>
        <v>1</v>
      </c>
      <c r="AC98" s="3">
        <f>SUM(AC88:AC97)</f>
        <v>14050.678167034472</v>
      </c>
      <c r="AD98" s="3">
        <f>SUM(AD88:AD97)</f>
        <v>0.99999999999999989</v>
      </c>
    </row>
    <row r="99" spans="1:38" ht="16">
      <c r="A99" s="317"/>
      <c r="B99" s="13" t="s">
        <v>182</v>
      </c>
      <c r="C99" s="3">
        <f t="shared" ref="C99:C102" si="17">F99*E99</f>
        <v>33.986898210083858</v>
      </c>
      <c r="D99" s="3">
        <f t="shared" ref="D99:D103" si="18">C99/$C$104</f>
        <v>0.11359252363322724</v>
      </c>
      <c r="E99" s="3">
        <f>MW_H</f>
        <v>1.0079400000000001E-3</v>
      </c>
      <c r="F99" s="3">
        <f>(2*F82)+(2*F81)+(4*F85)+(F90)+(8*C107)+(10*C108)+(10*C109)+(2*C115)+(26*C110)+(10*C111)+(10*C112)+(12*C113)</f>
        <v>33719.168016036521</v>
      </c>
      <c r="H99" s="13" t="s">
        <v>382</v>
      </c>
      <c r="I99" s="13" t="s">
        <v>366</v>
      </c>
      <c r="J99" s="61" t="s">
        <v>383</v>
      </c>
      <c r="K99" s="61" t="s">
        <v>384</v>
      </c>
      <c r="L99" s="13" t="s">
        <v>705</v>
      </c>
      <c r="M99" s="19" t="s">
        <v>385</v>
      </c>
      <c r="N99" s="1"/>
      <c r="Y99" s="24"/>
    </row>
    <row r="100" spans="1:38" ht="16">
      <c r="A100" s="317"/>
      <c r="B100" s="13" t="s">
        <v>29</v>
      </c>
      <c r="C100" s="3">
        <f t="shared" si="17"/>
        <v>4.2405082702768659</v>
      </c>
      <c r="D100" s="3">
        <f t="shared" si="18"/>
        <v>1.4172815445847416E-2</v>
      </c>
      <c r="E100" s="3">
        <f>MW_O</f>
        <v>1.59994E-2</v>
      </c>
      <c r="F100" s="3">
        <f>(2*F84)+F83+(F91)+(2*C117)</f>
        <v>265.0417059562775</v>
      </c>
      <c r="H100" s="3">
        <f>F99</f>
        <v>33719.168016036521</v>
      </c>
      <c r="I100" s="3">
        <f>F98</f>
        <v>19319.408632072231</v>
      </c>
      <c r="J100" s="4">
        <f>F100</f>
        <v>265.0417059562775</v>
      </c>
      <c r="K100" s="4">
        <f>F101</f>
        <v>23.443483667787604</v>
      </c>
      <c r="L100" s="3">
        <f>F102</f>
        <v>102.79570453426433</v>
      </c>
      <c r="M100" s="1">
        <f>SUM(H100:L100)</f>
        <v>53429.857542267076</v>
      </c>
      <c r="N100" s="1"/>
      <c r="Y100" s="24"/>
    </row>
    <row r="101" spans="1:38" ht="16">
      <c r="A101" s="317"/>
      <c r="B101" s="13" t="s">
        <v>363</v>
      </c>
      <c r="C101" s="3">
        <f t="shared" si="17"/>
        <v>0.32836678042894735</v>
      </c>
      <c r="D101" s="3">
        <f t="shared" si="18"/>
        <v>1.0974820660502372E-3</v>
      </c>
      <c r="E101" s="3">
        <f>MW_N2/2</f>
        <v>1.400674E-2</v>
      </c>
      <c r="F101" s="3">
        <f>(F92)+(2*C116)</f>
        <v>23.443483667787604</v>
      </c>
      <c r="J101" s="4"/>
      <c r="K101" s="4"/>
      <c r="L101" s="6"/>
      <c r="M101" s="6" t="s">
        <v>634</v>
      </c>
      <c r="N101" s="6"/>
      <c r="Y101" s="300" t="s">
        <v>447</v>
      </c>
      <c r="AG101" s="169" t="s">
        <v>478</v>
      </c>
    </row>
    <row r="102" spans="1:38" ht="16">
      <c r="A102" s="307"/>
      <c r="B102" s="13" t="s">
        <v>180</v>
      </c>
      <c r="C102" s="3">
        <f t="shared" si="17"/>
        <v>3.2962470615957207</v>
      </c>
      <c r="D102" s="3">
        <f t="shared" si="18"/>
        <v>1.1016863614055114E-2</v>
      </c>
      <c r="E102" s="3">
        <f>MW_S</f>
        <v>3.2066000000000004E-2</v>
      </c>
      <c r="F102" s="3">
        <f>F82+F93</f>
        <v>102.79570453426433</v>
      </c>
      <c r="H102" s="3">
        <f>H100/mol_C_Coal</f>
        <v>1.7453519752182884</v>
      </c>
      <c r="I102" s="3">
        <v>1</v>
      </c>
      <c r="J102" s="4">
        <f>J100/mol_C_Coal</f>
        <v>1.3718934725376669E-2</v>
      </c>
      <c r="K102" s="1">
        <f>K100/mol_C_Coal</f>
        <v>1.2134679748358849E-3</v>
      </c>
      <c r="L102" s="3">
        <f>L100/mol_C_Coal</f>
        <v>5.3208515069976189E-3</v>
      </c>
      <c r="M102" s="3">
        <f>MW_C+(MW_H*mol_H_Coal)+((MW_N2/2)*mol_N_Coal)+(MW_O*mol_O_Coal)+(MW_S*mol_Coal)</f>
        <v>1.4177319948991952E-2</v>
      </c>
      <c r="Y102" s="300"/>
      <c r="AG102" s="169"/>
    </row>
    <row r="103" spans="1:38">
      <c r="B103" s="13" t="s">
        <v>378</v>
      </c>
      <c r="C103" s="3">
        <f>G76</f>
        <v>25.30269587260743</v>
      </c>
      <c r="D103" s="3">
        <f t="shared" si="18"/>
        <v>8.456779612917871E-2</v>
      </c>
      <c r="E103" s="3">
        <f>J114</f>
        <v>0.57429051399999997</v>
      </c>
      <c r="F103" s="3">
        <f>I114</f>
        <v>332.29064324497358</v>
      </c>
      <c r="H103" s="327" t="s">
        <v>651</v>
      </c>
      <c r="I103" s="327"/>
      <c r="J103" s="327"/>
      <c r="K103" s="327"/>
      <c r="Y103" s="24">
        <v>0.7</v>
      </c>
      <c r="AG103" s="3">
        <v>0.15</v>
      </c>
    </row>
    <row r="104" spans="1:38" ht="17">
      <c r="B104" s="3" t="s">
        <v>19</v>
      </c>
      <c r="C104" s="3">
        <f>SUM(C98:C103)</f>
        <v>299.20013327481234</v>
      </c>
      <c r="D104" s="3">
        <f>SUM(D98:D103)</f>
        <v>1</v>
      </c>
      <c r="E104" s="3">
        <f>SUM(E98:E103)</f>
        <v>0.64938159399999995</v>
      </c>
      <c r="Y104" s="300" t="s">
        <v>114</v>
      </c>
      <c r="Z104" s="3" t="s">
        <v>1</v>
      </c>
      <c r="AA104" s="3" t="s">
        <v>47</v>
      </c>
      <c r="AB104" s="3" t="s">
        <v>5</v>
      </c>
      <c r="AC104" s="199" t="s">
        <v>406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9" t="s">
        <v>406</v>
      </c>
      <c r="AL104" s="3" t="s">
        <v>39</v>
      </c>
    </row>
    <row r="105" spans="1:38" ht="18">
      <c r="C105" s="3" t="s">
        <v>363</v>
      </c>
      <c r="D105" s="3" t="s">
        <v>5</v>
      </c>
      <c r="E105" s="3" t="s">
        <v>1</v>
      </c>
      <c r="F105" s="3" t="s">
        <v>47</v>
      </c>
      <c r="I105" s="3" t="s">
        <v>363</v>
      </c>
      <c r="J105" s="3" t="s">
        <v>5</v>
      </c>
      <c r="K105" s="3" t="s">
        <v>1</v>
      </c>
      <c r="L105" s="3" t="s">
        <v>47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>
      <c r="B106" s="169" t="s">
        <v>686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687</v>
      </c>
      <c r="I106" s="13" t="s">
        <v>13</v>
      </c>
      <c r="J106" s="19" t="s">
        <v>84</v>
      </c>
      <c r="K106" s="13" t="s">
        <v>11</v>
      </c>
      <c r="L106" s="13" t="s">
        <v>240</v>
      </c>
      <c r="Y106" s="34" t="s">
        <v>66</v>
      </c>
      <c r="Z106" s="24">
        <f>AA106*$Z$110</f>
        <v>18.150706151533786</v>
      </c>
      <c r="AA106" s="3">
        <f>AA88</f>
        <v>0.56136593456908357</v>
      </c>
      <c r="AB106" s="3">
        <f>MW_H*2</f>
        <v>2.0158800000000003E-3</v>
      </c>
      <c r="AC106" s="3">
        <f>Z106/AB106</f>
        <v>9003.8624082454226</v>
      </c>
      <c r="AD106" s="153">
        <f>AC106/$AC$110</f>
        <v>0.91544766952145851</v>
      </c>
      <c r="AG106" s="34" t="s">
        <v>66</v>
      </c>
      <c r="AH106" s="24">
        <f>AI106*$AH$110</f>
        <v>3.8894370324715255</v>
      </c>
      <c r="AI106" s="3">
        <f>AA88</f>
        <v>0.56136593456908357</v>
      </c>
      <c r="AJ106" s="3">
        <f>MW_H*2</f>
        <v>2.0158800000000003E-3</v>
      </c>
      <c r="AK106" s="3">
        <f>AH106/AJ106</f>
        <v>1929.399087481162</v>
      </c>
      <c r="AL106" s="153">
        <f>AK106/$AK$110</f>
        <v>0.91544766952145873</v>
      </c>
    </row>
    <row r="107" spans="1:38" ht="17">
      <c r="A107" s="3" t="s">
        <v>690</v>
      </c>
      <c r="B107" s="13" t="s">
        <v>677</v>
      </c>
      <c r="C107" s="3">
        <f>E107/D107</f>
        <v>37.494593643735328</v>
      </c>
      <c r="D107" s="3">
        <f>MW_C10H8</f>
        <v>0.12817351999999999</v>
      </c>
      <c r="E107" s="3">
        <f>F107*$E$118</f>
        <v>4.8058140482871821</v>
      </c>
      <c r="F107" s="3">
        <v>0.2</v>
      </c>
      <c r="G107" s="433">
        <f>SUM(F107:F113)</f>
        <v>0.3640000000000001</v>
      </c>
      <c r="H107" s="61" t="s">
        <v>307</v>
      </c>
      <c r="I107" s="3">
        <f>K107/J107</f>
        <v>74.447956230817638</v>
      </c>
      <c r="J107" s="3">
        <f>MW_Al2O3</f>
        <v>0.10196127799999999</v>
      </c>
      <c r="K107" s="3">
        <f t="shared" ref="K107:K113" si="19">L107*$K$114</f>
        <v>7.5908087617822284</v>
      </c>
      <c r="L107" s="3">
        <v>0.3</v>
      </c>
      <c r="Y107" s="34" t="s">
        <v>65</v>
      </c>
      <c r="Z107" s="24">
        <f>AA107*$Z$110</f>
        <v>12.407866991221395</v>
      </c>
      <c r="AA107" s="3">
        <f>AA95</f>
        <v>0.3837511219334731</v>
      </c>
      <c r="AB107" s="3">
        <f>MW_CH4</f>
        <v>1.604276E-2</v>
      </c>
      <c r="AC107" s="3">
        <f t="shared" ref="AC107:AC109" si="20">Z107/AB107</f>
        <v>773.42470941542445</v>
      </c>
      <c r="AD107" s="153">
        <f>AC107/$AC$110</f>
        <v>7.8636235837663687E-2</v>
      </c>
      <c r="AG107" s="34" t="s">
        <v>65</v>
      </c>
      <c r="AH107" s="24">
        <f>AI107*$AH$110</f>
        <v>2.6588286409760133</v>
      </c>
      <c r="AI107" s="3">
        <f>AA95</f>
        <v>0.3837511219334731</v>
      </c>
      <c r="AJ107" s="3">
        <f>MW_CH4</f>
        <v>1.604276E-2</v>
      </c>
      <c r="AK107" s="3">
        <f t="shared" ref="AK107:AK109" si="21">AH107/AJ107</f>
        <v>165.73386630330526</v>
      </c>
      <c r="AL107" s="153">
        <f>AK107/$AK$110</f>
        <v>7.8636235837663715E-2</v>
      </c>
    </row>
    <row r="108" spans="1:38" ht="18">
      <c r="A108" s="3" t="s">
        <v>693</v>
      </c>
      <c r="B108" s="13" t="s">
        <v>678</v>
      </c>
      <c r="C108" s="3">
        <f t="shared" ref="C108:C113" si="22">E108/D108</f>
        <v>6.7408999215174914</v>
      </c>
      <c r="D108" s="3">
        <f>MW_C14H10</f>
        <v>0.17823339999999999</v>
      </c>
      <c r="E108" s="3">
        <f>F108*$E$118</f>
        <v>1.2014535120717955</v>
      </c>
      <c r="F108" s="3">
        <v>0.05</v>
      </c>
      <c r="G108" s="433"/>
      <c r="H108" s="61" t="s">
        <v>123</v>
      </c>
      <c r="I108" s="3">
        <f t="shared" ref="I108:I113" si="23">K108/J108</f>
        <v>22.560510894413284</v>
      </c>
      <c r="J108" s="3">
        <f>MW_CaO</f>
        <v>5.6077400000000006E-2</v>
      </c>
      <c r="K108" s="3">
        <f t="shared" si="19"/>
        <v>1.2651347936303716</v>
      </c>
      <c r="L108" s="3">
        <v>0.05</v>
      </c>
      <c r="Y108" s="236" t="s">
        <v>24</v>
      </c>
      <c r="Z108" s="24">
        <f>AA108*$Z$110</f>
        <v>1.1602071361421984</v>
      </c>
      <c r="AA108" s="3">
        <f>AA96</f>
        <v>3.5882943497443399E-2</v>
      </c>
      <c r="AB108" s="3">
        <f>MW_O2</f>
        <v>3.1998800000000001E-2</v>
      </c>
      <c r="AC108" s="3">
        <f t="shared" si="20"/>
        <v>36.257832673168942</v>
      </c>
      <c r="AD108" s="153">
        <f>AC108/$AC$110</f>
        <v>3.6864344341996265E-3</v>
      </c>
      <c r="AG108" s="236" t="s">
        <v>24</v>
      </c>
      <c r="AH108" s="24">
        <f>AI108*$AH$110</f>
        <v>0.24861581488761392</v>
      </c>
      <c r="AI108" s="3">
        <f>AA96</f>
        <v>3.5882943497443399E-2</v>
      </c>
      <c r="AJ108" s="3">
        <f>MW_O2</f>
        <v>3.1998800000000001E-2</v>
      </c>
      <c r="AK108" s="3">
        <f t="shared" si="21"/>
        <v>7.7695355728219155</v>
      </c>
      <c r="AL108" s="153">
        <f>AK108/$AK$110</f>
        <v>3.6864344341996274E-3</v>
      </c>
    </row>
    <row r="109" spans="1:38" ht="18">
      <c r="A109" s="3" t="s">
        <v>694</v>
      </c>
      <c r="B109" s="13" t="s">
        <v>679</v>
      </c>
      <c r="C109" s="3">
        <f t="shared" si="22"/>
        <v>3.9205841622393525</v>
      </c>
      <c r="D109" s="3">
        <f>MW_C16H10</f>
        <v>0.20225539999999997</v>
      </c>
      <c r="E109" s="3">
        <f>F109*$E$118</f>
        <v>0.79295931796738506</v>
      </c>
      <c r="F109" s="3">
        <v>3.3000000000000002E-2</v>
      </c>
      <c r="G109" s="433"/>
      <c r="H109" s="61" t="s">
        <v>179</v>
      </c>
      <c r="I109" s="3">
        <f t="shared" si="23"/>
        <v>12.555798311155817</v>
      </c>
      <c r="J109" s="3">
        <f>MW_MgO</f>
        <v>4.0304400000000004E-2</v>
      </c>
      <c r="K109" s="3">
        <f t="shared" si="19"/>
        <v>0.50605391745214856</v>
      </c>
      <c r="L109" s="3">
        <v>0.02</v>
      </c>
      <c r="Y109" s="20" t="s">
        <v>67</v>
      </c>
      <c r="Z109" s="24">
        <f>AA109*$Z$110</f>
        <v>0.61432907777680967</v>
      </c>
      <c r="AA109" s="3">
        <f>AA97</f>
        <v>1.9000000000000003E-2</v>
      </c>
      <c r="AB109" s="3">
        <f>MW_N2</f>
        <v>2.801348E-2</v>
      </c>
      <c r="AC109" s="3">
        <f t="shared" si="20"/>
        <v>21.929766590113392</v>
      </c>
      <c r="AD109" s="153">
        <f>AC109/$AC$110</f>
        <v>2.2296602066780094E-3</v>
      </c>
      <c r="AG109" s="20" t="s">
        <v>67</v>
      </c>
      <c r="AH109" s="24">
        <f>AI109*$AH$110</f>
        <v>0.13164194523788778</v>
      </c>
      <c r="AI109" s="3">
        <f>AA97</f>
        <v>1.9000000000000003E-2</v>
      </c>
      <c r="AJ109" s="3">
        <f>MW_N2</f>
        <v>2.801348E-2</v>
      </c>
      <c r="AK109" s="3">
        <f t="shared" si="21"/>
        <v>4.6992356978814405</v>
      </c>
      <c r="AL109" s="153">
        <f>AK109/$AK$110</f>
        <v>2.2296602066780094E-3</v>
      </c>
    </row>
    <row r="110" spans="1:38" ht="17">
      <c r="A110" s="3" t="s">
        <v>692</v>
      </c>
      <c r="B110" s="13" t="s">
        <v>691</v>
      </c>
      <c r="C110" s="3">
        <f t="shared" si="22"/>
        <v>1.6046356378365934</v>
      </c>
      <c r="D110" s="3">
        <f>MW_C24H26</f>
        <v>0.31447043999999996</v>
      </c>
      <c r="E110" s="3">
        <f t="shared" ref="E110:E117" si="24">F110*$E$118</f>
        <v>0.50461047507015411</v>
      </c>
      <c r="F110" s="3">
        <v>2.1000000000000001E-2</v>
      </c>
      <c r="G110" s="433"/>
      <c r="H110" s="61" t="s">
        <v>308</v>
      </c>
      <c r="I110" s="3">
        <f t="shared" si="23"/>
        <v>4.0824669646809406</v>
      </c>
      <c r="J110" s="3">
        <f>MW_Na2O</f>
        <v>6.1978936000000005E-2</v>
      </c>
      <c r="K110" s="3">
        <f t="shared" si="19"/>
        <v>0.25302695872607428</v>
      </c>
      <c r="L110" s="3">
        <v>0.01</v>
      </c>
      <c r="Y110" s="24" t="s">
        <v>19</v>
      </c>
      <c r="Z110" s="17">
        <f>Z98*Y103</f>
        <v>32.333109356674186</v>
      </c>
      <c r="AA110" s="17">
        <f>SUM(AA105:AA109)</f>
        <v>1</v>
      </c>
      <c r="AB110" s="17"/>
      <c r="AC110" s="17">
        <f>SUM(AC106:AC109)</f>
        <v>9835.4747169241309</v>
      </c>
      <c r="AD110" s="17">
        <f>SUM(AD105:AD109)</f>
        <v>0.99999999999999978</v>
      </c>
      <c r="AG110" s="3" t="s">
        <v>19</v>
      </c>
      <c r="AH110" s="17">
        <f>AG103*Z98</f>
        <v>6.9285234335730399</v>
      </c>
      <c r="AI110" s="17">
        <f>SUM(AI105:AI109)</f>
        <v>1</v>
      </c>
      <c r="AJ110" s="17"/>
      <c r="AK110" s="17">
        <f>SUM(AK105:AK109)</f>
        <v>2107.6017250551704</v>
      </c>
      <c r="AL110" s="17">
        <f>SUM(AL105:AL109)</f>
        <v>1</v>
      </c>
    </row>
    <row r="111" spans="1:38" ht="18">
      <c r="A111" s="3" t="s">
        <v>695</v>
      </c>
      <c r="B111" s="13" t="s">
        <v>698</v>
      </c>
      <c r="C111" s="3">
        <f t="shared" si="22"/>
        <v>3.1163805323647811</v>
      </c>
      <c r="D111" s="3">
        <f>MW_C12H10</f>
        <v>0.1542114</v>
      </c>
      <c r="E111" s="3">
        <f t="shared" si="24"/>
        <v>0.48058140482871819</v>
      </c>
      <c r="F111" s="3">
        <v>0.02</v>
      </c>
      <c r="G111" s="433"/>
      <c r="H111" s="19" t="s">
        <v>15</v>
      </c>
      <c r="I111" s="3">
        <f t="shared" si="23"/>
        <v>23.767594480312972</v>
      </c>
      <c r="J111" s="3">
        <f>MW_Fe2O3</f>
        <v>0.1596882</v>
      </c>
      <c r="K111" s="3">
        <f t="shared" si="19"/>
        <v>3.7954043808911142</v>
      </c>
      <c r="L111" s="3">
        <v>0.15</v>
      </c>
    </row>
    <row r="112" spans="1:38" ht="18">
      <c r="A112" s="3" t="s">
        <v>696</v>
      </c>
      <c r="B112" s="13" t="s">
        <v>700</v>
      </c>
      <c r="C112" s="3">
        <f t="shared" si="22"/>
        <v>2.8911951988944824</v>
      </c>
      <c r="D112" s="3">
        <f>MW_C13H10</f>
        <v>0.16622239999999999</v>
      </c>
      <c r="E112" s="3">
        <f t="shared" si="24"/>
        <v>0.48058140482871819</v>
      </c>
      <c r="F112" s="3">
        <v>0.02</v>
      </c>
      <c r="G112" s="433"/>
      <c r="H112" s="19" t="s">
        <v>17</v>
      </c>
      <c r="I112" s="3">
        <f t="shared" si="23"/>
        <v>189.50396597236454</v>
      </c>
      <c r="J112" s="3">
        <f>MW_SIO2</f>
        <v>6.00843E-2</v>
      </c>
      <c r="K112" s="3">
        <f t="shared" si="19"/>
        <v>11.386213142673343</v>
      </c>
      <c r="L112" s="3">
        <v>0.45</v>
      </c>
      <c r="AE112" s="3">
        <f>(AH110*2)+Z110</f>
        <v>46.190156223820267</v>
      </c>
    </row>
    <row r="113" spans="1:44" ht="18">
      <c r="A113" s="3" t="s">
        <v>697</v>
      </c>
      <c r="B113" s="61" t="s">
        <v>701</v>
      </c>
      <c r="C113" s="3">
        <f t="shared" si="22"/>
        <v>2.105105348824627</v>
      </c>
      <c r="D113" s="3">
        <f>MW_C18H12</f>
        <v>0.22829327999999999</v>
      </c>
      <c r="E113" s="3">
        <f t="shared" si="24"/>
        <v>0.48058140482871819</v>
      </c>
      <c r="F113" s="3">
        <v>0.02</v>
      </c>
      <c r="G113" s="433"/>
      <c r="H113" s="19" t="s">
        <v>680</v>
      </c>
      <c r="I113" s="3">
        <f t="shared" si="23"/>
        <v>5.3723503912283803</v>
      </c>
      <c r="J113" s="3">
        <f>MW_K2O</f>
        <v>9.4196000000000002E-2</v>
      </c>
      <c r="K113" s="3">
        <f t="shared" si="19"/>
        <v>0.50605391745214856</v>
      </c>
      <c r="L113" s="3">
        <v>0.02</v>
      </c>
    </row>
    <row r="114" spans="1:44">
      <c r="A114" s="433" t="s">
        <v>702</v>
      </c>
      <c r="B114" s="13" t="s">
        <v>18</v>
      </c>
      <c r="C114" s="3">
        <f>E114/D114</f>
        <v>1184.5805474213694</v>
      </c>
      <c r="D114" s="3">
        <f>MW_C</f>
        <v>1.2010999999999999E-2</v>
      </c>
      <c r="E114" s="3">
        <f t="shared" si="24"/>
        <v>14.227996955078066</v>
      </c>
      <c r="F114" s="3">
        <f>G114*(1-$G$107)</f>
        <v>0.59211599999999998</v>
      </c>
      <c r="G114" s="3">
        <v>0.93100000000000005</v>
      </c>
      <c r="I114" s="3">
        <f>SUM(I107:I113)</f>
        <v>332.29064324497358</v>
      </c>
      <c r="J114" s="3">
        <f>SUM(J107:J113)</f>
        <v>0.57429051399999997</v>
      </c>
      <c r="K114" s="3">
        <f>G76</f>
        <v>25.30269587260743</v>
      </c>
      <c r="L114" s="3">
        <f>SUM(L107:L113)</f>
        <v>1</v>
      </c>
    </row>
    <row r="115" spans="1:44" ht="17">
      <c r="A115" s="433"/>
      <c r="B115" s="13" t="s">
        <v>66</v>
      </c>
      <c r="C115" s="3">
        <f>E115/D115</f>
        <v>310.82308253253302</v>
      </c>
      <c r="D115" s="3">
        <f>MW_H*2</f>
        <v>2.0158800000000003E-3</v>
      </c>
      <c r="E115" s="3">
        <f t="shared" si="24"/>
        <v>0.62658203561568271</v>
      </c>
      <c r="F115" s="3">
        <f>G115*(1-$G$107)</f>
        <v>2.6075999999999998E-2</v>
      </c>
      <c r="G115" s="3">
        <v>4.1000000000000002E-2</v>
      </c>
    </row>
    <row r="116" spans="1:44" ht="18">
      <c r="A116" s="433"/>
      <c r="B116" s="20" t="s">
        <v>67</v>
      </c>
      <c r="C116" s="3">
        <f>E116/D116</f>
        <v>3.8187836968085596</v>
      </c>
      <c r="D116" s="3">
        <f>MW_N2</f>
        <v>2.801348E-2</v>
      </c>
      <c r="E116" s="3">
        <f t="shared" si="24"/>
        <v>0.10697742071487265</v>
      </c>
      <c r="F116" s="3">
        <f>G116*(1-$G$107)</f>
        <v>4.4519999999999994E-3</v>
      </c>
      <c r="G116" s="3">
        <v>7.0000000000000001E-3</v>
      </c>
    </row>
    <row r="117" spans="1:44" ht="18">
      <c r="A117" s="433"/>
      <c r="B117" s="308" t="s">
        <v>24</v>
      </c>
      <c r="C117" s="3">
        <f>E117/D117</f>
        <v>10.029509298618009</v>
      </c>
      <c r="D117" s="3">
        <f>MW_O2</f>
        <v>3.1998800000000001E-2</v>
      </c>
      <c r="E117" s="3">
        <f t="shared" si="24"/>
        <v>0.32093226214461795</v>
      </c>
      <c r="F117" s="3">
        <f>G117*(1-$G$107)</f>
        <v>1.3355999999999998E-2</v>
      </c>
      <c r="G117" s="3">
        <v>2.1000000000000001E-2</v>
      </c>
    </row>
    <row r="118" spans="1:44">
      <c r="E118" s="3">
        <f>G78</f>
        <v>24.02907024143591</v>
      </c>
      <c r="F118" s="3">
        <f>SUM(F107:F117)</f>
        <v>1</v>
      </c>
    </row>
    <row r="119" spans="1:44" ht="17">
      <c r="B119" s="169" t="s">
        <v>490</v>
      </c>
      <c r="C119" s="3" t="s">
        <v>1</v>
      </c>
      <c r="D119" s="3" t="s">
        <v>5</v>
      </c>
      <c r="E119" s="199" t="s">
        <v>406</v>
      </c>
      <c r="H119" s="169" t="s">
        <v>387</v>
      </c>
      <c r="I119" s="3" t="s">
        <v>1</v>
      </c>
      <c r="J119" s="3" t="s">
        <v>5</v>
      </c>
      <c r="K119" s="199" t="s">
        <v>406</v>
      </c>
    </row>
    <row r="120" spans="1:44" ht="18">
      <c r="B120" s="13" t="s">
        <v>41</v>
      </c>
      <c r="C120" s="13" t="s">
        <v>11</v>
      </c>
      <c r="D120" s="19" t="s">
        <v>84</v>
      </c>
      <c r="E120" s="13" t="s">
        <v>42</v>
      </c>
      <c r="F120" s="3" t="s">
        <v>44</v>
      </c>
      <c r="H120" s="13" t="s">
        <v>41</v>
      </c>
      <c r="I120" s="13" t="s">
        <v>11</v>
      </c>
      <c r="J120" s="19" t="s">
        <v>84</v>
      </c>
      <c r="K120" s="13" t="s">
        <v>42</v>
      </c>
      <c r="L120" s="3" t="s">
        <v>44</v>
      </c>
    </row>
    <row r="121" spans="1:44" ht="18">
      <c r="B121" s="13" t="s">
        <v>65</v>
      </c>
      <c r="C121" s="3">
        <f>Ore_to_PI!BR248</f>
        <v>17.691781672574304</v>
      </c>
      <c r="D121" s="3">
        <f>MW_CH4</f>
        <v>1.604276E-2</v>
      </c>
      <c r="E121" s="3">
        <f>C121/D121</f>
        <v>1102.7891505310997</v>
      </c>
      <c r="F121" s="3">
        <v>1</v>
      </c>
      <c r="H121" s="20" t="s">
        <v>64</v>
      </c>
      <c r="I121" s="260">
        <f>K121*J121</f>
        <v>48.533529957043598</v>
      </c>
      <c r="J121" s="260">
        <f>MW_CO2</f>
        <v>4.4009800000000002E-2</v>
      </c>
      <c r="K121" s="260">
        <f>E121</f>
        <v>1102.7891505310997</v>
      </c>
      <c r="L121" s="3">
        <v>1</v>
      </c>
    </row>
    <row r="122" spans="1:44" ht="18">
      <c r="B122" s="235" t="s">
        <v>24</v>
      </c>
      <c r="C122" s="3">
        <f>E122*D122</f>
        <v>70.575858940029107</v>
      </c>
      <c r="D122" s="3">
        <f>MW_O2</f>
        <v>3.1998800000000001E-2</v>
      </c>
      <c r="E122" s="3">
        <f>K121+(K122/2)</f>
        <v>2205.5783010621994</v>
      </c>
      <c r="F122" s="3">
        <v>2</v>
      </c>
      <c r="H122" s="13" t="s">
        <v>68</v>
      </c>
      <c r="I122" s="260">
        <f>K122*J122</f>
        <v>39.734110655559824</v>
      </c>
      <c r="J122" s="260">
        <f>MW_H2O</f>
        <v>1.8015280000000002E-2</v>
      </c>
      <c r="K122" s="260">
        <f>2*E121</f>
        <v>2205.5783010621994</v>
      </c>
      <c r="L122" s="3">
        <v>2</v>
      </c>
    </row>
    <row r="123" spans="1:44" ht="18">
      <c r="B123" s="39" t="s">
        <v>67</v>
      </c>
      <c r="C123" s="3">
        <f>E123*D123</f>
        <v>232.31507283090204</v>
      </c>
      <c r="D123" s="3">
        <f>MW_N2</f>
        <v>2.801348E-2</v>
      </c>
      <c r="E123" s="3">
        <f>3.76*E122</f>
        <v>8292.9744119938696</v>
      </c>
      <c r="F123" s="3">
        <f>3.76*F122</f>
        <v>7.52</v>
      </c>
      <c r="H123" s="39" t="s">
        <v>67</v>
      </c>
      <c r="I123" s="260">
        <f>K123*J123</f>
        <v>232.31507283090204</v>
      </c>
      <c r="J123" s="260">
        <f>MW_N2</f>
        <v>2.801348E-2</v>
      </c>
      <c r="K123" s="260">
        <f>E123</f>
        <v>8292.9744119938696</v>
      </c>
      <c r="L123" s="3">
        <f>F123</f>
        <v>7.52</v>
      </c>
    </row>
    <row r="124" spans="1:44">
      <c r="B124" s="17"/>
      <c r="C124" s="17">
        <f>SUM(C121:C123)</f>
        <v>320.58271344350544</v>
      </c>
      <c r="D124" s="17"/>
      <c r="E124" s="17"/>
      <c r="H124" s="17"/>
      <c r="I124" s="17">
        <f>SUM(I121:I123)</f>
        <v>320.58271344350544</v>
      </c>
      <c r="J124" s="17"/>
      <c r="K124" s="17"/>
    </row>
    <row r="126" spans="1:44" ht="17">
      <c r="B126" s="13" t="s">
        <v>66</v>
      </c>
      <c r="C126" s="3">
        <f>C127*2</f>
        <v>2205.5783010621994</v>
      </c>
      <c r="D126" s="3" t="s">
        <v>29</v>
      </c>
      <c r="E126" s="3">
        <f>C126</f>
        <v>2205.5783010621994</v>
      </c>
    </row>
    <row r="127" spans="1:44" ht="18">
      <c r="B127" s="13" t="s">
        <v>65</v>
      </c>
      <c r="C127" s="3">
        <f>E121</f>
        <v>1102.7891505310997</v>
      </c>
      <c r="D127" s="236" t="s">
        <v>24</v>
      </c>
      <c r="E127" s="3">
        <f>E126/2</f>
        <v>1102.7891505310997</v>
      </c>
      <c r="AE127" s="16" t="s">
        <v>446</v>
      </c>
      <c r="AR127" s="16" t="s">
        <v>446</v>
      </c>
    </row>
    <row r="135" spans="3:22">
      <c r="V135" s="3" t="s">
        <v>380</v>
      </c>
    </row>
    <row r="136" spans="3:22">
      <c r="H136" s="3" t="s">
        <v>376</v>
      </c>
      <c r="M136" s="16" t="s">
        <v>375</v>
      </c>
      <c r="U136" s="3" t="s">
        <v>379</v>
      </c>
    </row>
    <row r="138" spans="3:22">
      <c r="C138" s="3" t="s">
        <v>398</v>
      </c>
    </row>
    <row r="157" spans="1:30" ht="16" thickBo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>
      <c r="C158" s="320" t="s">
        <v>654</v>
      </c>
      <c r="D158" s="320"/>
      <c r="E158" s="320"/>
      <c r="F158" s="320"/>
      <c r="G158" s="320"/>
    </row>
    <row r="159" spans="1:30">
      <c r="B159" s="169" t="s">
        <v>447</v>
      </c>
      <c r="C159" s="321"/>
      <c r="D159" s="321"/>
      <c r="E159" s="321"/>
      <c r="F159" s="321"/>
      <c r="G159" s="321"/>
    </row>
    <row r="160" spans="1:30">
      <c r="B160" s="3">
        <v>0.7</v>
      </c>
      <c r="I160" s="128" t="s">
        <v>337</v>
      </c>
    </row>
    <row r="161" spans="2:17" ht="18">
      <c r="B161" s="169" t="s">
        <v>113</v>
      </c>
      <c r="C161" s="3" t="s">
        <v>1</v>
      </c>
      <c r="D161" s="3" t="s">
        <v>47</v>
      </c>
      <c r="E161" s="3" t="s">
        <v>5</v>
      </c>
      <c r="F161" s="199" t="s">
        <v>406</v>
      </c>
      <c r="G161" s="3" t="s">
        <v>39</v>
      </c>
      <c r="I161" s="1" t="s">
        <v>89</v>
      </c>
      <c r="L161" s="169" t="s">
        <v>113</v>
      </c>
      <c r="M161" s="3" t="s">
        <v>1</v>
      </c>
      <c r="N161" s="3" t="s">
        <v>47</v>
      </c>
      <c r="O161" s="3" t="s">
        <v>5</v>
      </c>
      <c r="P161" s="199" t="s">
        <v>406</v>
      </c>
      <c r="Q161" s="3" t="s">
        <v>39</v>
      </c>
    </row>
    <row r="162" spans="2:17" ht="18">
      <c r="B162" s="13" t="s">
        <v>41</v>
      </c>
      <c r="C162" s="31" t="s">
        <v>11</v>
      </c>
      <c r="D162" s="31" t="s">
        <v>240</v>
      </c>
      <c r="E162" s="79" t="s">
        <v>84</v>
      </c>
      <c r="F162" s="31" t="s">
        <v>42</v>
      </c>
      <c r="G162" s="31" t="s">
        <v>43</v>
      </c>
      <c r="I162" s="13">
        <f>M166-(C167+C172)</f>
        <v>0</v>
      </c>
      <c r="L162" s="13" t="s">
        <v>41</v>
      </c>
      <c r="M162" s="31" t="s">
        <v>11</v>
      </c>
      <c r="N162" s="31" t="s">
        <v>240</v>
      </c>
      <c r="O162" s="79" t="s">
        <v>84</v>
      </c>
      <c r="P162" s="31" t="s">
        <v>42</v>
      </c>
      <c r="Q162" s="31" t="s">
        <v>43</v>
      </c>
    </row>
    <row r="163" spans="2:17" ht="17">
      <c r="B163" s="34" t="s">
        <v>66</v>
      </c>
      <c r="C163" s="24">
        <f>H2_to_BF</f>
        <v>18.150706151533786</v>
      </c>
      <c r="D163" s="3">
        <f>C163/$C$167</f>
        <v>0.56136593456908357</v>
      </c>
      <c r="E163" s="3">
        <f>MW_H*2</f>
        <v>2.0158800000000003E-3</v>
      </c>
      <c r="F163" s="3">
        <f>C163/E163</f>
        <v>9003.8624082454226</v>
      </c>
      <c r="G163" s="153">
        <f>F163/$AC$110</f>
        <v>0.91544766952145851</v>
      </c>
      <c r="L163" s="34" t="s">
        <v>68</v>
      </c>
      <c r="M163" s="24">
        <f>P163*O163</f>
        <v>190.07402776409063</v>
      </c>
      <c r="N163" s="3">
        <f>M163/M166</f>
        <v>0.22152381559059706</v>
      </c>
      <c r="O163" s="3">
        <f>MW_H2O</f>
        <v>1.8015280000000002E-2</v>
      </c>
      <c r="P163" s="3">
        <f>(2*F164) + F163</f>
        <v>10550.711827076271</v>
      </c>
      <c r="Q163" s="153">
        <f>P163/$AC$110</f>
        <v>1.0727201411967859</v>
      </c>
    </row>
    <row r="164" spans="2:17" ht="18">
      <c r="B164" s="34" t="s">
        <v>65</v>
      </c>
      <c r="C164" s="24">
        <f>CH4_to_BF</f>
        <v>12.407866991221395</v>
      </c>
      <c r="D164" s="3">
        <f t="shared" ref="D164:D166" si="25">C164/$C$167</f>
        <v>0.3837511219334731</v>
      </c>
      <c r="E164" s="3">
        <f>MW_CH4</f>
        <v>1.604276E-2</v>
      </c>
      <c r="F164" s="3">
        <f t="shared" ref="F164:F166" si="26">C164/E164</f>
        <v>773.42470941542445</v>
      </c>
      <c r="G164" s="153">
        <f>F164/$AC$110</f>
        <v>7.8636235837663687E-2</v>
      </c>
      <c r="L164" s="240" t="s">
        <v>64</v>
      </c>
      <c r="M164" s="24">
        <f>P164*O164</f>
        <v>34.038266776430945</v>
      </c>
      <c r="N164" s="3">
        <f>M164/M166</f>
        <v>3.9670263323741538E-2</v>
      </c>
      <c r="O164" s="3">
        <f>MW_CO2</f>
        <v>4.4009800000000002E-2</v>
      </c>
      <c r="P164" s="3">
        <f>F164</f>
        <v>773.42470941542445</v>
      </c>
      <c r="Q164" s="153">
        <f>P164/$AC$110</f>
        <v>7.8636235837663687E-2</v>
      </c>
    </row>
    <row r="165" spans="2:17" ht="18">
      <c r="B165" s="236" t="s">
        <v>24</v>
      </c>
      <c r="C165" s="24">
        <f>O2_to_BF_from_coke</f>
        <v>1.1602071361421984</v>
      </c>
      <c r="D165" s="3">
        <f t="shared" si="25"/>
        <v>3.5882943497443399E-2</v>
      </c>
      <c r="E165" s="3">
        <f>MW_O2</f>
        <v>3.1998800000000001E-2</v>
      </c>
      <c r="F165" s="3">
        <f t="shared" si="26"/>
        <v>36.257832673168942</v>
      </c>
      <c r="G165" s="153">
        <f>F165/$AC$110</f>
        <v>3.6864344341996265E-3</v>
      </c>
      <c r="L165" s="20" t="s">
        <v>67</v>
      </c>
      <c r="M165" s="24">
        <f>O165*P165</f>
        <v>633.91747195361711</v>
      </c>
      <c r="N165" s="3">
        <f>M165/M166</f>
        <v>0.73880592108566134</v>
      </c>
      <c r="O165" s="3">
        <f>MW_N2</f>
        <v>2.801348E-2</v>
      </c>
      <c r="P165" s="3">
        <f>F166+F171</f>
        <v>22629.015458044381</v>
      </c>
      <c r="Q165" s="153">
        <f>P165/$AC$110</f>
        <v>2.3007547789336602</v>
      </c>
    </row>
    <row r="166" spans="2:17" ht="18">
      <c r="B166" s="20" t="s">
        <v>67</v>
      </c>
      <c r="C166" s="24">
        <f>N2_to_BF_from_coke</f>
        <v>0.61432907777680967</v>
      </c>
      <c r="D166" s="3">
        <f t="shared" si="25"/>
        <v>1.9000000000000003E-2</v>
      </c>
      <c r="E166" s="3">
        <f>MW_N2</f>
        <v>2.801348E-2</v>
      </c>
      <c r="F166" s="3">
        <f t="shared" si="26"/>
        <v>21.929766590113392</v>
      </c>
      <c r="G166" s="153">
        <f>F166/$AC$110</f>
        <v>2.2296602066780094E-3</v>
      </c>
      <c r="L166" s="3" t="s">
        <v>19</v>
      </c>
      <c r="M166" s="17">
        <f>SUM(M163:M165)</f>
        <v>858.0297664941387</v>
      </c>
      <c r="N166" s="17">
        <f>SUM(N163:N165)</f>
        <v>1</v>
      </c>
      <c r="O166" s="17"/>
      <c r="P166" s="17">
        <f>SUM(P163:P165)</f>
        <v>33953.151994536078</v>
      </c>
      <c r="Q166" s="17">
        <f>SUM(Q162:Q165)</f>
        <v>3.4521111559681099</v>
      </c>
    </row>
    <row r="167" spans="2:17">
      <c r="B167" s="3" t="s">
        <v>19</v>
      </c>
      <c r="C167" s="17">
        <f>SUM(C163:C166)</f>
        <v>32.333109356674186</v>
      </c>
      <c r="D167" s="17">
        <f>SUM(D162:D166)</f>
        <v>1</v>
      </c>
      <c r="E167" s="17"/>
      <c r="F167" s="17">
        <f>SUM(F163:F166)</f>
        <v>9835.4747169241309</v>
      </c>
      <c r="G167" s="17">
        <f>SUM(G162:G166)</f>
        <v>0.99999999999999978</v>
      </c>
    </row>
    <row r="170" spans="2:17" ht="18">
      <c r="B170" s="236" t="s">
        <v>24</v>
      </c>
      <c r="C170" s="24">
        <f>F170*E170</f>
        <v>192.39351426162418</v>
      </c>
      <c r="D170" s="3">
        <f>C170/$C$172</f>
        <v>0.23300750051310176</v>
      </c>
      <c r="E170" s="3">
        <f>MW_O2</f>
        <v>3.1998800000000001E-2</v>
      </c>
      <c r="F170" s="3">
        <f>C183-F165</f>
        <v>6012.5227902803908</v>
      </c>
      <c r="G170" s="153">
        <f>F170/$F$172</f>
        <v>0.21008403361344541</v>
      </c>
    </row>
    <row r="171" spans="2:17" ht="18">
      <c r="B171" s="20" t="s">
        <v>67</v>
      </c>
      <c r="C171" s="24">
        <f>F171*E171</f>
        <v>633.30314287584031</v>
      </c>
      <c r="D171" s="3">
        <f>C171/$C$172</f>
        <v>0.76699249948689818</v>
      </c>
      <c r="E171" s="3">
        <f>MW_N2</f>
        <v>2.801348E-2</v>
      </c>
      <c r="F171" s="3">
        <f>3.76*F170</f>
        <v>22607.085691454267</v>
      </c>
      <c r="G171" s="153">
        <f>F171/$F$172</f>
        <v>0.7899159663865547</v>
      </c>
    </row>
    <row r="172" spans="2:17">
      <c r="B172" s="3" t="s">
        <v>19</v>
      </c>
      <c r="C172" s="17">
        <f>SUM(C170:C171)</f>
        <v>825.69665713746451</v>
      </c>
      <c r="D172" s="17">
        <f>SUM(D170:D171)</f>
        <v>1</v>
      </c>
      <c r="E172" s="17">
        <f>SUM(E170:E171)</f>
        <v>6.0012280000000001E-2</v>
      </c>
      <c r="F172" s="17">
        <f>SUM(F170:F171)</f>
        <v>28619.608481734656</v>
      </c>
      <c r="G172" s="17">
        <f>SUM(G170:G171)</f>
        <v>1</v>
      </c>
    </row>
    <row r="174" spans="2:17">
      <c r="B174" s="3" t="s">
        <v>477</v>
      </c>
      <c r="C174" s="3">
        <f>C172+C167</f>
        <v>858.0297664941387</v>
      </c>
    </row>
    <row r="177" spans="2:21" ht="17">
      <c r="B177" s="169" t="s">
        <v>113</v>
      </c>
      <c r="C177" s="199" t="s">
        <v>406</v>
      </c>
      <c r="E177" s="199" t="s">
        <v>406</v>
      </c>
      <c r="G177" s="169" t="s">
        <v>114</v>
      </c>
      <c r="H177" s="199" t="s">
        <v>406</v>
      </c>
      <c r="J177" s="199" t="s">
        <v>406</v>
      </c>
    </row>
    <row r="178" spans="2:21" ht="16">
      <c r="C178" s="13" t="s">
        <v>42</v>
      </c>
      <c r="D178" s="1"/>
      <c r="E178" s="13" t="s">
        <v>42</v>
      </c>
      <c r="H178" s="13" t="s">
        <v>42</v>
      </c>
      <c r="I178" s="1"/>
      <c r="J178" s="13" t="s">
        <v>42</v>
      </c>
    </row>
    <row r="179" spans="2:21" ht="16">
      <c r="B179" s="61" t="s">
        <v>18</v>
      </c>
      <c r="C179" s="1">
        <f>F164</f>
        <v>773.42470941542445</v>
      </c>
      <c r="D179" s="19" t="s">
        <v>182</v>
      </c>
      <c r="E179" s="1">
        <f>2*E180</f>
        <v>21101.423654152542</v>
      </c>
      <c r="G179" s="13" t="s">
        <v>18</v>
      </c>
      <c r="H179" s="1">
        <f>H180</f>
        <v>773.42470941542445</v>
      </c>
      <c r="I179" s="19" t="s">
        <v>182</v>
      </c>
      <c r="J179" s="1">
        <f>2*J180</f>
        <v>21101.423654152542</v>
      </c>
    </row>
    <row r="180" spans="2:21" ht="18">
      <c r="B180" s="61" t="s">
        <v>449</v>
      </c>
      <c r="C180" s="1">
        <f>F164</f>
        <v>773.42470941542445</v>
      </c>
      <c r="D180" s="61" t="s">
        <v>450</v>
      </c>
      <c r="E180" s="1">
        <f>F163+(2*F164)</f>
        <v>10550.711827076271</v>
      </c>
      <c r="G180" s="240" t="s">
        <v>64</v>
      </c>
      <c r="H180" s="1">
        <f>P164</f>
        <v>773.42470941542445</v>
      </c>
      <c r="I180" s="13" t="s">
        <v>68</v>
      </c>
      <c r="J180" s="1">
        <f>P163</f>
        <v>10550.711827076271</v>
      </c>
    </row>
    <row r="182" spans="2:21">
      <c r="B182" s="13" t="s">
        <v>29</v>
      </c>
      <c r="C182" s="3">
        <f>H182+J182</f>
        <v>12097.56124590712</v>
      </c>
      <c r="G182" s="13" t="s">
        <v>29</v>
      </c>
      <c r="H182" s="3">
        <f>2*H183</f>
        <v>1546.8494188308489</v>
      </c>
      <c r="I182" s="13" t="s">
        <v>29</v>
      </c>
      <c r="J182" s="3">
        <f>J183</f>
        <v>10550.711827076271</v>
      </c>
    </row>
    <row r="183" spans="2:21" ht="18">
      <c r="B183" s="235" t="s">
        <v>24</v>
      </c>
      <c r="C183" s="3">
        <f>C182/2</f>
        <v>6048.7806229535599</v>
      </c>
      <c r="D183" s="20" t="s">
        <v>67</v>
      </c>
      <c r="E183" s="3">
        <f>F166+F171</f>
        <v>22629.015458044381</v>
      </c>
      <c r="G183" s="239" t="s">
        <v>64</v>
      </c>
      <c r="H183" s="3">
        <f>P164</f>
        <v>773.42470941542445</v>
      </c>
      <c r="I183" s="13" t="s">
        <v>68</v>
      </c>
      <c r="J183" s="3">
        <f>P163</f>
        <v>10550.711827076271</v>
      </c>
    </row>
    <row r="185" spans="2:21" ht="16" thickBot="1"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</row>
    <row r="187" spans="2:21">
      <c r="B187" s="321" t="s">
        <v>655</v>
      </c>
      <c r="C187" s="321"/>
      <c r="D187" s="321"/>
      <c r="E187" s="321"/>
      <c r="F187" s="321"/>
      <c r="G187" s="321"/>
    </row>
    <row r="188" spans="2:21">
      <c r="B188" s="321"/>
      <c r="C188" s="321"/>
      <c r="D188" s="321"/>
      <c r="E188" s="321"/>
      <c r="F188" s="321"/>
      <c r="G188" s="321"/>
    </row>
    <row r="189" spans="2:21">
      <c r="B189" s="321"/>
      <c r="C189" s="321"/>
      <c r="D189" s="321"/>
      <c r="E189" s="321"/>
      <c r="F189" s="321"/>
      <c r="G189" s="321"/>
    </row>
    <row r="193" spans="2:101">
      <c r="B193" s="169" t="s">
        <v>448</v>
      </c>
    </row>
    <row r="194" spans="2:101">
      <c r="B194" s="3">
        <v>0.15</v>
      </c>
    </row>
    <row r="195" spans="2:101" ht="17">
      <c r="B195" s="169" t="s">
        <v>113</v>
      </c>
      <c r="C195" s="3" t="s">
        <v>1</v>
      </c>
      <c r="D195" s="3" t="s">
        <v>47</v>
      </c>
      <c r="E195" s="3" t="s">
        <v>5</v>
      </c>
      <c r="F195" s="199" t="s">
        <v>406</v>
      </c>
      <c r="G195" s="3" t="s">
        <v>39</v>
      </c>
      <c r="L195" s="169" t="s">
        <v>114</v>
      </c>
      <c r="M195" s="3" t="s">
        <v>1</v>
      </c>
      <c r="N195" s="3" t="s">
        <v>47</v>
      </c>
      <c r="O195" s="3" t="s">
        <v>5</v>
      </c>
      <c r="P195" s="199" t="s">
        <v>406</v>
      </c>
      <c r="Q195" s="3" t="s">
        <v>39</v>
      </c>
    </row>
    <row r="196" spans="2:101" ht="18">
      <c r="B196" s="13" t="s">
        <v>41</v>
      </c>
      <c r="C196" s="31" t="s">
        <v>11</v>
      </c>
      <c r="D196" s="31" t="s">
        <v>240</v>
      </c>
      <c r="E196" s="79" t="s">
        <v>84</v>
      </c>
      <c r="F196" s="31" t="s">
        <v>42</v>
      </c>
      <c r="G196" s="31" t="s">
        <v>43</v>
      </c>
      <c r="L196" s="13" t="s">
        <v>41</v>
      </c>
      <c r="M196" s="31" t="s">
        <v>11</v>
      </c>
      <c r="N196" s="31" t="s">
        <v>240</v>
      </c>
      <c r="O196" s="79" t="s">
        <v>84</v>
      </c>
      <c r="P196" s="31" t="s">
        <v>42</v>
      </c>
      <c r="Q196" s="31" t="s">
        <v>43</v>
      </c>
    </row>
    <row r="197" spans="2:101" ht="17">
      <c r="B197" s="34" t="s">
        <v>66</v>
      </c>
      <c r="C197" s="24">
        <f>H2_to_coke_oven</f>
        <v>3.8894370324715255</v>
      </c>
      <c r="D197" s="3">
        <f>C197/$C$201</f>
        <v>0.56136593456908357</v>
      </c>
      <c r="E197" s="3">
        <f>MW_H*2</f>
        <v>2.0158800000000003E-3</v>
      </c>
      <c r="F197" s="3">
        <f>C197/E197</f>
        <v>1929.399087481162</v>
      </c>
      <c r="G197" s="153">
        <f>F197/$F$201</f>
        <v>0.91544766952145873</v>
      </c>
      <c r="L197" s="34" t="s">
        <v>68</v>
      </c>
      <c r="M197" s="24">
        <f t="shared" ref="M197:M198" si="27">O197*P197</f>
        <v>40.730148806590854</v>
      </c>
      <c r="N197" s="3">
        <f>M197/M200</f>
        <v>0.22152381559059703</v>
      </c>
      <c r="O197" s="3">
        <f>MW_H2O</f>
        <v>1.8015280000000002E-2</v>
      </c>
      <c r="P197" s="3">
        <f>J211</f>
        <v>2260.8668200877728</v>
      </c>
      <c r="Q197" s="153">
        <f>P197/$AC$110</f>
        <v>0.22986860168502557</v>
      </c>
    </row>
    <row r="198" spans="2:101" ht="18">
      <c r="B198" s="34" t="s">
        <v>65</v>
      </c>
      <c r="C198" s="24">
        <f>CH4_to_coke_oven</f>
        <v>2.6588286409760133</v>
      </c>
      <c r="D198" s="3">
        <f t="shared" ref="D198:D200" si="28">C198/$C$201</f>
        <v>0.38375112193347305</v>
      </c>
      <c r="E198" s="3">
        <f>MW_CH4</f>
        <v>1.604276E-2</v>
      </c>
      <c r="F198" s="3">
        <f t="shared" ref="F198:F200" si="29">C198/E198</f>
        <v>165.73386630330526</v>
      </c>
      <c r="G198" s="153">
        <f t="shared" ref="G198:G200" si="30">F198/$F$201</f>
        <v>7.8636235837663715E-2</v>
      </c>
      <c r="L198" s="240" t="s">
        <v>64</v>
      </c>
      <c r="M198" s="24">
        <f t="shared" si="27"/>
        <v>7.2939143092352046</v>
      </c>
      <c r="N198" s="3">
        <f>M198/M200</f>
        <v>3.9670263323741538E-2</v>
      </c>
      <c r="O198" s="3">
        <f>MW_CO2</f>
        <v>4.4009800000000002E-2</v>
      </c>
      <c r="P198" s="3">
        <f>H211</f>
        <v>165.73386630330526</v>
      </c>
      <c r="Q198" s="153">
        <f>P198/$AC$110</f>
        <v>1.6850621965213648E-2</v>
      </c>
    </row>
    <row r="199" spans="2:101" ht="18">
      <c r="B199" s="236" t="s">
        <v>24</v>
      </c>
      <c r="C199" s="24">
        <f>O2_to_coke_oven</f>
        <v>0.24861581488761392</v>
      </c>
      <c r="D199" s="3">
        <f t="shared" si="28"/>
        <v>3.5882943497443393E-2</v>
      </c>
      <c r="E199" s="3">
        <f>MW_O2</f>
        <v>3.1998800000000001E-2</v>
      </c>
      <c r="F199" s="3">
        <f t="shared" si="29"/>
        <v>7.7695355728219155</v>
      </c>
      <c r="G199" s="153">
        <f t="shared" si="30"/>
        <v>3.6864344341996274E-3</v>
      </c>
      <c r="L199" s="20" t="s">
        <v>67</v>
      </c>
      <c r="M199" s="24">
        <f>O199*P199</f>
        <v>135.83945827577512</v>
      </c>
      <c r="N199" s="3">
        <f>M199/M200</f>
        <v>0.73880592108566134</v>
      </c>
      <c r="O199" s="3">
        <f>MW_N2</f>
        <v>2.801348E-2</v>
      </c>
      <c r="P199" s="3">
        <f>H218</f>
        <v>4849.0747410095109</v>
      </c>
      <c r="Q199" s="153">
        <f>P199/$AC$110</f>
        <v>0.49301888120007009</v>
      </c>
    </row>
    <row r="200" spans="2:101" ht="18">
      <c r="B200" s="20" t="s">
        <v>67</v>
      </c>
      <c r="C200" s="24">
        <f>N2_to_coke_oven</f>
        <v>0.13164194523788778</v>
      </c>
      <c r="D200" s="3">
        <f t="shared" si="28"/>
        <v>1.9E-2</v>
      </c>
      <c r="E200" s="3">
        <f>MW_N2</f>
        <v>2.801348E-2</v>
      </c>
      <c r="F200" s="3">
        <f t="shared" si="29"/>
        <v>4.6992356978814405</v>
      </c>
      <c r="G200" s="153">
        <f t="shared" si="30"/>
        <v>2.2296602066780094E-3</v>
      </c>
      <c r="L200" s="3" t="s">
        <v>19</v>
      </c>
      <c r="M200" s="17">
        <f>SUM(M197:M199)</f>
        <v>183.86352139160118</v>
      </c>
      <c r="N200" s="17">
        <f>SUM(N197:N199)</f>
        <v>0.99999999999999989</v>
      </c>
      <c r="O200" s="17"/>
      <c r="P200" s="17">
        <f>SUM(P197:P199)</f>
        <v>7275.6754274005889</v>
      </c>
      <c r="Q200" s="17">
        <f>SUM(Q196:Q199)</f>
        <v>0.73973810485030933</v>
      </c>
    </row>
    <row r="201" spans="2:101">
      <c r="B201" s="3" t="s">
        <v>19</v>
      </c>
      <c r="C201" s="17">
        <f>SUM(C197:C200)</f>
        <v>6.9285234335730408</v>
      </c>
      <c r="D201" s="17">
        <f>SUM(D196:D200)</f>
        <v>1</v>
      </c>
      <c r="E201" s="17"/>
      <c r="F201" s="17">
        <f>SUM(F196:F200)</f>
        <v>2107.6017250551704</v>
      </c>
      <c r="G201" s="17">
        <f>SUM(G196:G200)</f>
        <v>1</v>
      </c>
    </row>
    <row r="203" spans="2:101" ht="18">
      <c r="B203" s="236" t="s">
        <v>24</v>
      </c>
      <c r="C203" s="3">
        <f>E203*F203</f>
        <v>41.2271816274909</v>
      </c>
      <c r="D203" s="3">
        <f>C203/C205</f>
        <v>0.23300750051310179</v>
      </c>
      <c r="E203" s="3">
        <f>MW_O2</f>
        <v>3.1998800000000001E-2</v>
      </c>
      <c r="F203" s="3">
        <f>C218</f>
        <v>1288.3977407743696</v>
      </c>
    </row>
    <row r="204" spans="2:101" ht="18">
      <c r="B204" s="20" t="s">
        <v>67</v>
      </c>
      <c r="C204" s="3">
        <f>E204*F204</f>
        <v>135.70781633053721</v>
      </c>
      <c r="D204" s="3">
        <f>C204/C205</f>
        <v>0.76699249948689829</v>
      </c>
      <c r="E204" s="3">
        <f>MW_N2</f>
        <v>2.801348E-2</v>
      </c>
      <c r="F204" s="3">
        <f>E218</f>
        <v>4844.3755053116292</v>
      </c>
    </row>
    <row r="205" spans="2:101">
      <c r="C205" s="3">
        <f>SUM(C203:C204)</f>
        <v>176.93499795802811</v>
      </c>
      <c r="D205" s="3">
        <f>SUM(D203:D204)</f>
        <v>1</v>
      </c>
    </row>
    <row r="206" spans="2:101">
      <c r="B206" s="3" t="s">
        <v>476</v>
      </c>
      <c r="C206" s="3">
        <f>C205+C201</f>
        <v>183.86352139160115</v>
      </c>
      <c r="CV206" s="3">
        <f>CL211</f>
        <v>0</v>
      </c>
      <c r="CW206" s="3">
        <f>CW211</f>
        <v>0</v>
      </c>
    </row>
    <row r="208" spans="2:101" ht="17">
      <c r="B208" s="169" t="s">
        <v>113</v>
      </c>
      <c r="C208" s="199" t="s">
        <v>406</v>
      </c>
      <c r="E208" s="199" t="s">
        <v>406</v>
      </c>
      <c r="G208" s="169" t="s">
        <v>114</v>
      </c>
      <c r="H208" s="199" t="s">
        <v>406</v>
      </c>
      <c r="J208" s="199" t="s">
        <v>406</v>
      </c>
    </row>
    <row r="209" spans="2:101" ht="16">
      <c r="C209" s="13" t="s">
        <v>42</v>
      </c>
      <c r="D209" s="1"/>
      <c r="E209" s="13" t="s">
        <v>42</v>
      </c>
      <c r="H209" s="13" t="s">
        <v>42</v>
      </c>
      <c r="I209" s="1"/>
      <c r="J209" s="13" t="s">
        <v>42</v>
      </c>
    </row>
    <row r="210" spans="2:101" ht="16">
      <c r="B210" s="61" t="s">
        <v>18</v>
      </c>
      <c r="C210" s="1">
        <f>C211</f>
        <v>165.73386630330526</v>
      </c>
      <c r="D210" s="19" t="s">
        <v>182</v>
      </c>
      <c r="E210" s="1">
        <f>(2*F197)+(4*C211)</f>
        <v>4521.7336401755456</v>
      </c>
      <c r="G210" s="13" t="s">
        <v>18</v>
      </c>
      <c r="H210" s="1">
        <f>C210</f>
        <v>165.73386630330526</v>
      </c>
      <c r="I210" s="19" t="s">
        <v>182</v>
      </c>
      <c r="J210" s="1">
        <f>E210</f>
        <v>4521.7336401755456</v>
      </c>
      <c r="CF210" s="3">
        <f>ROUND(CV206+CV215+CV231+CV248+CV264-CA206-CA232-CA244, 10)</f>
        <v>0</v>
      </c>
      <c r="CM210" s="3" t="e">
        <f>CL210/CL211</f>
        <v>#DIV/0!</v>
      </c>
      <c r="CR210" s="3" t="e">
        <f>CO210/CO211</f>
        <v>#DIV/0!</v>
      </c>
      <c r="CW210" s="3">
        <f>CV210*CO211</f>
        <v>0</v>
      </c>
    </row>
    <row r="211" spans="2:101" ht="18">
      <c r="B211" s="61" t="s">
        <v>449</v>
      </c>
      <c r="C211" s="1">
        <f>F198</f>
        <v>165.73386630330526</v>
      </c>
      <c r="D211" s="61"/>
      <c r="E211" s="1"/>
      <c r="G211" s="240" t="s">
        <v>64</v>
      </c>
      <c r="H211" s="1">
        <f>H210</f>
        <v>165.73386630330526</v>
      </c>
      <c r="I211" s="13" t="s">
        <v>68</v>
      </c>
      <c r="J211" s="1">
        <f>J210/2</f>
        <v>2260.8668200877728</v>
      </c>
      <c r="BQ211" s="3">
        <f>CL219</f>
        <v>0</v>
      </c>
      <c r="CL211" s="3">
        <f>SUM(CL210)</f>
        <v>0</v>
      </c>
      <c r="CN211" s="3" t="s">
        <v>98</v>
      </c>
      <c r="CP211" s="3" t="e">
        <f>SUM(CL210*CP210) / CL211</f>
        <v>#DIV/0!</v>
      </c>
      <c r="CV211" s="3">
        <f>SUM(CV210)</f>
        <v>0</v>
      </c>
      <c r="CW211" s="3">
        <f>SUM(CW210)</f>
        <v>0</v>
      </c>
    </row>
    <row r="212" spans="2:101">
      <c r="BQ212" s="435">
        <f>CL220</f>
        <v>0</v>
      </c>
    </row>
    <row r="213" spans="2:101">
      <c r="B213" s="13" t="s">
        <v>29</v>
      </c>
      <c r="C213" s="3">
        <f>2*C214</f>
        <v>15.539071145643831</v>
      </c>
      <c r="G213" s="13" t="s">
        <v>29</v>
      </c>
      <c r="H213" s="3">
        <f>2*H214</f>
        <v>331.46773260661053</v>
      </c>
      <c r="I213" s="13" t="s">
        <v>29</v>
      </c>
      <c r="J213" s="3">
        <f>J214</f>
        <v>2260.8668200877728</v>
      </c>
      <c r="BQ213" s="435">
        <f>CL221</f>
        <v>0</v>
      </c>
    </row>
    <row r="214" spans="2:101" ht="18">
      <c r="B214" s="235" t="s">
        <v>24</v>
      </c>
      <c r="C214" s="3">
        <f>F199</f>
        <v>7.7695355728219155</v>
      </c>
      <c r="D214" s="20" t="s">
        <v>67</v>
      </c>
      <c r="E214" s="3">
        <f>F200</f>
        <v>4.6992356978814405</v>
      </c>
      <c r="G214" s="239" t="s">
        <v>64</v>
      </c>
      <c r="H214" s="3">
        <f>H211</f>
        <v>165.73386630330526</v>
      </c>
      <c r="I214" s="13" t="s">
        <v>68</v>
      </c>
      <c r="J214" s="3">
        <f>J211</f>
        <v>2260.8668200877728</v>
      </c>
      <c r="BQ214" s="435">
        <f>CL222</f>
        <v>0</v>
      </c>
    </row>
    <row r="215" spans="2:101">
      <c r="BQ215" s="435">
        <f>CL223</f>
        <v>0</v>
      </c>
    </row>
    <row r="216" spans="2:101">
      <c r="BQ216" s="435">
        <f>CL224</f>
        <v>0</v>
      </c>
    </row>
    <row r="217" spans="2:101">
      <c r="B217" s="13" t="s">
        <v>29</v>
      </c>
      <c r="C217" s="3">
        <f>J213+H213-C213</f>
        <v>2576.7954815487392</v>
      </c>
      <c r="BQ217" s="3">
        <f>CL225</f>
        <v>0</v>
      </c>
    </row>
    <row r="218" spans="2:101" ht="18">
      <c r="B218" s="235" t="s">
        <v>24</v>
      </c>
      <c r="C218" s="3">
        <f>C217/2</f>
        <v>1288.3977407743696</v>
      </c>
      <c r="D218" s="20" t="s">
        <v>67</v>
      </c>
      <c r="E218" s="3">
        <f>3.76*C218</f>
        <v>4844.3755053116292</v>
      </c>
      <c r="G218" s="20" t="s">
        <v>67</v>
      </c>
      <c r="H218" s="3">
        <f>E214+E218</f>
        <v>4849.0747410095109</v>
      </c>
      <c r="BQ218" s="3">
        <f>SUM(BQ210:BQ217)</f>
        <v>0</v>
      </c>
    </row>
    <row r="219" spans="2:101" ht="21" customHeight="1">
      <c r="CJ219" s="315"/>
    </row>
    <row r="220" spans="2:101">
      <c r="CJ220" s="315"/>
    </row>
    <row r="221" spans="2:101">
      <c r="CJ221" s="315"/>
    </row>
    <row r="222" spans="2:101">
      <c r="CJ222" s="315"/>
    </row>
    <row r="223" spans="2:101">
      <c r="CA223" s="435"/>
      <c r="CB223" s="435"/>
      <c r="CJ223" s="315"/>
    </row>
    <row r="224" spans="2:101" ht="16" thickBot="1"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CA224" s="435"/>
      <c r="CB224" s="435"/>
      <c r="CJ224" s="315"/>
    </row>
    <row r="225" spans="2:88">
      <c r="CA225" s="435"/>
      <c r="CB225" s="435"/>
    </row>
    <row r="226" spans="2:88" ht="18">
      <c r="B226" s="321" t="s">
        <v>493</v>
      </c>
      <c r="C226" s="321"/>
      <c r="D226" s="321"/>
      <c r="E226" s="321"/>
      <c r="G226" s="20" t="s">
        <v>67</v>
      </c>
      <c r="H226" s="235" t="s">
        <v>24</v>
      </c>
      <c r="J226" s="314" t="s">
        <v>70</v>
      </c>
      <c r="K226" s="314"/>
      <c r="L226" s="314"/>
      <c r="M226" s="314"/>
      <c r="N226" s="314"/>
      <c r="O226" s="314"/>
    </row>
    <row r="227" spans="2:88" ht="18">
      <c r="B227" s="321"/>
      <c r="C227" s="321"/>
      <c r="D227" s="321"/>
      <c r="E227" s="321"/>
      <c r="G227" s="13">
        <v>3.76</v>
      </c>
      <c r="H227" s="13">
        <v>2</v>
      </c>
      <c r="J227" s="314" t="s">
        <v>495</v>
      </c>
      <c r="K227" s="314"/>
      <c r="L227" s="314"/>
      <c r="M227" s="13"/>
      <c r="N227" s="318" t="s">
        <v>75</v>
      </c>
      <c r="O227" s="319"/>
    </row>
    <row r="228" spans="2:88">
      <c r="B228" s="321"/>
      <c r="C228" s="321"/>
      <c r="D228" s="321"/>
      <c r="E228" s="321"/>
      <c r="J228" s="314" t="str">
        <f>_xlfn.CONCAT(G233," ",B233," ","+"," ",G234," ","("," ",B234," ","+"," ",G235," ",B235," ",")"," ","--&gt;"," ",M233," ",H233," ","+"," ",M234," ",H234," ","+"," ",M235," ",H235)</f>
        <v>1 C12H23 + 17.75 ( O2 + 3.76 N2 ) --&gt; 12 CO2 + 11.5 H2O + 66.74 N2</v>
      </c>
      <c r="K228" s="314"/>
      <c r="L228" s="314"/>
      <c r="M228" s="314"/>
      <c r="N228" s="314"/>
      <c r="O228" s="314"/>
    </row>
    <row r="229" spans="2:88">
      <c r="B229" s="315" t="s">
        <v>656</v>
      </c>
      <c r="C229" s="315"/>
      <c r="D229" s="315"/>
      <c r="E229" s="315"/>
    </row>
    <row r="231" spans="2:88" ht="17">
      <c r="C231" s="3" t="s">
        <v>1</v>
      </c>
      <c r="D231" s="3" t="s">
        <v>5</v>
      </c>
      <c r="E231" s="199" t="s">
        <v>406</v>
      </c>
      <c r="H231" s="169" t="s">
        <v>387</v>
      </c>
      <c r="I231" s="3" t="s">
        <v>1</v>
      </c>
      <c r="J231" s="3" t="s">
        <v>5</v>
      </c>
      <c r="K231" s="199" t="s">
        <v>406</v>
      </c>
    </row>
    <row r="232" spans="2:88" ht="18">
      <c r="B232" s="169" t="s">
        <v>494</v>
      </c>
      <c r="C232" s="13" t="s">
        <v>11</v>
      </c>
      <c r="D232" s="19" t="s">
        <v>84</v>
      </c>
      <c r="E232" s="13" t="s">
        <v>42</v>
      </c>
      <c r="F232" s="3" t="s">
        <v>44</v>
      </c>
      <c r="H232" s="13" t="s">
        <v>41</v>
      </c>
      <c r="I232" s="13" t="s">
        <v>11</v>
      </c>
      <c r="J232" s="19" t="s">
        <v>84</v>
      </c>
      <c r="K232" s="13" t="s">
        <v>42</v>
      </c>
      <c r="L232" s="3" t="s">
        <v>44</v>
      </c>
    </row>
    <row r="233" spans="2:88" ht="18">
      <c r="B233" s="61" t="s">
        <v>488</v>
      </c>
      <c r="C233" s="3" t="e">
        <f>Ore_to_PI!L226</f>
        <v>#REF!</v>
      </c>
      <c r="D233" s="3">
        <f>MW_C12H23</f>
        <v>0.16731462</v>
      </c>
      <c r="E233" s="3" t="e">
        <f>C233/D233</f>
        <v>#REF!</v>
      </c>
      <c r="F233" s="30" t="s">
        <v>33</v>
      </c>
      <c r="G233" s="3">
        <v>1</v>
      </c>
      <c r="H233" s="239" t="s">
        <v>64</v>
      </c>
      <c r="I233" s="3" t="e">
        <f>J233*K233</f>
        <v>#REF!</v>
      </c>
      <c r="J233" s="3">
        <f>MW_CO2</f>
        <v>4.4009800000000002E-2</v>
      </c>
      <c r="K233" s="3" t="e">
        <f>M233*E233</f>
        <v>#REF!</v>
      </c>
      <c r="L233" s="30" t="s">
        <v>35</v>
      </c>
      <c r="M233" s="3">
        <f>12*G233</f>
        <v>12</v>
      </c>
    </row>
    <row r="234" spans="2:88" ht="18">
      <c r="B234" s="235" t="s">
        <v>24</v>
      </c>
      <c r="C234" s="3" t="e">
        <f>E234*D234</f>
        <v>#REF!</v>
      </c>
      <c r="D234" s="3">
        <f>MW_O2</f>
        <v>3.1998800000000001E-2</v>
      </c>
      <c r="E234" s="3" t="e">
        <f>E233*G234</f>
        <v>#REF!</v>
      </c>
      <c r="F234" s="30" t="s">
        <v>34</v>
      </c>
      <c r="G234" s="3">
        <f>((2*M233)+M234)/2</f>
        <v>17.75</v>
      </c>
      <c r="H234" s="13" t="s">
        <v>68</v>
      </c>
      <c r="I234" s="3" t="e">
        <f t="shared" ref="I234:I235" si="31">J234*K234</f>
        <v>#REF!</v>
      </c>
      <c r="J234" s="3">
        <f>MW_H2O</f>
        <v>1.8015280000000002E-2</v>
      </c>
      <c r="K234" s="3" t="e">
        <f>M234*E233</f>
        <v>#REF!</v>
      </c>
      <c r="L234" s="30" t="s">
        <v>36</v>
      </c>
      <c r="M234" s="3">
        <f>(23/2)*G233</f>
        <v>11.5</v>
      </c>
      <c r="BK234" s="315"/>
      <c r="BL234" s="315"/>
      <c r="BM234" s="315"/>
      <c r="BN234" s="315"/>
    </row>
    <row r="235" spans="2:88" ht="18" customHeight="1">
      <c r="B235" s="20" t="s">
        <v>67</v>
      </c>
      <c r="C235" s="3" t="e">
        <f>E235*D235</f>
        <v>#REF!</v>
      </c>
      <c r="D235" s="3">
        <f>MW_N2</f>
        <v>2.801348E-2</v>
      </c>
      <c r="E235" s="3" t="e">
        <f>E234*G235</f>
        <v>#REF!</v>
      </c>
      <c r="F235" s="30" t="s">
        <v>206</v>
      </c>
      <c r="G235" s="3">
        <v>3.76</v>
      </c>
      <c r="H235" s="20" t="s">
        <v>67</v>
      </c>
      <c r="I235" s="3" t="e">
        <f t="shared" si="31"/>
        <v>#REF!</v>
      </c>
      <c r="J235" s="3">
        <f>MW_N2</f>
        <v>2.801348E-2</v>
      </c>
      <c r="K235" s="3" t="e">
        <f>E235</f>
        <v>#REF!</v>
      </c>
      <c r="L235" s="30" t="s">
        <v>37</v>
      </c>
      <c r="M235" s="3">
        <f>G234*G235</f>
        <v>66.739999999999995</v>
      </c>
      <c r="BK235" s="315"/>
      <c r="BL235" s="315"/>
      <c r="BM235" s="315"/>
      <c r="BN235" s="315"/>
      <c r="CJ235" s="315"/>
    </row>
    <row r="236" spans="2:88" ht="22" customHeight="1">
      <c r="B236" s="3" t="s">
        <v>19</v>
      </c>
      <c r="C236" s="17" t="e">
        <f>SUM(C233:C235)</f>
        <v>#REF!</v>
      </c>
      <c r="D236" s="17"/>
      <c r="E236" s="17" t="e">
        <f>SUM(E233:E235)</f>
        <v>#REF!</v>
      </c>
      <c r="I236" s="17" t="e">
        <f>SUM(I233:I235)</f>
        <v>#REF!</v>
      </c>
      <c r="J236" s="17"/>
      <c r="K236" s="17" t="e">
        <f>SUM(K233:K235)</f>
        <v>#REF!</v>
      </c>
      <c r="BO236" s="315"/>
      <c r="BQ236" s="3">
        <f>BS236*BT236</f>
        <v>0</v>
      </c>
      <c r="BT236" s="3">
        <f>CO253+(CO252/2)</f>
        <v>0</v>
      </c>
      <c r="CJ236" s="315"/>
    </row>
    <row r="237" spans="2:88">
      <c r="BO237" s="315"/>
      <c r="BQ237" s="3">
        <f>N2_for_coke_oven_comb</f>
        <v>232.31507283090204</v>
      </c>
      <c r="CJ237" s="315"/>
    </row>
    <row r="238" spans="2:88">
      <c r="CJ238" s="315"/>
    </row>
    <row r="239" spans="2:88">
      <c r="J239" s="132" t="s">
        <v>637</v>
      </c>
      <c r="K239" s="132" t="s">
        <v>640</v>
      </c>
      <c r="L239" s="3" t="s">
        <v>390</v>
      </c>
      <c r="M239" s="3" t="s">
        <v>40</v>
      </c>
      <c r="N239" s="4" t="s">
        <v>35</v>
      </c>
      <c r="O239" s="132" t="s">
        <v>638</v>
      </c>
      <c r="P239" s="132" t="s">
        <v>639</v>
      </c>
      <c r="CJ239" s="315"/>
    </row>
    <row r="240" spans="2:88">
      <c r="C240" s="3" t="s">
        <v>636</v>
      </c>
      <c r="J240" s="13" t="s">
        <v>98</v>
      </c>
      <c r="K240" s="13" t="s">
        <v>98</v>
      </c>
      <c r="L240" s="13" t="s">
        <v>346</v>
      </c>
      <c r="M240" s="13" t="s">
        <v>240</v>
      </c>
      <c r="N240" s="13" t="s">
        <v>240</v>
      </c>
      <c r="O240" s="13" t="s">
        <v>98</v>
      </c>
      <c r="P240" s="13" t="s">
        <v>346</v>
      </c>
    </row>
    <row r="241" spans="2:94" ht="18">
      <c r="B241" s="13" t="s">
        <v>182</v>
      </c>
      <c r="C241" s="3" t="e">
        <f>23*C243</f>
        <v>#REF!</v>
      </c>
      <c r="D241" s="19" t="s">
        <v>303</v>
      </c>
      <c r="E241" s="3" t="e">
        <f>E243</f>
        <v>#REF!</v>
      </c>
      <c r="F241" s="19" t="s">
        <v>303</v>
      </c>
      <c r="G241" s="3" t="e">
        <f>G242/2</f>
        <v>#REF!</v>
      </c>
      <c r="J241" s="3">
        <v>1.0401</v>
      </c>
      <c r="K241" s="3">
        <v>0.17280000000000001</v>
      </c>
      <c r="L241" s="3">
        <f>LHV_Diesel</f>
        <v>42600</v>
      </c>
      <c r="M241" s="3" t="e">
        <f>C247/C249</f>
        <v>#REF!</v>
      </c>
      <c r="N241" s="3" t="e">
        <f>C248/C249</f>
        <v>#REF!</v>
      </c>
      <c r="O241" s="3" t="e">
        <f>J241+(K241*(M241/N241))</f>
        <v>#REF!</v>
      </c>
      <c r="P241" s="3" t="e">
        <f>O241*L241</f>
        <v>#REF!</v>
      </c>
    </row>
    <row r="242" spans="2:94">
      <c r="B242" s="13" t="s">
        <v>18</v>
      </c>
      <c r="C242" s="3" t="e">
        <f>12*C243</f>
        <v>#REF!</v>
      </c>
      <c r="D242" s="13" t="s">
        <v>18</v>
      </c>
      <c r="E242" s="3" t="e">
        <f>E243</f>
        <v>#REF!</v>
      </c>
      <c r="F242" s="3" t="s">
        <v>29</v>
      </c>
      <c r="G242" s="3" t="e">
        <f>G243</f>
        <v>#REF!</v>
      </c>
    </row>
    <row r="243" spans="2:94" ht="18">
      <c r="B243" s="61" t="s">
        <v>488</v>
      </c>
      <c r="C243" s="3" t="e">
        <f>E233</f>
        <v>#REF!</v>
      </c>
      <c r="D243" s="239" t="s">
        <v>64</v>
      </c>
      <c r="E243" s="3" t="e">
        <f>C242</f>
        <v>#REF!</v>
      </c>
      <c r="F243" s="13" t="s">
        <v>68</v>
      </c>
      <c r="G243" s="3" t="e">
        <f>C241/2</f>
        <v>#REF!</v>
      </c>
    </row>
    <row r="245" spans="2:94">
      <c r="C245" s="3" t="s">
        <v>1</v>
      </c>
      <c r="N245" s="3" t="s">
        <v>641</v>
      </c>
    </row>
    <row r="246" spans="2:94">
      <c r="C246" s="3" t="s">
        <v>584</v>
      </c>
      <c r="N246" s="3" t="s">
        <v>642</v>
      </c>
    </row>
    <row r="247" spans="2:94">
      <c r="B247" s="13" t="s">
        <v>182</v>
      </c>
      <c r="C247" s="3" t="e">
        <f>C241*MW_H</f>
        <v>#REF!</v>
      </c>
    </row>
    <row r="248" spans="2:94">
      <c r="B248" s="13" t="s">
        <v>18</v>
      </c>
      <c r="C248" s="3" t="e">
        <f>C242*MW_C</f>
        <v>#REF!</v>
      </c>
    </row>
    <row r="249" spans="2:94" ht="18" thickBot="1">
      <c r="B249" s="61" t="s">
        <v>488</v>
      </c>
      <c r="C249" s="98" t="e">
        <f>SUM(C247:C248)</f>
        <v>#REF!</v>
      </c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</row>
    <row r="251" spans="2:94">
      <c r="B251" s="321" t="s">
        <v>503</v>
      </c>
      <c r="C251" s="321"/>
      <c r="D251" s="321"/>
      <c r="E251" s="321"/>
      <c r="J251" s="314" t="s">
        <v>70</v>
      </c>
      <c r="K251" s="314"/>
      <c r="L251" s="314"/>
      <c r="M251" s="314"/>
      <c r="N251" s="314"/>
      <c r="O251" s="314"/>
    </row>
    <row r="252" spans="2:94" ht="22" customHeight="1">
      <c r="B252" s="321"/>
      <c r="C252" s="321"/>
      <c r="D252" s="321"/>
      <c r="E252" s="321"/>
      <c r="J252" s="314" t="s">
        <v>505</v>
      </c>
      <c r="K252" s="314"/>
      <c r="L252" s="314"/>
      <c r="M252" s="13"/>
      <c r="N252" s="318" t="s">
        <v>75</v>
      </c>
      <c r="O252" s="319"/>
      <c r="CJ252" s="315"/>
      <c r="CO252" s="3">
        <f>(BT248/2)</f>
        <v>0</v>
      </c>
    </row>
    <row r="253" spans="2:94">
      <c r="B253" s="321"/>
      <c r="C253" s="321"/>
      <c r="D253" s="321"/>
      <c r="E253" s="321"/>
      <c r="J253" s="314" t="str">
        <f>_xlfn.CONCAT(G258," ",B258," ","+"," ",G259," ","("," ",B259," ","+"," ",G260," ",B260," ",")"," ","--&gt;"," ",M258," ",H258," ","+"," ",M259," ",H259," ","+"," ",M260," ",H260)</f>
        <v>1 C8H18 + 12.5 ( O2 + 3.76 N2 ) --&gt; 8 CO2 + 9 H2O + 47 N2</v>
      </c>
      <c r="K253" s="314"/>
      <c r="L253" s="314"/>
      <c r="M253" s="314"/>
      <c r="N253" s="314"/>
      <c r="O253" s="314"/>
      <c r="CJ253" s="315"/>
      <c r="CO253" s="3">
        <f>BT248</f>
        <v>0</v>
      </c>
    </row>
    <row r="254" spans="2:94">
      <c r="B254" s="315" t="s">
        <v>656</v>
      </c>
      <c r="C254" s="315"/>
      <c r="D254" s="315"/>
      <c r="E254" s="315"/>
      <c r="CJ254" s="315"/>
    </row>
    <row r="255" spans="2:94">
      <c r="CP255" s="3" t="e" cm="1">
        <f t="array" ref="CP255">SUM(CL252:CL254*CP252:CP254) / CL255</f>
        <v>#DIV/0!</v>
      </c>
    </row>
    <row r="256" spans="2:94" ht="17">
      <c r="C256" s="3" t="s">
        <v>1</v>
      </c>
      <c r="D256" s="3" t="s">
        <v>5</v>
      </c>
      <c r="E256" s="199" t="s">
        <v>406</v>
      </c>
      <c r="H256" s="169" t="s">
        <v>387</v>
      </c>
      <c r="I256" s="3" t="s">
        <v>1</v>
      </c>
      <c r="J256" s="3" t="s">
        <v>5</v>
      </c>
      <c r="K256" s="199" t="s">
        <v>406</v>
      </c>
    </row>
    <row r="257" spans="2:88" ht="18">
      <c r="B257" s="169" t="s">
        <v>504</v>
      </c>
      <c r="C257" s="13" t="s">
        <v>11</v>
      </c>
      <c r="D257" s="19" t="s">
        <v>84</v>
      </c>
      <c r="E257" s="13" t="s">
        <v>42</v>
      </c>
      <c r="F257" s="3" t="s">
        <v>44</v>
      </c>
      <c r="H257" s="13" t="s">
        <v>41</v>
      </c>
      <c r="I257" s="13" t="s">
        <v>11</v>
      </c>
      <c r="J257" s="19" t="s">
        <v>84</v>
      </c>
      <c r="K257" s="13" t="s">
        <v>42</v>
      </c>
      <c r="L257" s="3" t="s">
        <v>44</v>
      </c>
    </row>
    <row r="258" spans="2:88" ht="18">
      <c r="B258" s="61" t="s">
        <v>487</v>
      </c>
      <c r="C258" s="3">
        <f>Ore_to_PI!L155</f>
        <v>5.1714158616864253E-4</v>
      </c>
      <c r="D258" s="3">
        <f>MW_C8H18</f>
        <v>0.11423092</v>
      </c>
      <c r="E258" s="3">
        <f>C258/D258</f>
        <v>4.5271594255622081E-3</v>
      </c>
      <c r="F258" s="30" t="s">
        <v>33</v>
      </c>
      <c r="G258" s="3">
        <v>1</v>
      </c>
      <c r="H258" s="239" t="s">
        <v>64</v>
      </c>
      <c r="I258" s="3">
        <f>J258*K258</f>
        <v>1.5939150470968614E-3</v>
      </c>
      <c r="J258" s="3">
        <f>MW_CO2</f>
        <v>4.4009800000000002E-2</v>
      </c>
      <c r="K258" s="3">
        <f>M258*E258</f>
        <v>3.6217275404497665E-2</v>
      </c>
      <c r="L258" s="30" t="s">
        <v>35</v>
      </c>
      <c r="M258" s="3">
        <f>8*G258</f>
        <v>8</v>
      </c>
    </row>
    <row r="259" spans="2:88" ht="18">
      <c r="B259" s="235" t="s">
        <v>24</v>
      </c>
      <c r="C259" s="3">
        <f>E259*D259</f>
        <v>1.8107958628335E-3</v>
      </c>
      <c r="D259" s="3">
        <f>MW_O2</f>
        <v>3.1998800000000001E-2</v>
      </c>
      <c r="E259" s="3">
        <f>E258*G259</f>
        <v>5.6589492819527604E-2</v>
      </c>
      <c r="F259" s="30" t="s">
        <v>34</v>
      </c>
      <c r="G259" s="3">
        <f>((2*M258)+(M259))/2</f>
        <v>12.5</v>
      </c>
      <c r="H259" s="13" t="s">
        <v>68</v>
      </c>
      <c r="I259" s="3">
        <f t="shared" ref="I259:I260" si="32">J259*K259</f>
        <v>7.3402240190528106E-4</v>
      </c>
      <c r="J259" s="3">
        <f>MW_H2O</f>
        <v>1.8015280000000002E-2</v>
      </c>
      <c r="K259" s="3">
        <f>M259*E258</f>
        <v>4.0744434830059871E-2</v>
      </c>
      <c r="L259" s="30" t="s">
        <v>36</v>
      </c>
      <c r="M259" s="3">
        <f>9*G258</f>
        <v>9</v>
      </c>
    </row>
    <row r="260" spans="2:88" ht="18">
      <c r="B260" s="20" t="s">
        <v>67</v>
      </c>
      <c r="C260" s="3">
        <f>E260*D260</f>
        <v>5.9606100311655258E-3</v>
      </c>
      <c r="D260" s="3">
        <f>MW_N2</f>
        <v>2.801348E-2</v>
      </c>
      <c r="E260" s="3">
        <f>E259*G260</f>
        <v>0.21277649300142379</v>
      </c>
      <c r="F260" s="30" t="s">
        <v>206</v>
      </c>
      <c r="G260" s="3">
        <v>3.76</v>
      </c>
      <c r="H260" s="20" t="s">
        <v>67</v>
      </c>
      <c r="I260" s="3">
        <f t="shared" si="32"/>
        <v>5.9606100311655258E-3</v>
      </c>
      <c r="J260" s="3">
        <f>MW_N2</f>
        <v>2.801348E-2</v>
      </c>
      <c r="K260" s="3">
        <f>E260</f>
        <v>0.21277649300142379</v>
      </c>
      <c r="L260" s="30" t="s">
        <v>37</v>
      </c>
      <c r="M260" s="3">
        <f>G260*G259</f>
        <v>47</v>
      </c>
    </row>
    <row r="261" spans="2:88">
      <c r="B261" s="3" t="s">
        <v>19</v>
      </c>
      <c r="C261" s="17">
        <f>SUM(C258:C260)</f>
        <v>8.2885474801676681E-3</v>
      </c>
      <c r="D261" s="17"/>
      <c r="E261" s="17">
        <f>SUM(E258:E260)</f>
        <v>0.27389314524651359</v>
      </c>
      <c r="I261" s="17">
        <f>SUM(I258:I260)</f>
        <v>8.2885474801676681E-3</v>
      </c>
      <c r="J261" s="17"/>
      <c r="K261" s="17">
        <f>SUM(K258:K260)</f>
        <v>0.28973820323598132</v>
      </c>
    </row>
    <row r="263" spans="2:88">
      <c r="B263" s="132" t="s">
        <v>637</v>
      </c>
      <c r="C263" s="132" t="s">
        <v>640</v>
      </c>
      <c r="D263" s="3" t="s">
        <v>390</v>
      </c>
      <c r="E263" s="3" t="s">
        <v>40</v>
      </c>
      <c r="F263" s="4" t="s">
        <v>35</v>
      </c>
      <c r="G263" s="132" t="s">
        <v>638</v>
      </c>
      <c r="H263" s="132" t="s">
        <v>643</v>
      </c>
    </row>
    <row r="264" spans="2:88">
      <c r="B264" s="13" t="s">
        <v>98</v>
      </c>
      <c r="C264" s="13" t="s">
        <v>98</v>
      </c>
      <c r="D264" s="13" t="s">
        <v>346</v>
      </c>
      <c r="E264" s="13" t="s">
        <v>240</v>
      </c>
      <c r="F264" s="13" t="s">
        <v>240</v>
      </c>
      <c r="G264" s="13" t="s">
        <v>98</v>
      </c>
      <c r="H264" s="13" t="s">
        <v>346</v>
      </c>
    </row>
    <row r="265" spans="2:88">
      <c r="B265" s="3">
        <v>1.0401</v>
      </c>
      <c r="C265" s="3">
        <v>0.17280000000000001</v>
      </c>
      <c r="D265" s="3">
        <f>LHV_Gasoline</f>
        <v>43400</v>
      </c>
      <c r="E265" s="3">
        <f>(MW_H*18)/(MW_C8H18)</f>
        <v>0.15882669946105663</v>
      </c>
      <c r="F265" s="3">
        <f>1-E265</f>
        <v>0.84117330053894335</v>
      </c>
      <c r="G265" s="3">
        <f>B265+(C265*(E265/F265))</f>
        <v>1.0727273475980352</v>
      </c>
      <c r="H265" s="3">
        <f>G265*D265</f>
        <v>46556.366885754731</v>
      </c>
    </row>
    <row r="266" spans="2:88" ht="16" thickBot="1"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</row>
    <row r="268" spans="2:88" ht="18" customHeight="1">
      <c r="B268" s="321" t="s">
        <v>508</v>
      </c>
      <c r="C268" s="321"/>
      <c r="D268" s="321"/>
      <c r="E268" s="321"/>
      <c r="J268" s="314" t="s">
        <v>70</v>
      </c>
      <c r="K268" s="314"/>
      <c r="L268" s="314"/>
      <c r="M268" s="314"/>
      <c r="N268" s="314"/>
      <c r="O268" s="314"/>
      <c r="CJ268" s="315"/>
    </row>
    <row r="269" spans="2:88" ht="18">
      <c r="B269" s="321"/>
      <c r="C269" s="321"/>
      <c r="D269" s="321"/>
      <c r="E269" s="321"/>
      <c r="J269" s="314" t="s">
        <v>510</v>
      </c>
      <c r="K269" s="314"/>
      <c r="L269" s="314"/>
      <c r="M269" s="13"/>
      <c r="N269" s="318" t="s">
        <v>75</v>
      </c>
      <c r="O269" s="319"/>
      <c r="CJ269" s="315"/>
    </row>
    <row r="270" spans="2:88">
      <c r="B270" s="321"/>
      <c r="C270" s="321"/>
      <c r="D270" s="321"/>
      <c r="E270" s="321"/>
      <c r="J270" s="314" t="str">
        <f>_xlfn.CONCAT(G275," ",B275," ","+"," ",G276," ","("," ",B276," ","+"," ",G277," ",B277," ",")"," ","--&gt;"," ",M275," ",H275," ","+"," ",M276," ",H276," ","+"," ",M277," ",H277)</f>
        <v>1 C10H20 + 15 ( O2 + 3.76 N2 ) --&gt; 10 CO2 + 10 H2O + 56.4 N2</v>
      </c>
      <c r="K270" s="314"/>
      <c r="L270" s="314"/>
      <c r="M270" s="314"/>
      <c r="N270" s="314"/>
      <c r="O270" s="314"/>
      <c r="CJ270" s="315"/>
    </row>
    <row r="271" spans="2:88">
      <c r="B271" s="315" t="s">
        <v>656</v>
      </c>
      <c r="C271" s="315"/>
      <c r="D271" s="315"/>
      <c r="E271" s="315"/>
      <c r="CJ271" s="315"/>
    </row>
    <row r="272" spans="2:88">
      <c r="CJ272" s="315"/>
    </row>
    <row r="273" spans="2:88" ht="17">
      <c r="C273" s="3" t="s">
        <v>1</v>
      </c>
      <c r="D273" s="3" t="s">
        <v>5</v>
      </c>
      <c r="E273" s="199" t="s">
        <v>406</v>
      </c>
      <c r="H273" s="169" t="s">
        <v>387</v>
      </c>
      <c r="I273" s="3" t="s">
        <v>1</v>
      </c>
      <c r="J273" s="3" t="s">
        <v>5</v>
      </c>
      <c r="K273" s="199" t="s">
        <v>406</v>
      </c>
      <c r="CJ273" s="315"/>
    </row>
    <row r="274" spans="2:88" ht="18">
      <c r="B274" s="169" t="s">
        <v>352</v>
      </c>
      <c r="C274" s="13" t="s">
        <v>11</v>
      </c>
      <c r="D274" s="19" t="s">
        <v>84</v>
      </c>
      <c r="E274" s="13" t="s">
        <v>42</v>
      </c>
      <c r="F274" s="3" t="s">
        <v>44</v>
      </c>
      <c r="H274" s="13" t="s">
        <v>41</v>
      </c>
      <c r="I274" s="13" t="s">
        <v>11</v>
      </c>
      <c r="J274" s="19" t="s">
        <v>84</v>
      </c>
      <c r="K274" s="13" t="s">
        <v>42</v>
      </c>
      <c r="L274" s="3" t="s">
        <v>44</v>
      </c>
      <c r="CJ274" s="315"/>
    </row>
    <row r="275" spans="2:88" ht="18">
      <c r="B275" s="61" t="s">
        <v>506</v>
      </c>
      <c r="C275" s="3">
        <f>Ore_to_PI!$EC$105</f>
        <v>4.8979947555174279</v>
      </c>
      <c r="D275" s="3">
        <f>MW_Oil</f>
        <v>0.1402688</v>
      </c>
      <c r="E275" s="3">
        <f>C275/D275</f>
        <v>34.918633049669118</v>
      </c>
      <c r="F275" s="30" t="s">
        <v>33</v>
      </c>
      <c r="G275" s="3">
        <v>1</v>
      </c>
      <c r="H275" s="239" t="s">
        <v>64</v>
      </c>
      <c r="I275" s="3">
        <f>J275*K275</f>
        <v>15.367620567893281</v>
      </c>
      <c r="J275" s="3">
        <f>MW_CO2</f>
        <v>4.4009800000000002E-2</v>
      </c>
      <c r="K275" s="3">
        <f>M275*E275</f>
        <v>349.1863304966912</v>
      </c>
      <c r="L275" s="30" t="s">
        <v>35</v>
      </c>
      <c r="M275" s="3">
        <v>10</v>
      </c>
      <c r="CJ275" s="315"/>
    </row>
    <row r="276" spans="2:88" ht="18">
      <c r="B276" s="235" t="s">
        <v>24</v>
      </c>
      <c r="C276" s="3">
        <f>E276*D276</f>
        <v>16.760315328446286</v>
      </c>
      <c r="D276" s="3">
        <f>MW_O2</f>
        <v>3.1998800000000001E-2</v>
      </c>
      <c r="E276" s="3">
        <f>E275*G276</f>
        <v>523.7794957450368</v>
      </c>
      <c r="F276" s="30" t="s">
        <v>34</v>
      </c>
      <c r="G276" s="3">
        <f>((2*M275)+(M276))/2</f>
        <v>15</v>
      </c>
      <c r="H276" s="13" t="s">
        <v>68</v>
      </c>
      <c r="I276" s="3">
        <f t="shared" ref="I276:I277" si="33">J276*K276</f>
        <v>6.2906895160704313</v>
      </c>
      <c r="J276" s="3">
        <f>MW_H2O</f>
        <v>1.8015280000000002E-2</v>
      </c>
      <c r="K276" s="3">
        <f>M276*E275</f>
        <v>349.1863304966912</v>
      </c>
      <c r="L276" s="30" t="s">
        <v>36</v>
      </c>
      <c r="M276" s="3">
        <v>10</v>
      </c>
      <c r="CJ276" s="315"/>
    </row>
    <row r="277" spans="2:88" ht="18">
      <c r="B277" s="20" t="s">
        <v>67</v>
      </c>
      <c r="C277" s="3">
        <f>E277*D277</f>
        <v>55.170052971023409</v>
      </c>
      <c r="D277" s="3">
        <f>MW_N2</f>
        <v>2.801348E-2</v>
      </c>
      <c r="E277" s="3">
        <f>E276*G277</f>
        <v>1969.4109040013382</v>
      </c>
      <c r="F277" s="30" t="s">
        <v>206</v>
      </c>
      <c r="G277" s="3">
        <v>3.76</v>
      </c>
      <c r="H277" s="20" t="s">
        <v>67</v>
      </c>
      <c r="I277" s="3">
        <f t="shared" si="33"/>
        <v>55.170052971023409</v>
      </c>
      <c r="J277" s="3">
        <f>MW_N2</f>
        <v>2.801348E-2</v>
      </c>
      <c r="K277" s="3">
        <f>E277</f>
        <v>1969.4109040013382</v>
      </c>
      <c r="L277" s="30" t="s">
        <v>37</v>
      </c>
      <c r="M277" s="3">
        <f>G277*G276</f>
        <v>56.4</v>
      </c>
      <c r="CJ277" s="315"/>
    </row>
    <row r="278" spans="2:88">
      <c r="B278" s="3" t="s">
        <v>19</v>
      </c>
      <c r="C278" s="17">
        <f>SUM(C275:C277)</f>
        <v>76.828363054987122</v>
      </c>
      <c r="D278" s="17"/>
      <c r="E278" s="17">
        <f>SUM(E275:E277)</f>
        <v>2528.1090327960442</v>
      </c>
      <c r="I278" s="17">
        <f>SUM(I275:I277)</f>
        <v>76.828363054987122</v>
      </c>
      <c r="J278" s="17"/>
      <c r="K278" s="17">
        <f>SUM(K275:K277)</f>
        <v>2667.7835649947206</v>
      </c>
      <c r="CJ278" s="315"/>
    </row>
    <row r="280" spans="2:88">
      <c r="B280" s="132" t="s">
        <v>637</v>
      </c>
      <c r="C280" s="132" t="s">
        <v>640</v>
      </c>
      <c r="D280" s="3" t="s">
        <v>390</v>
      </c>
      <c r="E280" s="3" t="s">
        <v>40</v>
      </c>
      <c r="F280" s="4" t="s">
        <v>35</v>
      </c>
      <c r="G280" s="132" t="s">
        <v>638</v>
      </c>
      <c r="H280" s="132" t="s">
        <v>644</v>
      </c>
    </row>
    <row r="281" spans="2:88">
      <c r="B281" s="13" t="s">
        <v>98</v>
      </c>
      <c r="C281" s="13" t="s">
        <v>98</v>
      </c>
      <c r="D281" s="13" t="s">
        <v>346</v>
      </c>
      <c r="E281" s="13" t="s">
        <v>240</v>
      </c>
      <c r="F281" s="13" t="s">
        <v>240</v>
      </c>
      <c r="G281" s="13" t="s">
        <v>98</v>
      </c>
      <c r="H281" s="13" t="s">
        <v>346</v>
      </c>
    </row>
    <row r="282" spans="2:88" ht="16" thickBot="1">
      <c r="B282" s="298">
        <v>1.0401</v>
      </c>
      <c r="C282" s="298">
        <v>0.17280000000000001</v>
      </c>
      <c r="D282" s="298">
        <f>LHV_Oil</f>
        <v>39500</v>
      </c>
      <c r="E282" s="298">
        <f>(MW_H*20)/(MW_Oil)</f>
        <v>0.14371549482137158</v>
      </c>
      <c r="F282" s="298">
        <f>1-E282</f>
        <v>0.85628450517862842</v>
      </c>
      <c r="G282" s="298">
        <f>B282+(0.1728*(E282/F282))</f>
        <v>1.069102086753809</v>
      </c>
      <c r="H282" s="298">
        <f>G282*D282</f>
        <v>42229.532426775455</v>
      </c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</row>
    <row r="284" spans="2:88">
      <c r="B284" s="321" t="s">
        <v>507</v>
      </c>
      <c r="C284" s="321"/>
      <c r="D284" s="321"/>
      <c r="E284" s="321"/>
      <c r="J284" s="314" t="s">
        <v>70</v>
      </c>
      <c r="K284" s="314"/>
      <c r="L284" s="314"/>
      <c r="M284" s="314"/>
      <c r="N284" s="314"/>
      <c r="O284" s="314"/>
    </row>
    <row r="285" spans="2:88" ht="18">
      <c r="B285" s="321"/>
      <c r="C285" s="321"/>
      <c r="D285" s="321"/>
      <c r="E285" s="321"/>
      <c r="J285" s="314" t="s">
        <v>74</v>
      </c>
      <c r="K285" s="314"/>
      <c r="L285" s="314"/>
      <c r="M285" s="13"/>
      <c r="N285" s="318" t="s">
        <v>75</v>
      </c>
      <c r="O285" s="319"/>
    </row>
    <row r="286" spans="2:88">
      <c r="B286" s="321"/>
      <c r="C286" s="321"/>
      <c r="D286" s="321"/>
      <c r="E286" s="321"/>
      <c r="J286" s="314" t="str">
        <f>_xlfn.CONCAT(G291," ",B291," ","+"," ",G292," ","("," ",B292," ","+"," ",G293," ",B293," ",")"," ","--&gt;"," ",M291," ",H291," ","+"," ",M292," ",H292," ","+"," ",M293," ",H293)</f>
        <v>1 CH4 + 2 ( O2 + 3.76 N2 ) --&gt; 1 CO2 + 2 H2O + 7.52 N2</v>
      </c>
      <c r="K286" s="314"/>
      <c r="L286" s="314"/>
      <c r="M286" s="314"/>
      <c r="N286" s="314"/>
      <c r="O286" s="314"/>
    </row>
    <row r="287" spans="2:88">
      <c r="B287" s="315" t="s">
        <v>656</v>
      </c>
      <c r="C287" s="315"/>
      <c r="D287" s="315"/>
      <c r="E287" s="315"/>
    </row>
    <row r="289" spans="2:13" ht="17">
      <c r="C289" s="3" t="s">
        <v>1</v>
      </c>
      <c r="D289" s="3" t="s">
        <v>5</v>
      </c>
      <c r="E289" s="199" t="s">
        <v>406</v>
      </c>
      <c r="H289" s="169" t="s">
        <v>387</v>
      </c>
      <c r="I289" s="3" t="s">
        <v>1</v>
      </c>
      <c r="J289" s="3" t="s">
        <v>5</v>
      </c>
      <c r="K289" s="199" t="s">
        <v>406</v>
      </c>
    </row>
    <row r="290" spans="2:13" ht="18">
      <c r="B290" s="169" t="s">
        <v>509</v>
      </c>
      <c r="C290" s="13" t="s">
        <v>11</v>
      </c>
      <c r="D290" s="19" t="s">
        <v>84</v>
      </c>
      <c r="E290" s="13" t="s">
        <v>42</v>
      </c>
      <c r="F290" s="3" t="s">
        <v>44</v>
      </c>
      <c r="H290" s="13" t="s">
        <v>41</v>
      </c>
      <c r="I290" s="13" t="s">
        <v>11</v>
      </c>
      <c r="J290" s="19" t="s">
        <v>84</v>
      </c>
      <c r="K290" s="13" t="s">
        <v>42</v>
      </c>
      <c r="L290" s="3" t="s">
        <v>44</v>
      </c>
    </row>
    <row r="291" spans="2:13" ht="18">
      <c r="B291" s="13" t="s">
        <v>65</v>
      </c>
      <c r="C291" s="3">
        <f>Ore_to_PI!EC118</f>
        <v>44.774669200794314</v>
      </c>
      <c r="D291" s="3">
        <f>MW_CH4</f>
        <v>1.604276E-2</v>
      </c>
      <c r="E291" s="3">
        <f>C291/D291</f>
        <v>2790.9579898218458</v>
      </c>
      <c r="F291" s="30" t="s">
        <v>33</v>
      </c>
      <c r="G291" s="3">
        <v>1</v>
      </c>
      <c r="H291" s="239" t="s">
        <v>64</v>
      </c>
      <c r="I291" s="3">
        <f>J291*K291</f>
        <v>122.82950294046147</v>
      </c>
      <c r="J291" s="3">
        <f>MW_CO2</f>
        <v>4.4009800000000002E-2</v>
      </c>
      <c r="K291" s="3">
        <f>M291*E291</f>
        <v>2790.9579898218458</v>
      </c>
      <c r="L291" s="30" t="s">
        <v>35</v>
      </c>
      <c r="M291" s="3">
        <v>1</v>
      </c>
    </row>
    <row r="292" spans="2:13" ht="18">
      <c r="B292" s="235" t="s">
        <v>24</v>
      </c>
      <c r="C292" s="3">
        <f>E292*D292</f>
        <v>178.61461304942256</v>
      </c>
      <c r="D292" s="3">
        <f>MW_O2</f>
        <v>3.1998800000000001E-2</v>
      </c>
      <c r="E292" s="3">
        <f>(K291+(K292/2))</f>
        <v>5581.9159796436916</v>
      </c>
      <c r="F292" s="30" t="s">
        <v>34</v>
      </c>
      <c r="G292" s="3">
        <f>E292/E291</f>
        <v>2</v>
      </c>
      <c r="H292" s="13" t="s">
        <v>68</v>
      </c>
      <c r="I292" s="3">
        <f t="shared" ref="I292:I293" si="34">J292*K292</f>
        <v>100.55977930975541</v>
      </c>
      <c r="J292" s="3">
        <f>MW_H2O</f>
        <v>1.8015280000000002E-2</v>
      </c>
      <c r="K292" s="3">
        <f>M292*E291</f>
        <v>5581.9159796436916</v>
      </c>
      <c r="L292" s="30" t="s">
        <v>36</v>
      </c>
      <c r="M292" s="3">
        <v>2</v>
      </c>
    </row>
    <row r="293" spans="2:13" ht="18">
      <c r="B293" s="20" t="s">
        <v>67</v>
      </c>
      <c r="C293" s="3">
        <f>E293*D293</f>
        <v>587.94703263193287</v>
      </c>
      <c r="D293" s="3">
        <f>MW_N2</f>
        <v>2.801348E-2</v>
      </c>
      <c r="E293" s="3">
        <f>E292*G293</f>
        <v>20988.004083460281</v>
      </c>
      <c r="F293" s="30" t="s">
        <v>206</v>
      </c>
      <c r="G293" s="3">
        <v>3.76</v>
      </c>
      <c r="H293" s="20" t="s">
        <v>67</v>
      </c>
      <c r="I293" s="3">
        <f t="shared" si="34"/>
        <v>587.94703263193287</v>
      </c>
      <c r="J293" s="3">
        <f>MW_N2</f>
        <v>2.801348E-2</v>
      </c>
      <c r="K293" s="3">
        <f>E293</f>
        <v>20988.004083460281</v>
      </c>
      <c r="L293" s="30" t="s">
        <v>37</v>
      </c>
      <c r="M293" s="3">
        <f>G293*G292</f>
        <v>7.52</v>
      </c>
    </row>
    <row r="294" spans="2:13">
      <c r="B294" s="3" t="s">
        <v>19</v>
      </c>
      <c r="C294" s="17">
        <f>SUM(C291:C293)</f>
        <v>811.33631488214974</v>
      </c>
      <c r="D294" s="17"/>
      <c r="E294" s="17">
        <f>SUM(E291:E293)</f>
        <v>29360.878052925818</v>
      </c>
      <c r="I294" s="17">
        <f>SUM(I291:I293)</f>
        <v>811.33631488214974</v>
      </c>
      <c r="J294" s="17"/>
      <c r="K294" s="17">
        <f>SUM(K291:K293)</f>
        <v>29360.878052925818</v>
      </c>
    </row>
    <row r="296" spans="2:13">
      <c r="C296" s="3" t="s">
        <v>1</v>
      </c>
      <c r="D296" s="3" t="s">
        <v>5</v>
      </c>
      <c r="E296" s="132" t="s">
        <v>322</v>
      </c>
      <c r="F296" s="3" t="s">
        <v>390</v>
      </c>
      <c r="G296" s="3" t="s">
        <v>588</v>
      </c>
      <c r="H296" s="3" t="s">
        <v>588</v>
      </c>
    </row>
    <row r="297" spans="2:13" ht="18">
      <c r="C297" s="13" t="s">
        <v>11</v>
      </c>
      <c r="D297" s="19" t="s">
        <v>84</v>
      </c>
      <c r="E297" s="13" t="s">
        <v>98</v>
      </c>
      <c r="F297" s="13" t="s">
        <v>346</v>
      </c>
      <c r="G297" s="13" t="s">
        <v>346</v>
      </c>
      <c r="H297" s="13" t="s">
        <v>58</v>
      </c>
    </row>
    <row r="298" spans="2:13">
      <c r="B298" s="13" t="s">
        <v>182</v>
      </c>
      <c r="C298" s="3">
        <f>(C299*D298)/D299</f>
        <v>15.029616209890477</v>
      </c>
      <c r="D298" s="3">
        <f>MW_H*4</f>
        <v>4.0317600000000006E-3</v>
      </c>
      <c r="E298" s="3">
        <f>1.0401+(0.1728*(C301/C302))</f>
        <v>1.1274125921766986</v>
      </c>
      <c r="F298" s="3">
        <f>LHV_CH4</f>
        <v>50000</v>
      </c>
      <c r="G298" s="3">
        <f>E298*F298</f>
        <v>56370.629608834934</v>
      </c>
      <c r="H298" s="3">
        <f>G298*D291</f>
        <v>904.34048186343273</v>
      </c>
    </row>
    <row r="299" spans="2:13" ht="17">
      <c r="B299" s="13" t="s">
        <v>65</v>
      </c>
      <c r="C299" s="3">
        <f>C291</f>
        <v>44.774669200794314</v>
      </c>
      <c r="D299" s="3">
        <f>MW_C</f>
        <v>1.2010999999999999E-2</v>
      </c>
    </row>
    <row r="301" spans="2:13">
      <c r="B301" s="3" t="s">
        <v>586</v>
      </c>
      <c r="C301" s="3">
        <f>C298/C299</f>
        <v>0.33567230039130802</v>
      </c>
    </row>
    <row r="302" spans="2:13">
      <c r="B302" s="3" t="s">
        <v>587</v>
      </c>
      <c r="C302" s="3">
        <f>(1-C301)</f>
        <v>0.66432769960869198</v>
      </c>
    </row>
  </sheetData>
  <mergeCells count="85">
    <mergeCell ref="CJ219:CJ224"/>
    <mergeCell ref="CJ235:CJ239"/>
    <mergeCell ref="CJ252:CJ254"/>
    <mergeCell ref="CJ268:CJ278"/>
    <mergeCell ref="BK234:BN235"/>
    <mergeCell ref="BO236:BO237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26:E228"/>
    <mergeCell ref="J226:O226"/>
    <mergeCell ref="J227:L227"/>
    <mergeCell ref="N227:O227"/>
    <mergeCell ref="J228:O228"/>
    <mergeCell ref="B69:G70"/>
    <mergeCell ref="H78:L78"/>
    <mergeCell ref="H103:K103"/>
    <mergeCell ref="X88:X97"/>
    <mergeCell ref="G107:G113"/>
    <mergeCell ref="B271:E271"/>
    <mergeCell ref="B287:E287"/>
    <mergeCell ref="B268:E270"/>
    <mergeCell ref="J268:O268"/>
    <mergeCell ref="J269:L269"/>
    <mergeCell ref="N269:O269"/>
    <mergeCell ref="J270:O270"/>
    <mergeCell ref="B284:E286"/>
    <mergeCell ref="J284:O284"/>
    <mergeCell ref="J285:L285"/>
    <mergeCell ref="N285:O285"/>
    <mergeCell ref="J286:O286"/>
    <mergeCell ref="A81:A86"/>
    <mergeCell ref="A98:A101"/>
    <mergeCell ref="J251:O251"/>
    <mergeCell ref="J252:L252"/>
    <mergeCell ref="B254:E254"/>
    <mergeCell ref="N252:O252"/>
    <mergeCell ref="J253:O253"/>
    <mergeCell ref="C158:G159"/>
    <mergeCell ref="B187:G189"/>
    <mergeCell ref="B229:E229"/>
    <mergeCell ref="B251:E253"/>
    <mergeCell ref="A114:A117"/>
  </mergeCells>
  <conditionalFormatting sqref="I162">
    <cfRule type="cellIs" dxfId="36" priority="1" operator="notEqual">
      <formula>0</formula>
    </cfRule>
  </conditionalFormatting>
  <hyperlinks>
    <hyperlink ref="A2" r:id="rId1" xr:uid="{06BDC9B5-4B0A-4C45-943E-2ED9BE99B31A}"/>
    <hyperlink ref="M136" r:id="rId2" xr:uid="{F9BA8725-7C53-AB44-AF4C-E18E05DBDF2F}"/>
    <hyperlink ref="AE127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27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0"/>
  <sheetViews>
    <sheetView tabSelected="1" topLeftCell="BG203" zoomScale="83" zoomScaleNormal="120" workbookViewId="0">
      <selection activeCell="CE244" sqref="CE244"/>
    </sheetView>
  </sheetViews>
  <sheetFormatPr baseColWidth="10" defaultColWidth="8.83203125" defaultRowHeight="15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>
      <c r="T1" s="16"/>
    </row>
    <row r="2" spans="20:20">
      <c r="T2" s="16"/>
    </row>
    <row r="3" spans="20:20">
      <c r="T3" s="16"/>
    </row>
    <row r="6" spans="20:20">
      <c r="T6" s="16"/>
    </row>
    <row r="7" spans="20:20">
      <c r="T7" s="16"/>
    </row>
    <row r="8" spans="20:20">
      <c r="T8" s="16"/>
    </row>
    <row r="9" spans="20:20">
      <c r="T9" s="16"/>
    </row>
    <row r="11" spans="20:20">
      <c r="T11" s="16"/>
    </row>
    <row r="12" spans="20:20">
      <c r="T12" s="16"/>
    </row>
    <row r="13" spans="20:20">
      <c r="T13" s="16"/>
    </row>
    <row r="22" spans="14:66">
      <c r="AO22" s="16" t="s">
        <v>193</v>
      </c>
      <c r="AP22" s="3" t="s">
        <v>195</v>
      </c>
      <c r="AQ22" s="3" t="s">
        <v>194</v>
      </c>
    </row>
    <row r="23" spans="14:66" ht="15" customHeight="1">
      <c r="P23" s="374" t="s">
        <v>364</v>
      </c>
      <c r="Q23" s="374"/>
      <c r="BG23" s="16" t="s">
        <v>191</v>
      </c>
      <c r="BH23" s="3" t="s">
        <v>300</v>
      </c>
      <c r="BI23" s="3" t="s">
        <v>301</v>
      </c>
    </row>
    <row r="24" spans="14:66" ht="16" customHeight="1" thickBot="1">
      <c r="P24" s="375"/>
      <c r="Q24" s="375"/>
    </row>
    <row r="25" spans="14:66" ht="16">
      <c r="P25" s="365" t="s">
        <v>344</v>
      </c>
      <c r="Q25" s="138" t="s">
        <v>317</v>
      </c>
      <c r="AO25" s="357" t="s">
        <v>434</v>
      </c>
      <c r="AP25" s="357"/>
      <c r="AQ25" s="357"/>
      <c r="AR25" s="357"/>
      <c r="AS25" s="357"/>
      <c r="AT25" s="357"/>
      <c r="AU25" s="357"/>
      <c r="BH25" s="357" t="s">
        <v>438</v>
      </c>
      <c r="BI25" s="357"/>
      <c r="BJ25" s="357"/>
      <c r="BK25" s="357"/>
      <c r="BL25" s="357"/>
      <c r="BM25" s="357"/>
      <c r="BN25" s="357"/>
    </row>
    <row r="26" spans="14:66">
      <c r="P26" s="366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>
      <c r="N28" s="4"/>
      <c r="O28" s="4"/>
      <c r="P28" s="139" t="s">
        <v>632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/>
    <row r="40" spans="5:80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>
      <c r="E42" s="364" t="s">
        <v>419</v>
      </c>
      <c r="F42" s="364"/>
      <c r="G42" s="364"/>
      <c r="H42" s="364"/>
      <c r="J42" s="4"/>
      <c r="K42" s="4"/>
      <c r="L42" s="4"/>
      <c r="M42" s="4"/>
      <c r="N42" s="4"/>
      <c r="O42" s="4"/>
      <c r="P42" s="269"/>
      <c r="Q42" s="269" t="s">
        <v>420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72" t="s">
        <v>412</v>
      </c>
      <c r="X42" s="372"/>
      <c r="Y42" s="372"/>
      <c r="Z42" s="372"/>
      <c r="AA42" s="372"/>
      <c r="AB42" s="4"/>
      <c r="AC42" s="4"/>
      <c r="AD42" s="4"/>
      <c r="AE42" s="4"/>
      <c r="AF42" s="4"/>
      <c r="AG42" s="4"/>
      <c r="AH42" s="4"/>
      <c r="AI42" s="97"/>
      <c r="AJ42" s="4" t="s">
        <v>547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2" t="s">
        <v>561</v>
      </c>
      <c r="AQ42" s="372"/>
      <c r="AR42" s="372"/>
      <c r="AS42" s="372"/>
      <c r="AT42" s="372"/>
      <c r="AV42" s="4"/>
      <c r="AW42" s="4"/>
      <c r="AX42" s="4"/>
      <c r="AY42" s="4"/>
      <c r="AZ42" s="4"/>
      <c r="BA42" s="4"/>
      <c r="BB42" s="4"/>
      <c r="BC42" s="4" t="s">
        <v>546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2" t="s">
        <v>439</v>
      </c>
      <c r="BJ42" s="372"/>
      <c r="BK42" s="372"/>
      <c r="BL42" s="372"/>
      <c r="BM42" s="372"/>
      <c r="BV42" s="3" t="s">
        <v>544</v>
      </c>
      <c r="BZ42" s="50">
        <f>BP48</f>
        <v>1000.0000000000001</v>
      </c>
      <c r="CA42" s="48">
        <f>CA48</f>
        <v>88965.799815334409</v>
      </c>
    </row>
    <row r="43" spans="5:80" ht="16" customHeight="1" thickBot="1">
      <c r="E43" s="364"/>
      <c r="F43" s="364"/>
      <c r="G43" s="364"/>
      <c r="H43" s="364"/>
      <c r="J43" s="4"/>
      <c r="K43" s="4"/>
      <c r="L43" s="4"/>
      <c r="M43" s="4"/>
      <c r="N43" s="4"/>
      <c r="O43" s="4"/>
      <c r="P43" s="4"/>
      <c r="Q43" s="4"/>
      <c r="R43" s="4"/>
      <c r="S43" s="4"/>
      <c r="W43" s="373"/>
      <c r="X43" s="373"/>
      <c r="Y43" s="373"/>
      <c r="Z43" s="373"/>
      <c r="AA43" s="37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2"/>
      <c r="AQ43" s="372"/>
      <c r="AR43" s="372"/>
      <c r="AS43" s="372"/>
      <c r="AT43" s="37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2"/>
      <c r="BJ43" s="372"/>
      <c r="BK43" s="372"/>
      <c r="BL43" s="372"/>
      <c r="BM43" s="372"/>
    </row>
    <row r="44" spans="5:80" ht="19.25" customHeight="1">
      <c r="J44" s="4"/>
      <c r="K44" s="1" t="s">
        <v>554</v>
      </c>
      <c r="L44" s="1" t="s">
        <v>555</v>
      </c>
      <c r="M44" s="1" t="s">
        <v>557</v>
      </c>
      <c r="N44" s="1" t="s">
        <v>85</v>
      </c>
      <c r="O44" s="1" t="s">
        <v>658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556</v>
      </c>
      <c r="V44" s="1" t="s">
        <v>50</v>
      </c>
      <c r="W44" s="22" t="s">
        <v>427</v>
      </c>
      <c r="X44" s="100" t="s">
        <v>475</v>
      </c>
      <c r="Y44" s="190" t="s">
        <v>337</v>
      </c>
      <c r="Z44" s="384" t="s">
        <v>344</v>
      </c>
      <c r="AA44" s="138" t="s">
        <v>317</v>
      </c>
      <c r="AB44" s="4"/>
      <c r="AC44" s="4"/>
      <c r="AD44" s="1" t="s">
        <v>554</v>
      </c>
      <c r="AE44" s="1" t="s">
        <v>555</v>
      </c>
      <c r="AF44" s="1" t="s">
        <v>557</v>
      </c>
      <c r="AG44" s="1" t="s">
        <v>85</v>
      </c>
      <c r="AH44" s="1" t="s">
        <v>658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556</v>
      </c>
      <c r="AO44" s="1" t="s">
        <v>50</v>
      </c>
      <c r="AP44" s="22" t="s">
        <v>427</v>
      </c>
      <c r="AQ44" s="22" t="s">
        <v>475</v>
      </c>
      <c r="AR44" s="159" t="s">
        <v>337</v>
      </c>
      <c r="AS44" s="365" t="s">
        <v>344</v>
      </c>
      <c r="AT44" s="138" t="s">
        <v>317</v>
      </c>
      <c r="AU44" s="4"/>
      <c r="AV44" s="4"/>
      <c r="AW44" s="1" t="s">
        <v>554</v>
      </c>
      <c r="AX44" s="1" t="s">
        <v>555</v>
      </c>
      <c r="AY44" s="1" t="s">
        <v>557</v>
      </c>
      <c r="AZ44" s="1" t="s">
        <v>85</v>
      </c>
      <c r="BA44" s="1" t="s">
        <v>658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556</v>
      </c>
      <c r="BH44" s="1" t="s">
        <v>50</v>
      </c>
      <c r="BI44" s="22" t="s">
        <v>427</v>
      </c>
      <c r="BJ44" s="22" t="s">
        <v>475</v>
      </c>
      <c r="BK44" s="190" t="s">
        <v>337</v>
      </c>
      <c r="BL44" s="365" t="s">
        <v>344</v>
      </c>
      <c r="BM44" s="138" t="s">
        <v>317</v>
      </c>
      <c r="BN44" s="1"/>
      <c r="BO44" s="4"/>
      <c r="BP44" s="1" t="s">
        <v>554</v>
      </c>
      <c r="BQ44" s="1" t="s">
        <v>555</v>
      </c>
      <c r="BR44" s="1" t="s">
        <v>557</v>
      </c>
      <c r="BS44" s="1" t="s">
        <v>85</v>
      </c>
      <c r="BT44" s="1" t="s">
        <v>658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556</v>
      </c>
      <c r="CA44" s="1" t="s">
        <v>50</v>
      </c>
      <c r="CB44" s="1"/>
    </row>
    <row r="45" spans="5:80" ht="18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6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6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>
      <c r="I46" s="350" t="s">
        <v>420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-30.150427560699999</v>
      </c>
      <c r="Z46" s="189" t="s">
        <v>341</v>
      </c>
      <c r="AA46" s="136" t="e">
        <f>(($AG$46*($AN$46-$U$46))/V59)</f>
        <v>#REF!</v>
      </c>
      <c r="AB46" s="350" t="s">
        <v>547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0" t="s">
        <v>546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50" t="s">
        <v>544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>
      <c r="I47" s="35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632</v>
      </c>
      <c r="AA47" s="136" t="e">
        <f>($AO$42+AO63)/(V59+V72+$V$42)</f>
        <v>#REF!</v>
      </c>
      <c r="AB47" s="35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632</v>
      </c>
      <c r="AT47" s="136">
        <f>BH42/(AU28+AO42)</f>
        <v>0.15191900995389168</v>
      </c>
      <c r="AU47" s="35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632</v>
      </c>
      <c r="BM47" s="136">
        <f>(CA42+CA55)/(BN35+BH42)</f>
        <v>0.9084965360427989</v>
      </c>
      <c r="BN47" s="35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>
      <c r="I48" s="350" t="s">
        <v>549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404</v>
      </c>
      <c r="AA48" s="137" t="e">
        <f>$AO$46/(V59+V72+$V$42)</f>
        <v>#REF!</v>
      </c>
      <c r="AB48" s="350" t="s">
        <v>548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404</v>
      </c>
      <c r="AT48" s="137">
        <f>BH46/(AU28+AO42)</f>
        <v>0.12756053024900801</v>
      </c>
      <c r="AU48" s="350" t="s">
        <v>545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404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>
      <c r="I49" s="350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0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0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659</v>
      </c>
      <c r="BU49" s="4"/>
      <c r="BV49" s="4"/>
      <c r="BZ49" s="3" t="s">
        <v>96</v>
      </c>
      <c r="CA49" s="1" t="s">
        <v>93</v>
      </c>
    </row>
    <row r="50" spans="2:86">
      <c r="I50" s="35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>
      <c r="I51" s="35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581</v>
      </c>
    </row>
    <row r="53" spans="2:86" ht="18">
      <c r="J53" s="4"/>
      <c r="K53" s="1" t="s">
        <v>89</v>
      </c>
      <c r="L53" s="4"/>
      <c r="M53" s="3" t="s">
        <v>91</v>
      </c>
      <c r="N53" s="3" t="s">
        <v>87</v>
      </c>
      <c r="O53" s="1" t="s">
        <v>659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583</v>
      </c>
      <c r="Z53" s="1" t="s">
        <v>583</v>
      </c>
      <c r="AA53" s="1" t="s">
        <v>583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583</v>
      </c>
      <c r="AS53" s="1" t="s">
        <v>583</v>
      </c>
      <c r="AT53" s="1" t="s">
        <v>583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583</v>
      </c>
      <c r="BK53" s="1" t="s">
        <v>583</v>
      </c>
      <c r="BL53" s="1" t="s">
        <v>583</v>
      </c>
      <c r="BZ53" s="63" t="s">
        <v>1</v>
      </c>
      <c r="CA53" s="58" t="s">
        <v>0</v>
      </c>
    </row>
    <row r="54" spans="2:86" ht="18">
      <c 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582</v>
      </c>
      <c r="AS54" s="3" t="s">
        <v>582</v>
      </c>
      <c r="AT54" s="3" t="s">
        <v>582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582</v>
      </c>
      <c r="BK54" s="3" t="s">
        <v>582</v>
      </c>
      <c r="BL54" s="3" t="s">
        <v>582</v>
      </c>
      <c r="BZ54" s="65" t="s">
        <v>89</v>
      </c>
      <c r="CA54" s="64" t="s">
        <v>93</v>
      </c>
    </row>
    <row r="55" spans="2:86" ht="17" thickBot="1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543</v>
      </c>
      <c r="BZ55" s="50">
        <f>BP63</f>
        <v>11.767466001905108</v>
      </c>
      <c r="CA55" s="48">
        <f>CA63</f>
        <v>21743.416787545681</v>
      </c>
    </row>
    <row r="56" spans="2:86" ht="17" thickBot="1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554</v>
      </c>
      <c r="BQ57" s="1" t="s">
        <v>555</v>
      </c>
      <c r="BR57" s="1" t="s">
        <v>557</v>
      </c>
      <c r="BS57" s="1" t="s">
        <v>85</v>
      </c>
      <c r="BT57" s="1" t="s">
        <v>658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556</v>
      </c>
      <c r="CA57" s="1" t="s">
        <v>50</v>
      </c>
      <c r="CG57" s="132"/>
      <c r="CH57" s="132"/>
    </row>
    <row r="58" spans="2:86" ht="18" customHeight="1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572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0" t="s">
        <v>543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50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>
      <c r="B61" s="348" t="s">
        <v>485</v>
      </c>
      <c r="C61" s="348"/>
      <c r="D61" s="348"/>
      <c r="E61" s="348"/>
      <c r="F61" s="348"/>
      <c r="G61" s="348"/>
      <c r="H61" s="348"/>
      <c r="J61" s="4"/>
      <c r="K61" s="3" t="s">
        <v>560</v>
      </c>
      <c r="L61" s="1" t="s">
        <v>554</v>
      </c>
      <c r="M61" s="1" t="s">
        <v>557</v>
      </c>
      <c r="N61" s="1" t="s">
        <v>85</v>
      </c>
      <c r="O61" s="1" t="s">
        <v>658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556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5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>
      <c r="B62" s="349"/>
      <c r="C62" s="349"/>
      <c r="D62" s="349"/>
      <c r="E62" s="349"/>
      <c r="F62" s="349"/>
      <c r="G62" s="349"/>
      <c r="H62" s="349"/>
      <c r="J62" s="4" t="s">
        <v>41</v>
      </c>
      <c r="K62" s="3" t="s">
        <v>559</v>
      </c>
      <c r="L62" s="1" t="s">
        <v>88</v>
      </c>
      <c r="M62" s="1" t="s">
        <v>90</v>
      </c>
      <c r="N62" s="1" t="s">
        <v>86</v>
      </c>
      <c r="O62" s="1" t="s">
        <v>645</v>
      </c>
      <c r="P62" s="1" t="s">
        <v>646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572</v>
      </c>
      <c r="J63" s="62" t="s">
        <v>488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554</v>
      </c>
      <c r="AE65" s="1" t="s">
        <v>555</v>
      </c>
      <c r="AF65" s="1" t="s">
        <v>557</v>
      </c>
      <c r="AG65" s="1" t="s">
        <v>85</v>
      </c>
      <c r="AH65" s="1" t="s">
        <v>658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0" t="s">
        <v>513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524</v>
      </c>
      <c r="U72" s="50">
        <f>K78</f>
        <v>0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>
      <c r="E74" s="348" t="s">
        <v>518</v>
      </c>
      <c r="F74" s="348"/>
      <c r="G74" s="348"/>
      <c r="H74" s="348"/>
      <c r="K74" s="1" t="s">
        <v>554</v>
      </c>
      <c r="L74" s="1" t="s">
        <v>555</v>
      </c>
      <c r="M74" s="1" t="s">
        <v>557</v>
      </c>
      <c r="N74" s="1" t="s">
        <v>85</v>
      </c>
      <c r="O74" s="1" t="s">
        <v>658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>
      <c r="E75" s="348"/>
      <c r="F75" s="348"/>
      <c r="G75" s="348"/>
      <c r="H75" s="348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>
      <c r="I76" s="350" t="s">
        <v>524</v>
      </c>
      <c r="J76" s="1" t="s">
        <v>303</v>
      </c>
      <c r="K76" s="17">
        <f>M76*N76</f>
        <v>7.025275765312835</v>
      </c>
      <c r="L76" s="17" t="e">
        <f>K76/K78</f>
        <v>#DIV/0!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>
      <c r="I77" s="350"/>
      <c r="J77" s="60" t="s">
        <v>67</v>
      </c>
      <c r="K77" s="3">
        <f>M77*N77</f>
        <v>23.125151795356231</v>
      </c>
      <c r="L77" s="3" t="e">
        <f>K77/K78</f>
        <v>#DIV/0!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>
      <c r="K78" s="17"/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>
      <c r="K79" s="1"/>
      <c r="L79" s="1"/>
      <c r="M79" s="3" t="s">
        <v>91</v>
      </c>
      <c r="N79" s="3" t="s">
        <v>87</v>
      </c>
      <c r="O79" s="1" t="s">
        <v>659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515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8" t="s">
        <v>514</v>
      </c>
      <c r="DU103" s="348"/>
      <c r="DV103" s="348"/>
      <c r="DW103" s="348"/>
      <c r="DX103" s="348"/>
      <c r="DY103" s="348"/>
      <c r="EA103" s="4"/>
      <c r="EB103" s="3" t="s">
        <v>560</v>
      </c>
      <c r="EC103" s="1" t="s">
        <v>554</v>
      </c>
      <c r="ED103" s="3" t="s">
        <v>5</v>
      </c>
      <c r="EE103" s="1" t="s">
        <v>85</v>
      </c>
      <c r="EF103" s="1" t="s">
        <v>658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9"/>
      <c r="DU104" s="349"/>
      <c r="DV104" s="349"/>
      <c r="DW104" s="349"/>
      <c r="DX104" s="349"/>
      <c r="DY104" s="349"/>
      <c r="EA104" s="4" t="s">
        <v>41</v>
      </c>
      <c r="EB104" s="3" t="s">
        <v>559</v>
      </c>
      <c r="EC104" s="1" t="s">
        <v>88</v>
      </c>
      <c r="ED104" s="1" t="s">
        <v>90</v>
      </c>
      <c r="EE104" s="1" t="s">
        <v>86</v>
      </c>
      <c r="EF104" s="1" t="s">
        <v>645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563</v>
      </c>
      <c r="FL104" s="50">
        <f>FB109</f>
        <v>229.94813284002646</v>
      </c>
      <c r="FM104" s="48">
        <f>FM109</f>
        <v>67875.356217847453</v>
      </c>
    </row>
    <row r="105" spans="16:169" ht="18.5" customHeight="1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515</v>
      </c>
      <c r="EA105" s="96" t="s">
        <v>506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555</v>
      </c>
      <c r="FD106" s="1" t="s">
        <v>5</v>
      </c>
      <c r="FE106" s="1" t="s">
        <v>85</v>
      </c>
      <c r="FF106" s="1" t="s">
        <v>658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556</v>
      </c>
      <c r="FM106" s="1" t="s">
        <v>50</v>
      </c>
    </row>
    <row r="107" spans="16:169" ht="19.25" customHeight="1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558</v>
      </c>
      <c r="FD107" s="2" t="s">
        <v>12</v>
      </c>
      <c r="FE107" s="2" t="s">
        <v>13</v>
      </c>
      <c r="FF107" s="1" t="s">
        <v>645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3" t="s">
        <v>434</v>
      </c>
      <c r="AP110" s="376"/>
      <c r="AQ110" s="376"/>
      <c r="AR110" s="376"/>
      <c r="AS110" s="376"/>
      <c r="AT110" s="376"/>
      <c r="AU110" s="37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6" t="s">
        <v>438</v>
      </c>
      <c r="BH110" s="376"/>
      <c r="BI110" s="376"/>
      <c r="BJ110" s="376"/>
      <c r="BK110" s="376"/>
      <c r="BL110" s="376"/>
      <c r="BM110" s="37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659</v>
      </c>
      <c r="FG110" s="4"/>
      <c r="FH110" s="4"/>
      <c r="FL110" s="3" t="s">
        <v>96</v>
      </c>
      <c r="FM110" s="1" t="s">
        <v>93</v>
      </c>
    </row>
    <row r="111" spans="16:169" ht="20" customHeight="1" thickBot="1">
      <c r="P111" s="381" t="s">
        <v>364</v>
      </c>
      <c r="Q111" s="38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>
      <c r="P112" s="382"/>
      <c r="Q112" s="38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>
      <c r="P113" s="365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>
      <c r="K114" s="3">
        <f>G76</f>
        <v>0</v>
      </c>
      <c r="P114" s="366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473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76" t="s">
        <v>440</v>
      </c>
      <c r="EQ114" s="376"/>
      <c r="ER114" s="376"/>
      <c r="ES114" s="376"/>
      <c r="ET114" s="376"/>
      <c r="EU114" s="376"/>
    </row>
    <row r="115" spans="5:176" ht="16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>
      <c r="N116" s="6"/>
      <c r="O116" s="6"/>
      <c r="P116" s="139" t="s">
        <v>632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554</v>
      </c>
      <c r="CM116" s="1" t="s">
        <v>555</v>
      </c>
      <c r="CN116" s="1" t="s">
        <v>557</v>
      </c>
      <c r="CO116" s="1" t="s">
        <v>85</v>
      </c>
      <c r="CP116" s="1" t="s">
        <v>658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556</v>
      </c>
      <c r="CW116" s="1" t="s">
        <v>50</v>
      </c>
      <c r="CX116" s="6"/>
      <c r="CY116" s="4"/>
      <c r="DB116" s="4"/>
      <c r="DC116" s="4"/>
      <c r="DT116" s="348" t="s">
        <v>472</v>
      </c>
      <c r="DU116" s="348"/>
      <c r="DV116" s="348"/>
      <c r="DW116" s="348"/>
      <c r="DX116" s="348"/>
      <c r="DY116" s="348"/>
      <c r="EA116" s="4"/>
      <c r="EB116" s="3" t="s">
        <v>560</v>
      </c>
      <c r="EC116" s="1" t="s">
        <v>554</v>
      </c>
      <c r="ED116" s="3" t="s">
        <v>5</v>
      </c>
      <c r="EE116" s="1" t="s">
        <v>85</v>
      </c>
      <c r="EF116" s="1" t="s">
        <v>658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556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9"/>
      <c r="DU117" s="349"/>
      <c r="DV117" s="349"/>
      <c r="DW117" s="349"/>
      <c r="DX117" s="349"/>
      <c r="DY117" s="349"/>
      <c r="EA117" s="4" t="s">
        <v>41</v>
      </c>
      <c r="EB117" s="3" t="s">
        <v>559</v>
      </c>
      <c r="EC117" s="1" t="s">
        <v>88</v>
      </c>
      <c r="ED117" s="1" t="s">
        <v>90</v>
      </c>
      <c r="EE117" s="1" t="s">
        <v>86</v>
      </c>
      <c r="EF117" s="1" t="s">
        <v>645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473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659</v>
      </c>
      <c r="EG120" s="4"/>
      <c r="EH120" s="4"/>
      <c r="EL120" s="3" t="s">
        <v>96</v>
      </c>
      <c r="EM120" s="1" t="s">
        <v>93</v>
      </c>
    </row>
    <row r="121" spans="5:176" ht="19.25" customHeight="1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529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>
      <c r="E126" s="364" t="s">
        <v>517</v>
      </c>
      <c r="F126" s="364"/>
      <c r="G126" s="364"/>
      <c r="H126" s="364"/>
      <c r="J126" s="6"/>
      <c r="K126" s="121"/>
      <c r="L126" s="6"/>
      <c r="M126" s="6"/>
      <c r="N126" s="6"/>
      <c r="O126" s="6"/>
      <c r="P126" s="6"/>
      <c r="Q126" s="6" t="s">
        <v>422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7" t="s">
        <v>413</v>
      </c>
      <c r="X126" s="377"/>
      <c r="Y126" s="377"/>
      <c r="Z126" s="377"/>
      <c r="AA126" s="37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7" t="s">
        <v>540</v>
      </c>
      <c r="AR126" s="377"/>
      <c r="AS126" s="377"/>
      <c r="AT126" s="377"/>
      <c r="AU126" s="377"/>
      <c r="AV126" s="6"/>
      <c r="AW126" s="6"/>
      <c r="AX126" s="121"/>
      <c r="AY126" s="6"/>
      <c r="AZ126" s="6"/>
      <c r="BA126" s="6"/>
      <c r="BB126" s="6"/>
      <c r="BC126" s="6"/>
      <c r="BD126" s="6" t="s">
        <v>541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7" t="s">
        <v>436</v>
      </c>
      <c r="BK126" s="377"/>
      <c r="BL126" s="377"/>
      <c r="BM126" s="377"/>
      <c r="BN126" s="377"/>
      <c r="BO126" s="6"/>
      <c r="BP126" s="6"/>
      <c r="BQ126" s="121"/>
      <c r="BR126" s="6"/>
      <c r="BS126" s="6"/>
      <c r="BT126" s="6"/>
      <c r="BU126" s="6"/>
      <c r="BV126" s="6"/>
      <c r="BW126" s="6" t="s">
        <v>481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7" t="s">
        <v>437</v>
      </c>
      <c r="CD126" s="377"/>
      <c r="CE126" s="377"/>
      <c r="CF126" s="377"/>
      <c r="CG126" s="37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60" t="s">
        <v>81</v>
      </c>
      <c r="DT126" s="360"/>
      <c r="DU126" s="360"/>
      <c r="DV126" s="360"/>
      <c r="DW126" s="360"/>
      <c r="DX126" s="360"/>
      <c r="DY126" s="360"/>
      <c r="EG126" s="3" t="s">
        <v>550</v>
      </c>
      <c r="EL126" s="171">
        <f>EB134</f>
        <v>1309.8157778632656</v>
      </c>
      <c r="EM126" s="172">
        <f>EM134</f>
        <v>7072531.8830895294</v>
      </c>
      <c r="EN126" s="347" t="s">
        <v>424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3" t="s">
        <v>551</v>
      </c>
      <c r="FL126" s="50">
        <f>FB131</f>
        <v>616.23583583508366</v>
      </c>
      <c r="FM126" s="48">
        <f>FM131</f>
        <v>4157895.2984628798</v>
      </c>
      <c r="FN126" s="347" t="s">
        <v>418</v>
      </c>
      <c r="FO126" s="347"/>
      <c r="FP126" s="347"/>
      <c r="FQ126" s="347"/>
      <c r="FR126" s="347"/>
      <c r="FS126" s="347"/>
      <c r="FT126" s="347"/>
    </row>
    <row r="127" spans="5:176" ht="16.25" customHeight="1" thickBot="1">
      <c r="E127" s="364"/>
      <c r="F127" s="364"/>
      <c r="G127" s="364"/>
      <c r="H127" s="36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8"/>
      <c r="X127" s="378"/>
      <c r="Y127" s="378"/>
      <c r="Z127" s="378"/>
      <c r="AA127" s="378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7"/>
      <c r="AR127" s="377"/>
      <c r="AS127" s="377"/>
      <c r="AT127" s="377"/>
      <c r="AU127" s="37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7"/>
      <c r="BK127" s="377"/>
      <c r="BL127" s="377"/>
      <c r="BM127" s="377"/>
      <c r="BN127" s="37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7"/>
      <c r="CD127" s="377"/>
      <c r="CE127" s="377"/>
      <c r="CF127" s="377"/>
      <c r="CG127" s="37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60"/>
      <c r="DT127" s="360"/>
      <c r="DU127" s="360"/>
      <c r="DV127" s="360"/>
      <c r="DW127" s="360"/>
      <c r="DX127" s="360"/>
      <c r="DY127" s="360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75" customHeight="1" thickBot="1">
      <c r="J128" s="4"/>
      <c r="K128" s="1" t="s">
        <v>554</v>
      </c>
      <c r="L128" s="1" t="s">
        <v>555</v>
      </c>
      <c r="M128" s="1" t="s">
        <v>557</v>
      </c>
      <c r="N128" s="1" t="s">
        <v>85</v>
      </c>
      <c r="O128" s="1" t="s">
        <v>658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556</v>
      </c>
      <c r="V128" s="1" t="s">
        <v>50</v>
      </c>
      <c r="W128" s="22" t="s">
        <v>427</v>
      </c>
      <c r="X128" s="100" t="s">
        <v>475</v>
      </c>
      <c r="Y128" s="135" t="s">
        <v>348</v>
      </c>
      <c r="Z128" s="365" t="s">
        <v>344</v>
      </c>
      <c r="AA128" s="138" t="s">
        <v>317</v>
      </c>
      <c r="AB128" s="1"/>
      <c r="AC128" s="6"/>
      <c r="AD128" s="4"/>
      <c r="AE128" s="1" t="s">
        <v>554</v>
      </c>
      <c r="AF128" s="1" t="s">
        <v>555</v>
      </c>
      <c r="AG128" s="1" t="s">
        <v>557</v>
      </c>
      <c r="AH128" s="1" t="s">
        <v>85</v>
      </c>
      <c r="AI128" s="1" t="s">
        <v>658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556</v>
      </c>
      <c r="AP128" s="1" t="s">
        <v>50</v>
      </c>
      <c r="AQ128" s="22" t="s">
        <v>427</v>
      </c>
      <c r="AR128" s="100" t="s">
        <v>475</v>
      </c>
      <c r="AS128" s="135" t="s">
        <v>348</v>
      </c>
      <c r="AT128" s="365" t="s">
        <v>344</v>
      </c>
      <c r="AU128" s="138" t="s">
        <v>317</v>
      </c>
      <c r="AV128" s="1"/>
      <c r="AW128" s="4"/>
      <c r="AX128" s="1" t="s">
        <v>554</v>
      </c>
      <c r="AY128" s="1" t="s">
        <v>555</v>
      </c>
      <c r="AZ128" s="1" t="s">
        <v>557</v>
      </c>
      <c r="BA128" s="1" t="s">
        <v>85</v>
      </c>
      <c r="BB128" s="1" t="s">
        <v>658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556</v>
      </c>
      <c r="BI128" s="1" t="s">
        <v>50</v>
      </c>
      <c r="BJ128" s="22" t="s">
        <v>427</v>
      </c>
      <c r="BK128" s="100" t="s">
        <v>475</v>
      </c>
      <c r="BL128" s="135" t="s">
        <v>348</v>
      </c>
      <c r="BM128" s="365" t="s">
        <v>344</v>
      </c>
      <c r="BN128" s="138" t="s">
        <v>317</v>
      </c>
      <c r="BO128" s="1"/>
      <c r="BP128" s="4"/>
      <c r="BQ128" s="1" t="s">
        <v>554</v>
      </c>
      <c r="BR128" s="1" t="s">
        <v>555</v>
      </c>
      <c r="BS128" s="1" t="s">
        <v>557</v>
      </c>
      <c r="BT128" s="1" t="s">
        <v>85</v>
      </c>
      <c r="BU128" s="1" t="s">
        <v>658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556</v>
      </c>
      <c r="CB128" s="1" t="s">
        <v>50</v>
      </c>
      <c r="CC128" s="22" t="s">
        <v>427</v>
      </c>
      <c r="CD128" s="100" t="s">
        <v>475</v>
      </c>
      <c r="CE128" s="135" t="s">
        <v>348</v>
      </c>
      <c r="CF128" s="365" t="s">
        <v>344</v>
      </c>
      <c r="CG128" s="138" t="s">
        <v>317</v>
      </c>
      <c r="CH128" s="113"/>
      <c r="CI128" s="113"/>
      <c r="CJ128" s="113"/>
      <c r="CK128" s="4"/>
      <c r="CL128" s="1" t="s">
        <v>554</v>
      </c>
      <c r="CM128" s="1" t="s">
        <v>555</v>
      </c>
      <c r="CN128" s="1" t="s">
        <v>557</v>
      </c>
      <c r="CO128" s="1" t="s">
        <v>85</v>
      </c>
      <c r="CP128" s="1" t="s">
        <v>658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556</v>
      </c>
      <c r="CW128" s="1" t="s">
        <v>50</v>
      </c>
      <c r="DS128" s="360"/>
      <c r="DT128" s="360"/>
      <c r="DU128" s="360"/>
      <c r="DV128" s="360"/>
      <c r="DW128" s="360"/>
      <c r="DX128" s="360"/>
      <c r="DY128" s="360"/>
      <c r="EA128" s="4"/>
      <c r="EB128" s="1" t="s">
        <v>554</v>
      </c>
      <c r="EC128" s="1" t="s">
        <v>555</v>
      </c>
      <c r="ED128" s="1" t="s">
        <v>557</v>
      </c>
      <c r="EE128" s="1" t="s">
        <v>85</v>
      </c>
      <c r="EF128" s="1" t="s">
        <v>658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556</v>
      </c>
      <c r="EM128" s="1" t="s">
        <v>50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554</v>
      </c>
      <c r="FC128" s="1" t="s">
        <v>555</v>
      </c>
      <c r="FD128" s="1" t="s">
        <v>557</v>
      </c>
      <c r="FE128" s="1" t="s">
        <v>85</v>
      </c>
      <c r="FF128" s="1" t="s">
        <v>658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556</v>
      </c>
      <c r="FM128" s="1" t="s">
        <v>50</v>
      </c>
      <c r="FN128" s="347"/>
      <c r="FO128" s="347"/>
      <c r="FP128" s="347"/>
      <c r="FQ128" s="347"/>
      <c r="FR128" s="347"/>
      <c r="FS128" s="347"/>
      <c r="FT128" s="347"/>
    </row>
    <row r="129" spans="2:171" ht="19.25" customHeight="1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6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6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6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6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427</v>
      </c>
      <c r="DU129" s="22" t="s">
        <v>475</v>
      </c>
      <c r="DV129" s="159" t="s">
        <v>337</v>
      </c>
      <c r="DW129" s="361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558</v>
      </c>
      <c r="ED129" s="1" t="s">
        <v>90</v>
      </c>
      <c r="EE129" s="1" t="s">
        <v>86</v>
      </c>
      <c r="EF129" s="1" t="s">
        <v>645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427</v>
      </c>
      <c r="EP129" s="22" t="s">
        <v>475</v>
      </c>
      <c r="EQ129" s="190" t="s">
        <v>337</v>
      </c>
      <c r="ER129" s="351" t="s">
        <v>344</v>
      </c>
      <c r="ES129" s="102" t="s">
        <v>317</v>
      </c>
      <c r="FA129" s="2" t="s">
        <v>41</v>
      </c>
      <c r="FB129" s="1" t="s">
        <v>88</v>
      </c>
      <c r="FC129" s="1" t="s">
        <v>558</v>
      </c>
      <c r="FD129" s="1" t="s">
        <v>90</v>
      </c>
      <c r="FE129" s="1" t="s">
        <v>86</v>
      </c>
      <c r="FF129" s="1" t="s">
        <v>645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>
      <c r="I130" s="353" t="s">
        <v>422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53" t="s">
        <v>516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53" t="s">
        <v>541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53" t="s">
        <v>528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62"/>
      <c r="DX130" s="136" t="s">
        <v>82</v>
      </c>
      <c r="DY130" s="4"/>
      <c r="DZ130" s="353" t="s">
        <v>550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52"/>
      <c r="ES130" s="136" t="s">
        <v>82</v>
      </c>
      <c r="EZ130" s="220" t="s">
        <v>551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>
      <c r="I131" s="353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632</v>
      </c>
      <c r="AA131" s="136" t="e">
        <f>($AP$126+AP142)/(SUM(V126,V140,V163,V151))</f>
        <v>#REF!</v>
      </c>
      <c r="AB131" s="4"/>
      <c r="AC131" s="353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632</v>
      </c>
      <c r="AU131" s="136">
        <f>BI126/(AU113+AP126)</f>
        <v>0.89989464623142024</v>
      </c>
      <c r="AV131" s="353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632</v>
      </c>
      <c r="BN131" s="136">
        <f>CB126/(BM113+BI126)</f>
        <v>0.99885105550639652</v>
      </c>
      <c r="BO131" s="353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-318343.26872358844</v>
      </c>
      <c r="DV131" s="141">
        <f>EL126-CV126-CV206-BZ42</f>
        <v>-4.8705659137096973</v>
      </c>
      <c r="DW131" s="139" t="s">
        <v>341</v>
      </c>
      <c r="DX131" s="103" t="s">
        <v>98</v>
      </c>
      <c r="DY131" s="4"/>
      <c r="DZ131" s="353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468373.15854303847</v>
      </c>
      <c r="EP131" s="279">
        <f>SUM(EM101,EM114,EM126,EM140,EM152)-(FM126+FM141+FM104)</f>
        <v>7757304.5793987475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404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404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404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404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632</v>
      </c>
      <c r="DX132" s="103">
        <f>EM126/(CW126+CW206+CA42)</f>
        <v>1.0471327182137737</v>
      </c>
      <c r="DY132" s="4"/>
      <c r="DZ132" s="353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632</v>
      </c>
      <c r="ES132" s="103">
        <f>SUM(FM104,FM126,FM141)/SUM(EU117,EM101,EM114,EM126,EM140,EM152)</f>
        <v>0.36423244157899365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659</v>
      </c>
      <c r="FG132" s="4"/>
      <c r="FH132" s="4"/>
      <c r="FL132" s="3" t="s">
        <v>96</v>
      </c>
      <c r="FM132" s="1" t="s">
        <v>93</v>
      </c>
    </row>
    <row r="133" spans="2:171" ht="19" thickBot="1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404</v>
      </c>
      <c r="DX133" s="99">
        <f>EM130/(CW126+CW206+CA42)</f>
        <v>1.1301941801747158E-2</v>
      </c>
      <c r="DY133" s="4"/>
      <c r="DZ133" s="353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404</v>
      </c>
      <c r="ES133" s="99">
        <f>FM130/SUM(EU117,EM152,EM140,EM126,EM114,EM101)</f>
        <v>0.32735678235350096</v>
      </c>
      <c r="EZ133" s="4"/>
      <c r="FA133" s="1"/>
      <c r="FB133" s="1"/>
      <c r="FE133" s="4"/>
      <c r="FF133" s="4"/>
      <c r="FG133" s="4"/>
      <c r="FL133" s="1"/>
    </row>
    <row r="134" spans="2:171" ht="16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583</v>
      </c>
      <c r="AS135" s="1" t="s">
        <v>583</v>
      </c>
      <c r="AT135" s="1" t="s">
        <v>583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583</v>
      </c>
      <c r="BL135" s="1" t="s">
        <v>583</v>
      </c>
      <c r="BM135" s="1" t="s">
        <v>583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659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>
      <c r="T136" s="4"/>
      <c r="U136" s="4"/>
      <c r="V136" s="4"/>
      <c r="W136" s="4"/>
      <c r="X136" s="4"/>
      <c r="Y136" s="1" t="s">
        <v>583</v>
      </c>
      <c r="Z136" s="1" t="s">
        <v>583</v>
      </c>
      <c r="AA136" s="1" t="s">
        <v>583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582</v>
      </c>
      <c r="AS136" s="3" t="s">
        <v>582</v>
      </c>
      <c r="AT136" s="3" t="s">
        <v>582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582</v>
      </c>
      <c r="BL136" s="3" t="s">
        <v>582</v>
      </c>
      <c r="BM136" s="3" t="s">
        <v>582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581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>
      <c r="B137" s="348" t="s">
        <v>485</v>
      </c>
      <c r="C137" s="348"/>
      <c r="D137" s="348"/>
      <c r="E137" s="348"/>
      <c r="F137" s="348"/>
      <c r="G137" s="348"/>
      <c r="H137" s="348"/>
      <c r="T137" s="4"/>
      <c r="U137" s="4"/>
      <c r="V137" s="4"/>
      <c r="W137" s="4"/>
      <c r="X137" s="4" t="s">
        <v>60</v>
      </c>
      <c r="Y137" s="3" t="s">
        <v>582</v>
      </c>
      <c r="Z137" s="3" t="s">
        <v>582</v>
      </c>
      <c r="AA137" s="3" t="s">
        <v>582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583</v>
      </c>
      <c r="CF137" s="1" t="s">
        <v>583</v>
      </c>
      <c r="CG137" s="1" t="s">
        <v>583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>
      <c r="B138" s="349"/>
      <c r="C138" s="349"/>
      <c r="D138" s="349"/>
      <c r="E138" s="349"/>
      <c r="F138" s="349"/>
      <c r="G138" s="349"/>
      <c r="H138" s="34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582</v>
      </c>
      <c r="CF138" s="3" t="s">
        <v>582</v>
      </c>
      <c r="CG138" s="3" t="s">
        <v>582</v>
      </c>
      <c r="CH138" s="1"/>
      <c r="CI138" s="1"/>
      <c r="CJ138" s="1"/>
      <c r="CK138" s="1"/>
      <c r="CL138" s="1"/>
      <c r="CO138" s="4"/>
      <c r="CP138" s="4"/>
      <c r="CQ138" s="4"/>
      <c r="CR138" s="3" t="s">
        <v>530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583</v>
      </c>
      <c r="ER138" s="1" t="s">
        <v>583</v>
      </c>
      <c r="ES138" s="1" t="s">
        <v>583</v>
      </c>
      <c r="EZ138" s="1"/>
      <c r="FA138" s="1"/>
      <c r="FB138" s="1"/>
      <c r="FE138" s="4"/>
      <c r="FF138" s="4"/>
      <c r="FG138" s="4"/>
      <c r="FL138" s="1"/>
    </row>
    <row r="139" spans="2:171" ht="19" thickBot="1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582</v>
      </c>
      <c r="ER139" s="3" t="s">
        <v>582</v>
      </c>
      <c r="ES139" s="3" t="s">
        <v>582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572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554</v>
      </c>
      <c r="CM140" s="1" t="s">
        <v>555</v>
      </c>
      <c r="CN140" s="1" t="s">
        <v>557</v>
      </c>
      <c r="CO140" s="1" t="s">
        <v>85</v>
      </c>
      <c r="CP140" s="1" t="s">
        <v>658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556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524</v>
      </c>
      <c r="EI140" s="165"/>
      <c r="EJ140" s="165"/>
      <c r="EK140" s="165"/>
      <c r="EL140" s="171">
        <f>EB146</f>
        <v>2452.6764338424537</v>
      </c>
      <c r="EM140" s="172">
        <f>EM146</f>
        <v>20413.568921010981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552</v>
      </c>
      <c r="FL141" s="50">
        <f>FB148</f>
        <v>2998.3140163435951</v>
      </c>
      <c r="FM141" s="48">
        <f>FM148</f>
        <v>400497.80232519103</v>
      </c>
    </row>
    <row r="142" spans="2:171" ht="19" thickBot="1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560</v>
      </c>
      <c r="L142" s="1" t="s">
        <v>554</v>
      </c>
      <c r="M142" s="1" t="s">
        <v>557</v>
      </c>
      <c r="N142" s="1" t="s">
        <v>85</v>
      </c>
      <c r="O142" s="1" t="s">
        <v>658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556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8" t="s">
        <v>518</v>
      </c>
      <c r="BL142" s="348"/>
      <c r="BM142" s="348"/>
      <c r="BN142" s="348"/>
      <c r="BP142" s="4"/>
      <c r="BQ142" s="1" t="s">
        <v>554</v>
      </c>
      <c r="BR142" s="1" t="s">
        <v>555</v>
      </c>
      <c r="BS142" s="1" t="s">
        <v>557</v>
      </c>
      <c r="BT142" s="1" t="s">
        <v>85</v>
      </c>
      <c r="BU142" s="1" t="s">
        <v>658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0" t="s">
        <v>530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8" t="s">
        <v>518</v>
      </c>
      <c r="DW142" s="348"/>
      <c r="DX142" s="348"/>
      <c r="DY142" s="348"/>
      <c r="EA142" s="4"/>
      <c r="EB142" s="1" t="s">
        <v>554</v>
      </c>
      <c r="EC142" s="1" t="s">
        <v>555</v>
      </c>
      <c r="ED142" s="1" t="s">
        <v>557</v>
      </c>
      <c r="EE142" s="1" t="s">
        <v>85</v>
      </c>
      <c r="EF142" s="1" t="s">
        <v>658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556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559</v>
      </c>
      <c r="L143" s="1" t="s">
        <v>88</v>
      </c>
      <c r="M143" s="1" t="s">
        <v>90</v>
      </c>
      <c r="N143" s="1" t="s">
        <v>86</v>
      </c>
      <c r="O143" s="1" t="s">
        <v>645</v>
      </c>
      <c r="P143" s="1" t="s">
        <v>645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8"/>
      <c r="BL143" s="348"/>
      <c r="BM143" s="348"/>
      <c r="BN143" s="348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0"/>
      <c r="CK143" s="3" t="s">
        <v>585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8"/>
      <c r="DW143" s="348"/>
      <c r="DX143" s="348"/>
      <c r="DY143" s="348"/>
      <c r="EA143" s="94" t="s">
        <v>41</v>
      </c>
      <c r="EB143" s="184" t="s">
        <v>88</v>
      </c>
      <c r="EC143" s="1" t="s">
        <v>558</v>
      </c>
      <c r="ED143" s="185" t="s">
        <v>90</v>
      </c>
      <c r="EE143" s="185" t="s">
        <v>86</v>
      </c>
      <c r="EF143" s="1" t="s">
        <v>645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20465.699994952432</v>
      </c>
      <c r="ER143" s="83">
        <f>FE145</f>
        <v>20465.699994952432</v>
      </c>
      <c r="ES143" s="3">
        <f t="shared" si="59"/>
        <v>0</v>
      </c>
      <c r="FA143" s="1"/>
      <c r="FB143" s="1" t="s">
        <v>554</v>
      </c>
      <c r="FC143" s="1" t="s">
        <v>555</v>
      </c>
      <c r="FD143" s="1" t="s">
        <v>557</v>
      </c>
      <c r="FE143" s="1" t="s">
        <v>85</v>
      </c>
      <c r="FF143" s="1" t="s">
        <v>658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556</v>
      </c>
      <c r="FM143" s="1" t="s">
        <v>50</v>
      </c>
    </row>
    <row r="144" spans="2:171" ht="18" customHeight="1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572</v>
      </c>
      <c r="J144" s="62" t="s">
        <v>488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554</v>
      </c>
      <c r="AF144" s="1" t="s">
        <v>555</v>
      </c>
      <c r="AG144" s="1" t="s">
        <v>557</v>
      </c>
      <c r="AH144" s="1" t="s">
        <v>85</v>
      </c>
      <c r="AI144" s="1" t="s">
        <v>658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0" t="s">
        <v>524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0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0" t="s">
        <v>524</v>
      </c>
      <c r="EA144" s="1" t="s">
        <v>303</v>
      </c>
      <c r="EB144" s="176">
        <f>O2_BF_in+O2_added_BF+((((EE118*O2_Naturalgas_molcoeff)+(EE105*O2_Oil_molcoeff)))*ED144)</f>
        <v>652.59260680440946</v>
      </c>
      <c r="EC144" s="173">
        <f>EB144/EB146</f>
        <v>0.26607366458935383</v>
      </c>
      <c r="ED144" s="259">
        <f>MW_O2</f>
        <v>3.1998800000000001E-2</v>
      </c>
      <c r="EE144" s="165">
        <f>EB144/ED144</f>
        <v>20394.283748278354</v>
      </c>
      <c r="EF144" s="27">
        <f>h_O2</f>
        <v>0</v>
      </c>
      <c r="EG144" s="165">
        <f>b_ch_O2</f>
        <v>4</v>
      </c>
      <c r="EH144" s="165">
        <f>EE144/$EE$146</f>
        <v>0.24091894081091608</v>
      </c>
      <c r="EI144" s="177">
        <f>LN(EH144)</f>
        <v>-1.4232947472511304</v>
      </c>
      <c r="EJ144" s="177">
        <f>RT0*EI144</f>
        <v>-3.2322583911996268</v>
      </c>
      <c r="EK144" s="177">
        <f>EG144+EJ144</f>
        <v>0.76774160880037323</v>
      </c>
      <c r="EL144" s="177">
        <f>EK144*EH144</f>
        <v>0.1849634952086546</v>
      </c>
      <c r="EM144" s="177">
        <f>$EE$146*EL144</f>
        <v>15657.540215234529</v>
      </c>
      <c r="EP144" s="3" t="s">
        <v>29</v>
      </c>
      <c r="EQ144" s="83">
        <f>(3*EE130)+(2*EE131)+EE132+(2*EE144)+(2*EE158)</f>
        <v>63351.870315177293</v>
      </c>
      <c r="ER144" s="83">
        <f>FE146+(2*FE145)+(3*FE108)</f>
        <v>63351.870315177308</v>
      </c>
      <c r="ES144" s="3">
        <f t="shared" si="59"/>
        <v>0</v>
      </c>
      <c r="FA144" s="2" t="s">
        <v>41</v>
      </c>
      <c r="FB144" s="1" t="s">
        <v>88</v>
      </c>
      <c r="FC144" s="1" t="s">
        <v>558</v>
      </c>
      <c r="FD144" s="1" t="s">
        <v>90</v>
      </c>
      <c r="FE144" s="1" t="s">
        <v>86</v>
      </c>
      <c r="FF144" s="1" t="s">
        <v>645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0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0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0"/>
      <c r="EA145" s="60" t="s">
        <v>67</v>
      </c>
      <c r="EB145" s="186">
        <f>N2_BF_out+N2_added_BF+(((EE105+N2_molcoeff)+(EE118*N2_molcoeff))*ED145)</f>
        <v>1800.0838270380441</v>
      </c>
      <c r="EC145" s="186">
        <f>EB145/EB146</f>
        <v>0.73392633541064611</v>
      </c>
      <c r="ED145" s="265">
        <f>MW_N2</f>
        <v>2.801348E-2</v>
      </c>
      <c r="EE145" s="187">
        <f>EB145/ED145</f>
        <v>64257.772580844794</v>
      </c>
      <c r="EF145" s="6">
        <f>h_N2</f>
        <v>0</v>
      </c>
      <c r="EG145" s="187">
        <f>b_ch_N2</f>
        <v>0.7</v>
      </c>
      <c r="EH145" s="187">
        <f>EE145/$EE$146</f>
        <v>0.75908105918908386</v>
      </c>
      <c r="EI145" s="185">
        <f>LN(EH145)</f>
        <v>-0.27564670993836654</v>
      </c>
      <c r="EJ145" s="185">
        <f>RT0*EI145</f>
        <v>-0.62598516078669331</v>
      </c>
      <c r="EK145" s="185">
        <f>EG145+EJ145</f>
        <v>7.4014839213306649E-2</v>
      </c>
      <c r="EL145" s="185">
        <f>EK145*EH145</f>
        <v>5.618326254574655E-2</v>
      </c>
      <c r="EM145" s="185">
        <f>$EE$146*EL145</f>
        <v>4756.0287057764517</v>
      </c>
      <c r="EP145" s="3" t="s">
        <v>182</v>
      </c>
      <c r="EQ145" s="83">
        <f>(20*EE105)+(4*EE118)+(2*EE156)+(4*EE157)</f>
        <v>32963.628274433308</v>
      </c>
      <c r="ER145" s="83">
        <f>2*FE146</f>
        <v>32963.628274433308</v>
      </c>
      <c r="ES145" s="3">
        <f t="shared" si="59"/>
        <v>0</v>
      </c>
      <c r="EZ145" s="350" t="s">
        <v>552</v>
      </c>
      <c r="FA145" s="3" t="s">
        <v>23</v>
      </c>
      <c r="FB145" s="8">
        <f>CO2_BF_Out+CO2_out_BF+(((EE105*Co2_Oil_molcoef)+(EE118*Co2_Naturalgas_molcoeff))*FD145)</f>
        <v>900.69136363785765</v>
      </c>
      <c r="FC145" s="8">
        <f>BF_CO2Waste/$FB$148</f>
        <v>0.30039927730326227</v>
      </c>
      <c r="FD145" s="8">
        <f>MW_CO2</f>
        <v>4.4009800000000002E-2</v>
      </c>
      <c r="FE145" s="8">
        <f>FB145/FD145</f>
        <v>20465.699994952432</v>
      </c>
      <c r="FF145" s="8">
        <f>h_CO2</f>
        <v>-8941.1903712354979</v>
      </c>
      <c r="FG145" s="8">
        <f>b_ch_CO2</f>
        <v>19.900000000000034</v>
      </c>
      <c r="FH145" s="8">
        <f>FE145/$FE$148</f>
        <v>0.20217586442353683</v>
      </c>
      <c r="FI145" s="8">
        <f>LN(FH145)</f>
        <v>-1.5986173443890783</v>
      </c>
      <c r="FJ145" s="8">
        <f>RT0*FI145</f>
        <v>-3.6304105918316552</v>
      </c>
      <c r="FK145" s="8">
        <f>FG145+FJ145</f>
        <v>16.269589408168379</v>
      </c>
      <c r="FL145" s="8">
        <f>FK145*FH145</f>
        <v>3.289318302412461</v>
      </c>
      <c r="FM145" s="8">
        <f>$FE$148*FL145</f>
        <v>332968.53586862975</v>
      </c>
    </row>
    <row r="146" spans="2:169" ht="21" customHeight="1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0" t="s">
        <v>496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2452.6764338424537</v>
      </c>
      <c r="ED146" s="3">
        <f>SUM(ED144:ED145)</f>
        <v>6.0012280000000001E-2</v>
      </c>
      <c r="EE146" s="3">
        <f>SUM(EE144:EE145)</f>
        <v>84652.056329123152</v>
      </c>
      <c r="EF146" s="27">
        <f>SUM(EF144:EF145)</f>
        <v>0</v>
      </c>
      <c r="EL146" s="3">
        <f>SUM(EL144:EL145)</f>
        <v>0.24114675775440114</v>
      </c>
      <c r="EM146" s="3">
        <f>SUM(EM144:EM145)</f>
        <v>20413.568921010981</v>
      </c>
      <c r="EP146" s="3" t="s">
        <v>363</v>
      </c>
      <c r="EQ146" s="83">
        <f>(2*EE145)+(2*EE159)</f>
        <v>128559.40469486981</v>
      </c>
      <c r="ER146" s="83">
        <f>2*FE147</f>
        <v>128559.40469486982</v>
      </c>
      <c r="ES146" s="3">
        <f t="shared" si="59"/>
        <v>0</v>
      </c>
      <c r="EZ146" s="350"/>
      <c r="FA146" s="3" t="s">
        <v>451</v>
      </c>
      <c r="FB146" s="1">
        <f>H2O_out_BF+(((EE105*H2O_Oil_molcoeff)+(EE118*H2O_Naturalgas_molcoeff))*FD146)</f>
        <v>296.92449658991649</v>
      </c>
      <c r="FC146" s="1">
        <f>FB146/FB148</f>
        <v>9.9030486790710484E-2</v>
      </c>
      <c r="FD146" s="1">
        <f>MW_H2O</f>
        <v>1.8015280000000002E-2</v>
      </c>
      <c r="FE146" s="1">
        <f>FB146/FD146</f>
        <v>16481.814137216654</v>
      </c>
      <c r="FF146" s="1">
        <f>h_H2O</f>
        <v>-13421.939597941302</v>
      </c>
      <c r="FG146" s="1">
        <f>b_ch_H2O</f>
        <v>9.5113440000000082</v>
      </c>
      <c r="FH146" s="1">
        <f>FE146/$FE$148</f>
        <v>0.1628199876516167</v>
      </c>
      <c r="FI146" s="1">
        <f>LN(FH146)</f>
        <v>-1.8151100586770115</v>
      </c>
      <c r="FJ146" s="1">
        <f>RT0*FI146</f>
        <v>-4.1220588563546796</v>
      </c>
      <c r="FK146" s="1">
        <f>FG146+FJ146</f>
        <v>5.3892851436453286</v>
      </c>
      <c r="FL146" s="1">
        <f>FK146*FH146</f>
        <v>0.87748334053937371</v>
      </c>
      <c r="FM146" s="1">
        <f>$FE$148*FL146</f>
        <v>88825.196070025268</v>
      </c>
    </row>
    <row r="147" spans="2:169" ht="18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659</v>
      </c>
      <c r="EG147" s="4"/>
      <c r="EH147" s="4"/>
      <c r="EL147" s="3" t="s">
        <v>96</v>
      </c>
      <c r="EM147" s="1" t="s">
        <v>93</v>
      </c>
      <c r="EZ147" s="350"/>
      <c r="FA147" s="60" t="s">
        <v>67</v>
      </c>
      <c r="FB147" s="178">
        <f>EB145+EB159</f>
        <v>1800.6981561158209</v>
      </c>
      <c r="FC147" s="1">
        <f>FB147/FB148</f>
        <v>0.60057023590602721</v>
      </c>
      <c r="FD147" s="6">
        <f>MW_N2</f>
        <v>2.801348E-2</v>
      </c>
      <c r="FE147" s="6">
        <f>FB147/FD147</f>
        <v>64279.702347434912</v>
      </c>
      <c r="FF147" s="6">
        <f>h_N2</f>
        <v>0</v>
      </c>
      <c r="FG147" s="7">
        <f>b_ch_N2</f>
        <v>0.7</v>
      </c>
      <c r="FH147" s="1">
        <f>FE147/$FE$148</f>
        <v>0.63500414792484638</v>
      </c>
      <c r="FI147" s="1">
        <f>LN(FH147)</f>
        <v>-0.45412374794566751</v>
      </c>
      <c r="FJ147" s="1">
        <f>RT0*FI147</f>
        <v>-1.0313009991607993</v>
      </c>
      <c r="FK147" s="1">
        <f>FG147+FJ147</f>
        <v>-0.33130099916079936</v>
      </c>
      <c r="FL147" s="1">
        <f>FK147*FH147</f>
        <v>-0.21037750867875366</v>
      </c>
      <c r="FM147" s="1">
        <f>$FE$148*FL147</f>
        <v>-21295.929613463966</v>
      </c>
    </row>
    <row r="148" spans="2:169" ht="19" thickBot="1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2998.3140163435951</v>
      </c>
      <c r="FC148" s="27"/>
      <c r="FD148" s="27">
        <f>SUM(FD145:FD147)</f>
        <v>9.0038560000000004E-2</v>
      </c>
      <c r="FE148" s="27">
        <f>SUM(FE145:FE147)</f>
        <v>101227.216479604</v>
      </c>
      <c r="FF148" s="17" cm="1">
        <f t="array" ref="FF148">SUM(FB145:FB147*FF145:FF147) / FB148</f>
        <v>-4015.108337809671</v>
      </c>
      <c r="FG148" s="27"/>
      <c r="FH148" s="27">
        <f>SUM(FH145:FH147)</f>
        <v>0.99999999999999989</v>
      </c>
      <c r="FI148" s="27"/>
      <c r="FJ148" s="27"/>
      <c r="FK148" s="27"/>
      <c r="FL148" s="27">
        <f>SUM(FL145:FL147)</f>
        <v>3.9564241342730808</v>
      </c>
      <c r="FM148" s="27">
        <f>SUM(FM145:FM147)</f>
        <v>400497.80232519103</v>
      </c>
    </row>
    <row r="149" spans="2:169" ht="19" thickBot="1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659</v>
      </c>
      <c r="FG149" s="4"/>
      <c r="FH149" s="4"/>
      <c r="FL149" s="3" t="s">
        <v>96</v>
      </c>
      <c r="FM149" s="1" t="s">
        <v>93</v>
      </c>
    </row>
    <row r="150" spans="2:169" ht="18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>
      <c r="J151" s="4"/>
      <c r="K151" s="4"/>
      <c r="L151" s="4"/>
      <c r="M151" s="4"/>
      <c r="N151" s="4"/>
      <c r="O151" s="4"/>
      <c r="P151" s="4"/>
      <c r="Q151" s="202" t="s">
        <v>573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473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669</v>
      </c>
      <c r="EL152" s="171">
        <f>EB160</f>
        <v>32.333109356674186</v>
      </c>
      <c r="EM152" s="172">
        <f>EM160</f>
        <v>2762268.7001060145</v>
      </c>
    </row>
    <row r="153" spans="2:169" ht="19.25" customHeight="1">
      <c r="B153" s="348" t="s">
        <v>486</v>
      </c>
      <c r="C153" s="348"/>
      <c r="D153" s="348"/>
      <c r="E153" s="348"/>
      <c r="F153" s="348"/>
      <c r="G153" s="348"/>
      <c r="H153" s="348"/>
      <c r="J153" s="4"/>
      <c r="K153" s="3" t="s">
        <v>560</v>
      </c>
      <c r="L153" s="1" t="s">
        <v>554</v>
      </c>
      <c r="M153" s="1" t="s">
        <v>557</v>
      </c>
      <c r="N153" s="1" t="s">
        <v>85</v>
      </c>
      <c r="O153" s="1" t="s">
        <v>658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>
      <c r="B154" s="349"/>
      <c r="C154" s="349"/>
      <c r="D154" s="349"/>
      <c r="E154" s="349"/>
      <c r="F154" s="349"/>
      <c r="G154" s="349"/>
      <c r="H154" s="349"/>
      <c r="J154" s="4" t="s">
        <v>41</v>
      </c>
      <c r="K154" s="3" t="s">
        <v>559</v>
      </c>
      <c r="L154" s="1" t="s">
        <v>88</v>
      </c>
      <c r="M154" s="1" t="s">
        <v>90</v>
      </c>
      <c r="N154" s="1" t="s">
        <v>86</v>
      </c>
      <c r="O154" s="1" t="s">
        <v>645</v>
      </c>
      <c r="P154" s="1" t="s">
        <v>645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8" t="s">
        <v>472</v>
      </c>
      <c r="BL154" s="348"/>
      <c r="BM154" s="348"/>
      <c r="BN154" s="348"/>
      <c r="BP154" s="4"/>
      <c r="BQ154" s="3" t="s">
        <v>560</v>
      </c>
      <c r="BR154" s="1" t="s">
        <v>554</v>
      </c>
      <c r="BS154" s="3" t="s">
        <v>5</v>
      </c>
      <c r="BT154" s="3" t="s">
        <v>363</v>
      </c>
      <c r="BU154" s="1" t="s">
        <v>658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554</v>
      </c>
      <c r="EC154" s="1" t="s">
        <v>555</v>
      </c>
      <c r="ED154" s="1" t="s">
        <v>557</v>
      </c>
      <c r="EE154" s="1" t="s">
        <v>85</v>
      </c>
      <c r="EF154" s="1" t="s">
        <v>658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556</v>
      </c>
      <c r="EM154" s="1" t="s">
        <v>50</v>
      </c>
      <c r="EN154" s="1"/>
    </row>
    <row r="155" spans="2:169" ht="18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573</v>
      </c>
      <c r="J155" s="62" t="s">
        <v>487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8"/>
      <c r="BL155" s="348"/>
      <c r="BM155" s="348"/>
      <c r="BN155" s="348"/>
      <c r="BP155" s="4"/>
      <c r="BQ155" s="3" t="s">
        <v>559</v>
      </c>
      <c r="BR155" s="1" t="s">
        <v>88</v>
      </c>
      <c r="BS155" s="1" t="s">
        <v>90</v>
      </c>
      <c r="BT155" s="2" t="s">
        <v>86</v>
      </c>
      <c r="BU155" s="1" t="s">
        <v>645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558</v>
      </c>
      <c r="ED155" s="1" t="s">
        <v>84</v>
      </c>
      <c r="EE155" s="3" t="s">
        <v>42</v>
      </c>
      <c r="EF155" s="1" t="s">
        <v>645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473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54" t="s">
        <v>523</v>
      </c>
      <c r="EA156" s="17" t="s">
        <v>66</v>
      </c>
      <c r="EB156" s="17">
        <f>H2_to_BF</f>
        <v>18.150706151533786</v>
      </c>
      <c r="EC156" s="17">
        <f>EB156/$EB$160</f>
        <v>0.56136593456908357</v>
      </c>
      <c r="ED156" s="17">
        <f>MW_H*2</f>
        <v>2.0158800000000003E-3</v>
      </c>
      <c r="EE156" s="17">
        <f>EB156/ED156</f>
        <v>9003.8624082454226</v>
      </c>
      <c r="EF156" s="17">
        <f>h_H2</f>
        <v>0</v>
      </c>
      <c r="EG156" s="17">
        <f>b_ch_H2</f>
        <v>236.1</v>
      </c>
      <c r="EH156" s="17">
        <f>EE156/$EE$160</f>
        <v>0.91544766952145851</v>
      </c>
      <c r="EI156" s="17">
        <f>LN(EH156)</f>
        <v>-8.8342077045854353E-2</v>
      </c>
      <c r="EJ156" s="17">
        <f>RT0*EI156</f>
        <v>-0.20062212720095451</v>
      </c>
      <c r="EK156" s="17">
        <f>EG156+EJ156</f>
        <v>235.89937787279905</v>
      </c>
      <c r="EL156" s="17">
        <f>EK156*EH156</f>
        <v>215.95353571521579</v>
      </c>
      <c r="EM156" s="17">
        <f>EL156*$EE$160</f>
        <v>2124005.540557377</v>
      </c>
    </row>
    <row r="157" spans="2:169" ht="18" customHeight="1">
      <c r="B157" s="15" t="s">
        <v>484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402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54"/>
      <c r="EA157" s="3" t="s">
        <v>65</v>
      </c>
      <c r="EB157" s="3">
        <f>CH4_to_BF</f>
        <v>12.407866991221395</v>
      </c>
      <c r="EC157" s="3">
        <f t="shared" ref="EC157:EC159" si="66">EB157/$EB$160</f>
        <v>0.3837511219334731</v>
      </c>
      <c r="ED157" s="3">
        <f>MW_CH4</f>
        <v>1.604276E-2</v>
      </c>
      <c r="EE157" s="3">
        <f>EB157/ED157</f>
        <v>773.42470941542445</v>
      </c>
      <c r="EF157" s="3">
        <f>h_CH4</f>
        <v>1.604276E-2</v>
      </c>
      <c r="EG157" s="3">
        <f>b_ch_CH4</f>
        <v>831.8</v>
      </c>
      <c r="EH157" s="3">
        <f>EE157/$EE$160</f>
        <v>7.8636235837663687E-2</v>
      </c>
      <c r="EI157" s="3">
        <f t="shared" ref="EI157:EI159" si="67">LN(EH157)</f>
        <v>-2.5429226700357286</v>
      </c>
      <c r="EJ157" s="3">
        <f>RT0*EI157</f>
        <v>-5.7748988073406355</v>
      </c>
      <c r="EK157" s="3">
        <f t="shared" ref="EK157:EK159" si="68">EG157+EJ157</f>
        <v>826.02510119265935</v>
      </c>
      <c r="EL157" s="3">
        <f t="shared" ref="EL157:EL159" si="69">EK157*EH157</f>
        <v>64.955504665215969</v>
      </c>
      <c r="EM157" s="3">
        <f>EL157*$EE$160</f>
        <v>638868.22385977907</v>
      </c>
    </row>
    <row r="158" spans="2:169" ht="18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659</v>
      </c>
      <c r="BV158" s="4"/>
      <c r="BW158" s="4"/>
      <c r="CA158" s="3" t="s">
        <v>96</v>
      </c>
      <c r="CB158" s="1" t="s">
        <v>93</v>
      </c>
      <c r="DZ158" s="354"/>
      <c r="EA158" s="237" t="s">
        <v>24</v>
      </c>
      <c r="EB158" s="3">
        <f>O2_to_BF_from_coke</f>
        <v>1.1602071361421984</v>
      </c>
      <c r="EC158" s="3">
        <f t="shared" si="66"/>
        <v>3.5882943497443399E-2</v>
      </c>
      <c r="ED158" s="3">
        <f>MW_O2</f>
        <v>3.1998800000000001E-2</v>
      </c>
      <c r="EE158" s="3">
        <f>EB158/ED158</f>
        <v>36.257832673168942</v>
      </c>
      <c r="EF158" s="3">
        <f>h_O2</f>
        <v>0</v>
      </c>
      <c r="EG158" s="3">
        <f>b_ch_O2</f>
        <v>4</v>
      </c>
      <c r="EH158" s="3">
        <f>EE158/$EE$160</f>
        <v>3.6864344341996265E-3</v>
      </c>
      <c r="EI158" s="3">
        <f t="shared" si="67"/>
        <v>-5.6030955660719179</v>
      </c>
      <c r="EJ158" s="3">
        <f>RT0*EI158</f>
        <v>-12.724456894896333</v>
      </c>
      <c r="EK158" s="3">
        <f t="shared" si="68"/>
        <v>-8.724456894896333</v>
      </c>
      <c r="EL158" s="3">
        <f t="shared" si="69"/>
        <v>-3.2162138317036196E-2</v>
      </c>
      <c r="EM158" s="3">
        <f>EL158*$EE$160</f>
        <v>-316.32989825942633</v>
      </c>
    </row>
    <row r="159" spans="2:169" ht="18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54"/>
      <c r="EA159" s="7" t="s">
        <v>67</v>
      </c>
      <c r="EB159" s="3">
        <f>N2_to_BF_from_coke</f>
        <v>0.61432907777680967</v>
      </c>
      <c r="EC159" s="3">
        <f t="shared" si="66"/>
        <v>1.9000000000000003E-2</v>
      </c>
      <c r="ED159" s="3">
        <f>MW_N2</f>
        <v>2.801348E-2</v>
      </c>
      <c r="EE159" s="3">
        <f>EB159/ED159</f>
        <v>21.929766590113392</v>
      </c>
      <c r="EF159" s="3">
        <f>h_N2</f>
        <v>0</v>
      </c>
      <c r="EG159" s="3">
        <f>b_ch_N2</f>
        <v>0.7</v>
      </c>
      <c r="EH159" s="3">
        <f>EE159/$EE$160</f>
        <v>2.2296602066780094E-3</v>
      </c>
      <c r="EI159" s="3">
        <f t="shared" si="67"/>
        <v>-6.1059060788071502</v>
      </c>
      <c r="EJ159" s="3">
        <f>RT0*EI159</f>
        <v>-13.866324032473202</v>
      </c>
      <c r="EK159" s="3">
        <f t="shared" si="68"/>
        <v>-13.166324032473202</v>
      </c>
      <c r="EL159" s="3">
        <f t="shared" si="69"/>
        <v>-2.9356428763433841E-2</v>
      </c>
      <c r="EM159" s="3">
        <f>EL159*$EE$160</f>
        <v>-288.73441288193789</v>
      </c>
    </row>
    <row r="160" spans="2:169" ht="17" thickBot="1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32.333109356674186</v>
      </c>
      <c r="EC160" s="17"/>
      <c r="ED160" s="17"/>
      <c r="EE160" s="17">
        <f>SUM(EE156:EE159)</f>
        <v>9835.4747169241309</v>
      </c>
      <c r="EF160" s="17" cm="1">
        <f t="array" ref="EF160">SUM(EB156:EB159*EF156:EF159) / EB160</f>
        <v>6.1564271489094446E-3</v>
      </c>
      <c r="EG160" s="17">
        <f>SUM(EG156:EG159)</f>
        <v>1072.5999999999999</v>
      </c>
      <c r="EH160" s="17">
        <f>SUM(EH156:EH159)</f>
        <v>0.99999999999999978</v>
      </c>
      <c r="EI160" s="17"/>
      <c r="EJ160" s="17"/>
      <c r="EK160" s="17"/>
      <c r="EL160" s="17">
        <f>SUM(EL156:EL159)</f>
        <v>280.84752181335125</v>
      </c>
      <c r="EM160" s="17">
        <f>SUM(EM156:EM159)</f>
        <v>2762268.7001060145</v>
      </c>
    </row>
    <row r="161" spans="1:143" ht="18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659</v>
      </c>
      <c r="EG161" s="4"/>
      <c r="EH161" s="4"/>
      <c r="EL161" s="3" t="s">
        <v>96</v>
      </c>
      <c r="EM161" s="1" t="s">
        <v>93</v>
      </c>
    </row>
    <row r="162" spans="1:143" ht="18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>
      <c r="Q163" s="3" t="s">
        <v>524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>
      <c r="E165" s="348" t="s">
        <v>518</v>
      </c>
      <c r="F165" s="348"/>
      <c r="G165" s="348"/>
      <c r="H165" s="348"/>
      <c r="J165" s="4"/>
      <c r="K165" s="1" t="s">
        <v>554</v>
      </c>
      <c r="L165" s="1" t="s">
        <v>555</v>
      </c>
      <c r="M165" s="1" t="s">
        <v>557</v>
      </c>
      <c r="N165" s="1" t="s">
        <v>85</v>
      </c>
      <c r="O165" s="1" t="s">
        <v>658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>
      <c r="E166" s="348"/>
      <c r="F166" s="348"/>
      <c r="G166" s="348"/>
      <c r="H166" s="348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>
      <c r="I167" s="350" t="s">
        <v>524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>
      <c r="I168" s="35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>
      <c r="K170" s="1" t="s">
        <v>89</v>
      </c>
      <c r="L170" s="1"/>
      <c r="M170" s="3" t="s">
        <v>91</v>
      </c>
      <c r="N170" s="3" t="s">
        <v>87</v>
      </c>
      <c r="O170" s="1" t="s">
        <v>659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>
      <c r="T182" s="4"/>
      <c r="U182" s="4"/>
      <c r="V182" s="4"/>
      <c r="W182" s="357" t="s">
        <v>433</v>
      </c>
      <c r="X182" s="357"/>
      <c r="Y182" s="357"/>
      <c r="Z182" s="357"/>
      <c r="AA182" s="357"/>
      <c r="AB182" s="357"/>
      <c r="AC182" s="357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7" t="s">
        <v>434</v>
      </c>
      <c r="AP187" s="357"/>
      <c r="AQ187" s="357"/>
      <c r="AR187" s="357"/>
      <c r="AS187" s="357"/>
      <c r="AT187" s="357"/>
      <c r="AU187" s="357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7" t="s">
        <v>435</v>
      </c>
      <c r="BH187" s="357"/>
      <c r="BI187" s="357"/>
      <c r="BJ187" s="357"/>
      <c r="BK187" s="357"/>
      <c r="BL187" s="357"/>
      <c r="BM187" s="357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>
      <c r="P189" s="368" t="s">
        <v>364</v>
      </c>
      <c r="Q189" s="36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>
      <c r="P190" s="369"/>
      <c r="Q190" s="36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>
      <c r="P191" s="365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>
      <c r="P192" s="366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>
      <c r="N194" s="4"/>
      <c r="O194" s="4"/>
      <c r="P194" s="139" t="s">
        <v>632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70" t="s">
        <v>502</v>
      </c>
      <c r="X195" s="371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>
      <c r="J206" s="4"/>
      <c r="K206" s="4"/>
      <c r="L206" s="4"/>
      <c r="M206" s="4"/>
      <c r="N206" s="4"/>
      <c r="O206" s="4"/>
      <c r="P206" s="363" t="s">
        <v>423</v>
      </c>
      <c r="Q206" s="363"/>
      <c r="R206" s="363"/>
      <c r="S206" s="4"/>
      <c r="T206" s="4"/>
      <c r="U206" s="50" t="e">
        <f>K217</f>
        <v>#REF!</v>
      </c>
      <c r="V206" s="48">
        <f>V217</f>
        <v>8875434.0211273897</v>
      </c>
      <c r="W206" s="367" t="s">
        <v>414</v>
      </c>
      <c r="X206" s="367"/>
      <c r="Y206" s="367"/>
      <c r="Z206" s="367"/>
      <c r="AA206" s="367"/>
      <c r="AB206" s="36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>
        <f>AP217</f>
        <v>8875434.0211273897</v>
      </c>
      <c r="AQ206" s="367" t="s">
        <v>539</v>
      </c>
      <c r="AR206" s="367"/>
      <c r="AS206" s="367"/>
      <c r="AT206" s="367"/>
      <c r="AU206" s="36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>
        <f>BI217</f>
        <v>8875434.0211273897</v>
      </c>
      <c r="BJ206" s="367" t="s">
        <v>454</v>
      </c>
      <c r="BK206" s="367"/>
      <c r="BL206" s="367"/>
      <c r="BM206" s="367"/>
      <c r="BN206" s="367"/>
      <c r="BO206" s="4"/>
      <c r="BP206" s="4"/>
      <c r="BQ206" s="4"/>
      <c r="BR206" s="4"/>
      <c r="BS206" s="4"/>
      <c r="BT206" s="4"/>
      <c r="BU206" s="4"/>
      <c r="BV206" s="4"/>
      <c r="BW206" s="4" t="s">
        <v>522</v>
      </c>
      <c r="BX206" s="4"/>
      <c r="BY206" s="4"/>
      <c r="BZ206" s="4"/>
      <c r="CA206" s="50">
        <f>BQ218</f>
        <v>299.20013327481234</v>
      </c>
      <c r="CB206" s="48">
        <f>CB218</f>
        <v>8877539.600112142</v>
      </c>
      <c r="CD206" s="367" t="s">
        <v>432</v>
      </c>
      <c r="CE206" s="367"/>
      <c r="CF206" s="367"/>
      <c r="CG206" s="367"/>
      <c r="CH206" s="367"/>
      <c r="CI206" s="301"/>
      <c r="CR206" s="3" t="s">
        <v>627</v>
      </c>
      <c r="CU206" s="4"/>
      <c r="CV206" s="439">
        <f>CL211</f>
        <v>203.67821093694866</v>
      </c>
      <c r="CW206" s="48">
        <f>CW211</f>
        <v>6423206.7384708319</v>
      </c>
    </row>
    <row r="207" spans="5:101" ht="15" customHeight="1" thickBot="1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67"/>
      <c r="X207" s="367"/>
      <c r="Y207" s="367"/>
      <c r="Z207" s="367"/>
      <c r="AA207" s="367"/>
      <c r="AB207" s="36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67"/>
      <c r="AR207" s="367"/>
      <c r="AS207" s="367"/>
      <c r="AT207" s="367"/>
      <c r="AU207" s="36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67"/>
      <c r="BK207" s="367"/>
      <c r="BL207" s="367"/>
      <c r="BM207" s="367"/>
      <c r="BN207" s="36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9"/>
      <c r="CE207" s="379"/>
      <c r="CF207" s="379"/>
      <c r="CG207" s="379"/>
      <c r="CH207" s="379"/>
      <c r="CI207" s="301"/>
      <c r="CU207" s="4"/>
      <c r="CV207" s="4"/>
    </row>
    <row r="208" spans="5:101" ht="19.25" customHeight="1">
      <c r="E208" s="348" t="s">
        <v>444</v>
      </c>
      <c r="F208" s="348"/>
      <c r="G208" s="348"/>
      <c r="H208" s="348"/>
      <c r="J208" s="4"/>
      <c r="K208" s="1" t="s">
        <v>554</v>
      </c>
      <c r="L208" s="1" t="s">
        <v>555</v>
      </c>
      <c r="M208" s="1" t="s">
        <v>557</v>
      </c>
      <c r="N208" s="1" t="s">
        <v>85</v>
      </c>
      <c r="O208" s="1" t="s">
        <v>658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556</v>
      </c>
      <c r="V208" s="1" t="s">
        <v>50</v>
      </c>
      <c r="W208" s="4"/>
      <c r="X208" s="22" t="s">
        <v>427</v>
      </c>
      <c r="Y208" s="22" t="s">
        <v>475</v>
      </c>
      <c r="Z208" s="255" t="s">
        <v>337</v>
      </c>
      <c r="AA208" s="365" t="s">
        <v>344</v>
      </c>
      <c r="AB208" s="102" t="s">
        <v>317</v>
      </c>
      <c r="AC208" s="1"/>
      <c r="AD208" s="4"/>
      <c r="AE208" s="1" t="s">
        <v>554</v>
      </c>
      <c r="AF208" s="1" t="s">
        <v>555</v>
      </c>
      <c r="AG208" s="1" t="s">
        <v>557</v>
      </c>
      <c r="AH208" s="1" t="s">
        <v>85</v>
      </c>
      <c r="AI208" s="1" t="s">
        <v>658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556</v>
      </c>
      <c r="AP208" s="1" t="s">
        <v>50</v>
      </c>
      <c r="AQ208" s="22" t="s">
        <v>427</v>
      </c>
      <c r="AR208" s="22" t="s">
        <v>475</v>
      </c>
      <c r="AS208" s="159" t="s">
        <v>337</v>
      </c>
      <c r="AT208" s="365" t="s">
        <v>344</v>
      </c>
      <c r="AU208" s="138" t="s">
        <v>317</v>
      </c>
      <c r="AV208" s="1"/>
      <c r="AW208" s="4"/>
      <c r="AX208" s="1" t="s">
        <v>554</v>
      </c>
      <c r="AY208" s="1" t="s">
        <v>555</v>
      </c>
      <c r="AZ208" s="1" t="s">
        <v>557</v>
      </c>
      <c r="BA208" s="1" t="s">
        <v>85</v>
      </c>
      <c r="BB208" s="1" t="s">
        <v>658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556</v>
      </c>
      <c r="BI208" s="1" t="s">
        <v>50</v>
      </c>
      <c r="BJ208" s="22" t="s">
        <v>427</v>
      </c>
      <c r="BK208" s="22" t="s">
        <v>475</v>
      </c>
      <c r="BL208" s="159" t="s">
        <v>337</v>
      </c>
      <c r="BM208" s="365" t="s">
        <v>344</v>
      </c>
      <c r="BN208" s="138" t="s">
        <v>317</v>
      </c>
      <c r="BO208" s="1"/>
      <c r="BP208" s="4"/>
      <c r="BQ208" s="1" t="s">
        <v>554</v>
      </c>
      <c r="BR208" s="1" t="s">
        <v>555</v>
      </c>
      <c r="BS208" s="1" t="s">
        <v>557</v>
      </c>
      <c r="BT208" s="1" t="s">
        <v>85</v>
      </c>
      <c r="BU208" s="1" t="s">
        <v>658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556</v>
      </c>
      <c r="CB208" s="1" t="s">
        <v>50</v>
      </c>
      <c r="CD208" s="22" t="s">
        <v>427</v>
      </c>
      <c r="CE208" s="22" t="s">
        <v>475</v>
      </c>
      <c r="CF208" s="190" t="s">
        <v>337</v>
      </c>
      <c r="CG208" s="365" t="s">
        <v>344</v>
      </c>
      <c r="CH208" s="138" t="s">
        <v>317</v>
      </c>
      <c r="CI208" s="1"/>
      <c r="CJ208" s="1"/>
      <c r="CK208" s="4"/>
      <c r="CL208" s="1" t="s">
        <v>554</v>
      </c>
      <c r="CM208" s="1" t="s">
        <v>555</v>
      </c>
      <c r="CN208" s="1" t="s">
        <v>557</v>
      </c>
      <c r="CO208" s="1" t="s">
        <v>85</v>
      </c>
      <c r="CP208" s="1" t="s">
        <v>658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556</v>
      </c>
      <c r="CW208" s="1" t="s">
        <v>50</v>
      </c>
    </row>
    <row r="209" spans="2:101" ht="18">
      <c r="E209" s="348"/>
      <c r="F209" s="348"/>
      <c r="G209" s="348"/>
      <c r="H209" s="348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6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6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6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80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>
      <c r="I210" s="209" t="s">
        <v>423</v>
      </c>
      <c r="J210" s="62" t="str">
        <f>_xlfn.CONCAT("C"," ",mol_C_Coal_in," ","H"," ",mol_H_Coal," ","O",mol_O_Coal," ","N"," ",mol_N_Coal)</f>
        <v>C 1 H 1.74535197521829 O0.0137189347253767 N 0.00121346797483588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386</v>
      </c>
      <c r="N210" s="62">
        <f>mol_C_Coal</f>
        <v>19319.408632072231</v>
      </c>
      <c r="O210" s="62">
        <f>NCV_dry_anthrocite</f>
        <v>30080</v>
      </c>
      <c r="P210" s="62">
        <f>AJ210</f>
        <v>459.24128667789029</v>
      </c>
      <c r="Q210" s="62">
        <f t="shared" ref="Q210:Q216" si="75">N210/$BA$217</f>
        <v>0.98335982628696972</v>
      </c>
      <c r="R210" s="62">
        <f>LN(Q210)</f>
        <v>-1.6780176692561176E-2</v>
      </c>
      <c r="S210" s="62">
        <f t="shared" ref="S210:S216" si="76">RT0*R210</f>
        <v>-3.8107262761346627E-2</v>
      </c>
      <c r="T210" s="62">
        <f>S210+P210</f>
        <v>459.20317941512894</v>
      </c>
      <c r="U210" s="62">
        <f>T210*Q210</f>
        <v>451.5619587400854</v>
      </c>
      <c r="V210" s="62">
        <f t="shared" ref="V210:V216" si="77">U210*$BA$217</f>
        <v>8871533.8682676554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534</v>
      </c>
      <c r="AD210" s="62" t="str">
        <f>_xlfn.CONCAT("C"," ",mol_C_Coal_in," ","H"," ",mol_H_Coal," ","O",mol_O_Coal," ","N"," ",mol_N_Coal)</f>
        <v>C 1 H 1.74535197521829 O0.0137189347253767 N 0.00121346797483588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386</v>
      </c>
      <c r="AH210" s="62">
        <f>mol_C_Coal</f>
        <v>19319.408632072231</v>
      </c>
      <c r="AI210" s="62">
        <f>NCV_dry_anthrocite</f>
        <v>30080</v>
      </c>
      <c r="AJ210" s="62">
        <f>BC210</f>
        <v>459.24128667789029</v>
      </c>
      <c r="AK210" s="62">
        <f t="shared" ref="AK210:AK216" si="79">AH210/$BA$217</f>
        <v>0.98335982628696972</v>
      </c>
      <c r="AL210" s="62">
        <f>LN(AK210)</f>
        <v>-1.6780176692561176E-2</v>
      </c>
      <c r="AM210" s="62">
        <f t="shared" ref="AM210:AM216" si="80">RT0*AL210</f>
        <v>-3.8107262761346627E-2</v>
      </c>
      <c r="AN210" s="62">
        <f>AM210+AJ210</f>
        <v>459.20317941512894</v>
      </c>
      <c r="AO210" s="62">
        <f>AN210*AK210</f>
        <v>451.5619587400854</v>
      </c>
      <c r="AP210" s="62">
        <f t="shared" ref="AP210:AP216" si="81">AO210*$BA$217</f>
        <v>8871533.8682676554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538</v>
      </c>
      <c r="AW210" s="198" t="str">
        <f>_xlfn.CONCAT("C"," ",mol_C_Coal_in," ","H"," ",mol_H_Coal," ","O",mol_O_Coal," ","N"," ",mol_N_Coal)</f>
        <v>C 1 H 1.74535197521829 O0.0137189347253767 N 0.00121346797483588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386</v>
      </c>
      <c r="BA210" s="62">
        <f>mol_C_Coal</f>
        <v>19319.408632072231</v>
      </c>
      <c r="BB210" s="62">
        <f>NCV_dry_anthrocite</f>
        <v>30080</v>
      </c>
      <c r="BC210" s="62">
        <f>BV210</f>
        <v>459.24128667789029</v>
      </c>
      <c r="BD210" s="62">
        <f t="shared" ref="BD210:BD216" si="83">BA210/$BA$217</f>
        <v>0.98335982628696972</v>
      </c>
      <c r="BE210" s="62">
        <f>LN(BD210)</f>
        <v>-1.6780176692561176E-2</v>
      </c>
      <c r="BF210" s="62">
        <f t="shared" ref="BF210:BF216" si="84">RT0*BE210</f>
        <v>-3.8107262761346627E-2</v>
      </c>
      <c r="BG210" s="62">
        <f>BF210+BC210</f>
        <v>459.20317941512894</v>
      </c>
      <c r="BH210" s="62">
        <f>BG210*BD210</f>
        <v>451.5619587400854</v>
      </c>
      <c r="BI210" s="62">
        <f t="shared" ref="BI210:BI216" si="85">BH210*$BA$217</f>
        <v>8871533.8682676554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482</v>
      </c>
      <c r="BP210" s="198" t="str">
        <f>_xlfn.CONCAT("C"," ",mol_C_Coal_in," ","H"," ",mol_H_Coal," ","O",mol_O_Coal," ","N"," ",mol_N_Coal," ","S",mol_S_coal)</f>
        <v>C 1 H 1.74535197521829 O0.0137189347253767 N 0.00121346797483588 S0.00532085150699762</v>
      </c>
      <c r="BQ210" s="62">
        <f>SUM(Calculators!C98:C102)</f>
        <v>273.8974374022049</v>
      </c>
      <c r="BR210" s="62">
        <f>BQ210/$BQ$218</f>
        <v>0.91543220387082125</v>
      </c>
      <c r="BS210" s="62" t="s">
        <v>386</v>
      </c>
      <c r="BT210" s="62">
        <f>mol_C_Coal</f>
        <v>19319.408632072231</v>
      </c>
      <c r="BU210" s="62">
        <f>NCV_bituminous</f>
        <v>33412</v>
      </c>
      <c r="BV210" s="62">
        <f>(b_ch_coal*BQ210)/BT210</f>
        <v>459.24128667789029</v>
      </c>
      <c r="BW210" s="62">
        <f>BT210/$BT$218</f>
        <v>0.98309099693672075</v>
      </c>
      <c r="BX210" s="62">
        <f>LN(BW210)</f>
        <v>-1.7053592481808308E-2</v>
      </c>
      <c r="BY210" s="62">
        <f t="shared" ref="BY210:BY217" si="86">RT0*BX210</f>
        <v>-3.8728181570178974E-2</v>
      </c>
      <c r="BZ210" s="62">
        <f>BY210+BV210</f>
        <v>459.20255849632008</v>
      </c>
      <c r="CA210" s="62">
        <f>BZ210*BW210</f>
        <v>451.43790102804013</v>
      </c>
      <c r="CB210" s="62">
        <f>CA210*$BT$218</f>
        <v>8871521.8724834602</v>
      </c>
      <c r="CD210" s="104">
        <f>SUM(CB206,CB225,CB232,CB244) - SUM(CW248,CW231,CW215,CW206)</f>
        <v>-690496.20959210396</v>
      </c>
      <c r="CE210" s="99">
        <f>SUM(CB244,CB206,CB225,CB232) - SUM(CW206,CW215,CW231,CW248)</f>
        <v>-690496.2095921021</v>
      </c>
      <c r="CF210" s="441">
        <f>ROUND(CV206+CV215+CV231+CV248+CV264-CA206-CA232-CA244, 10)</f>
        <v>3.9592784201</v>
      </c>
      <c r="CG210" s="139" t="s">
        <v>341</v>
      </c>
      <c r="CH210" s="136" t="s">
        <v>98</v>
      </c>
      <c r="CI210" s="4"/>
      <c r="CJ210" s="254" t="s">
        <v>628</v>
      </c>
      <c r="CK210" s="198" t="str">
        <f>_xlfn.CONCAT("C"," ",mol_C_coke," ","H"," ",mol_H_coke," ","O",mol_O_coke," ","N"," ",mol_N_coke," ","S",mol_S_coke)</f>
        <v>C 1 H 0.0663495763459954 O0.00585190374483141 N 0.000954917303843473 S0.00375405431197931</v>
      </c>
      <c r="CL210" s="168">
        <f>SUM(Calculators!C89:C93)</f>
        <v>203.67821093694866</v>
      </c>
      <c r="CM210" s="95">
        <f>CL210/CL211</f>
        <v>1</v>
      </c>
      <c r="CN210" s="95" t="s">
        <v>98</v>
      </c>
      <c r="CO210" s="95">
        <f>mol_Coke</f>
        <v>17825.162834461044</v>
      </c>
      <c r="CP210" s="95">
        <f>NCV_dry_anthrocite</f>
        <v>30080</v>
      </c>
      <c r="CQ210" s="95">
        <f>b_ch_coke*CL210 /mol_Coke</f>
        <v>360.34491230862534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360.34491230862534</v>
      </c>
      <c r="CV210" s="96">
        <f>CU210*CR210</f>
        <v>360.34491230862534</v>
      </c>
      <c r="CW210" s="95">
        <f>CV210*CO211</f>
        <v>6423206.7384708319</v>
      </c>
    </row>
    <row r="211" spans="2:101" ht="17">
      <c r="I211" s="359" t="s">
        <v>536</v>
      </c>
      <c r="J211" s="62" t="s">
        <v>307</v>
      </c>
      <c r="K211" s="62">
        <f t="shared" ref="K211:K216" si="87">AE211</f>
        <v>7.5908087617822284</v>
      </c>
      <c r="L211" s="62" t="e">
        <f t="shared" si="74"/>
        <v>#REF!</v>
      </c>
      <c r="M211" s="62">
        <f>MW_Al2O3</f>
        <v>0.10196127799999999</v>
      </c>
      <c r="N211" s="62">
        <f t="shared" ref="N211:N216" si="88">K211/M211</f>
        <v>74.447956230817638</v>
      </c>
      <c r="O211" s="62">
        <f>h_Al2O3</f>
        <v>-16434.670424590011</v>
      </c>
      <c r="P211" s="62">
        <f>b_ch_Al2O3</f>
        <v>31.875999999999976</v>
      </c>
      <c r="Q211" s="62">
        <f t="shared" si="75"/>
        <v>3.789408397574964E-3</v>
      </c>
      <c r="R211" s="62">
        <f t="shared" ref="R211:R216" si="89">LN(Q211)</f>
        <v>-5.5755453676986511</v>
      </c>
      <c r="S211" s="62">
        <f t="shared" si="76"/>
        <v>-12.661891245691773</v>
      </c>
      <c r="T211" s="62">
        <f t="shared" ref="T211:T216" si="90">S211+P211</f>
        <v>19.214108754308203</v>
      </c>
      <c r="U211" s="62">
        <f t="shared" ref="U211:U216" si="91">T211*Q211</f>
        <v>7.2810105065494138E-2</v>
      </c>
      <c r="V211" s="62">
        <f t="shared" si="77"/>
        <v>1430.4511275549071</v>
      </c>
      <c r="W211" s="4"/>
      <c r="X211" s="4"/>
      <c r="Y211" s="4"/>
      <c r="Z211" s="4"/>
      <c r="AA211" s="139" t="s">
        <v>632</v>
      </c>
      <c r="AB211" s="103" t="e">
        <f>(AP206+AP227)/($AC$195+V206+V222+V236)</f>
        <v>#REF!</v>
      </c>
      <c r="AC211" s="359" t="s">
        <v>535</v>
      </c>
      <c r="AD211" s="62" t="s">
        <v>307</v>
      </c>
      <c r="AE211" s="62">
        <f t="shared" ref="AE211:AE216" si="92">AX211</f>
        <v>7.5908087617822284</v>
      </c>
      <c r="AF211" s="62" t="e">
        <f t="shared" si="78"/>
        <v>#REF!</v>
      </c>
      <c r="AG211" s="62">
        <f>MW_Al2O3</f>
        <v>0.10196127799999999</v>
      </c>
      <c r="AH211" s="62">
        <f t="shared" ref="AH211:AH216" si="93">AE211/AG211</f>
        <v>74.447956230817638</v>
      </c>
      <c r="AI211" s="62">
        <f>h_Al2O3</f>
        <v>-16434.670424590011</v>
      </c>
      <c r="AJ211" s="62">
        <f>b_ch_Al2O3</f>
        <v>31.875999999999976</v>
      </c>
      <c r="AK211" s="62">
        <f t="shared" si="79"/>
        <v>3.789408397574964E-3</v>
      </c>
      <c r="AL211" s="62">
        <f t="shared" ref="AL211:AL216" si="94">LN(AK211)</f>
        <v>-5.5755453676986511</v>
      </c>
      <c r="AM211" s="62">
        <f t="shared" si="80"/>
        <v>-12.661891245691773</v>
      </c>
      <c r="AN211" s="62">
        <f t="shared" ref="AN211:AN216" si="95">AM211+AJ211</f>
        <v>19.214108754308203</v>
      </c>
      <c r="AO211" s="62">
        <f t="shared" ref="AO211:AO216" si="96">AN211*AK211</f>
        <v>7.2810105065494138E-2</v>
      </c>
      <c r="AP211" s="62">
        <f t="shared" si="81"/>
        <v>1430.4511275549071</v>
      </c>
      <c r="AQ211" s="4"/>
      <c r="AR211" s="4"/>
      <c r="AT211" s="139" t="s">
        <v>632</v>
      </c>
      <c r="AU211" s="136" t="e">
        <f>BI206/(AP206+AU190)</f>
        <v>#REF!</v>
      </c>
      <c r="AV211" s="359" t="s">
        <v>533</v>
      </c>
      <c r="AW211" s="62" t="s">
        <v>307</v>
      </c>
      <c r="AX211" s="62">
        <f>CL219</f>
        <v>7.5908087617822284</v>
      </c>
      <c r="AY211" s="62" t="e">
        <f t="shared" si="82"/>
        <v>#REF!</v>
      </c>
      <c r="AZ211" s="62">
        <f>MW_Al2O3</f>
        <v>0.10196127799999999</v>
      </c>
      <c r="BA211" s="62">
        <f t="shared" ref="BA211:BA216" si="97">AX211/AZ211</f>
        <v>74.447956230817638</v>
      </c>
      <c r="BB211" s="62">
        <f>h_Al2O3</f>
        <v>-16434.670424590011</v>
      </c>
      <c r="BC211" s="62">
        <f>b_ch_Al2O3</f>
        <v>31.875999999999976</v>
      </c>
      <c r="BD211" s="62">
        <f t="shared" si="83"/>
        <v>3.789408397574964E-3</v>
      </c>
      <c r="BE211" s="62">
        <f t="shared" ref="BE211:BE216" si="98">LN(BD211)</f>
        <v>-5.5755453676986511</v>
      </c>
      <c r="BF211" s="62">
        <f t="shared" si="84"/>
        <v>-12.661891245691773</v>
      </c>
      <c r="BG211" s="62">
        <f t="shared" ref="BG211:BG216" si="99">BF211+BC211</f>
        <v>19.214108754308203</v>
      </c>
      <c r="BH211" s="62">
        <f t="shared" ref="BH211:BH216" si="100">BG211*BD211</f>
        <v>7.2810105065494138E-2</v>
      </c>
      <c r="BI211" s="62">
        <f t="shared" si="85"/>
        <v>1430.4511275549071</v>
      </c>
      <c r="BJ211" s="4"/>
      <c r="BK211" s="4"/>
      <c r="BM211" s="139" t="s">
        <v>632</v>
      </c>
      <c r="BN211" s="136" t="e">
        <f>CB206/(BM195+BI206)</f>
        <v>#REF!</v>
      </c>
      <c r="BO211" s="359" t="s">
        <v>532</v>
      </c>
      <c r="BP211" s="62" t="s">
        <v>307</v>
      </c>
      <c r="BQ211" s="62">
        <f>CL219</f>
        <v>7.5908087617822284</v>
      </c>
      <c r="BR211" s="62">
        <f t="shared" ref="BR211:BR217" si="101">BQ211/$BQ$218</f>
        <v>2.5370338838753611E-2</v>
      </c>
      <c r="BS211" s="62">
        <f>MW_Al2O3</f>
        <v>0.10196127799999999</v>
      </c>
      <c r="BT211" s="62">
        <f t="shared" ref="BT211:BT217" si="102">BQ211/BS211</f>
        <v>74.447956230817638</v>
      </c>
      <c r="BU211" s="62">
        <f>h_Al2O3</f>
        <v>-16434.670424590011</v>
      </c>
      <c r="BV211" s="62">
        <f>b_ch_Al2O3</f>
        <v>31.875999999999976</v>
      </c>
      <c r="BW211" s="62">
        <f t="shared" ref="BW211:BW217" si="103">BT211/$BT$218</f>
        <v>3.7883724551151274E-3</v>
      </c>
      <c r="BX211" s="62">
        <f t="shared" ref="BX211:BX217" si="104">LN(BW211)</f>
        <v>-5.5758187834878985</v>
      </c>
      <c r="BY211" s="62">
        <f t="shared" si="86"/>
        <v>-12.662512164500606</v>
      </c>
      <c r="BZ211" s="62">
        <f t="shared" ref="BZ211:BZ217" si="105">BY211+BV211</f>
        <v>19.213487835499372</v>
      </c>
      <c r="CA211" s="62">
        <f t="shared" ref="CA211:CA217" si="106">BZ211*BW211</f>
        <v>7.2787848082695394E-2</v>
      </c>
      <c r="CB211" s="62">
        <f>CA211*$BT$218</f>
        <v>1430.4049014186044</v>
      </c>
      <c r="CD211" s="4"/>
      <c r="CE211" s="4"/>
      <c r="CG211" s="139" t="s">
        <v>632</v>
      </c>
      <c r="CH211" s="136">
        <f>(CW215+CW206+CW231+CW248+CW264)/(CB244+CB206+CB232)</f>
        <v>1.1682142312228616</v>
      </c>
      <c r="CI211" s="4"/>
      <c r="CJ211" s="4"/>
      <c r="CK211" s="17" t="s">
        <v>19</v>
      </c>
      <c r="CL211" s="173">
        <f>SUM(CL210)</f>
        <v>203.67821093694866</v>
      </c>
      <c r="CM211" s="17">
        <f>SUM(CM204:CM210)</f>
        <v>1</v>
      </c>
      <c r="CN211" s="17" t="s">
        <v>98</v>
      </c>
      <c r="CO211" s="17">
        <f>SUM(CO204:CO210)</f>
        <v>17825.162834461044</v>
      </c>
      <c r="CP211" s="17">
        <f>SUM(CL210*CP210) / CL211</f>
        <v>30080</v>
      </c>
      <c r="CQ211" s="17"/>
      <c r="CR211" s="17"/>
      <c r="CS211" s="17"/>
      <c r="CT211" s="17"/>
      <c r="CU211" s="17"/>
      <c r="CV211" s="17">
        <f>SUM(CV210)</f>
        <v>360.34491230862534</v>
      </c>
      <c r="CW211" s="17">
        <f>SUM(CW210)</f>
        <v>6423206.7384708319</v>
      </c>
    </row>
    <row r="212" spans="2:101" ht="19" thickBot="1">
      <c r="I212" s="359"/>
      <c r="J212" s="4" t="s">
        <v>123</v>
      </c>
      <c r="K212" s="4">
        <f t="shared" si="87"/>
        <v>1.2651347936303716</v>
      </c>
      <c r="L212" s="4" t="e">
        <f t="shared" si="74"/>
        <v>#REF!</v>
      </c>
      <c r="M212" s="4">
        <f>MW_CaO</f>
        <v>5.6077400000000006E-2</v>
      </c>
      <c r="N212" s="4">
        <f t="shared" si="88"/>
        <v>22.560510894413284</v>
      </c>
      <c r="O212" s="4">
        <f>h_CaO</f>
        <v>-11321.85158370395</v>
      </c>
      <c r="P212" s="4">
        <f>b_ch_CaO</f>
        <v>122.25799999999992</v>
      </c>
      <c r="Q212" s="4">
        <f t="shared" si="75"/>
        <v>1.1483322547071113E-3</v>
      </c>
      <c r="R212" s="4">
        <f t="shared" si="89"/>
        <v>-6.7694446024822117</v>
      </c>
      <c r="S212" s="4">
        <f t="shared" si="76"/>
        <v>-15.373199516398886</v>
      </c>
      <c r="T212" s="4">
        <f t="shared" si="90"/>
        <v>106.88480048360104</v>
      </c>
      <c r="U212" s="4">
        <f t="shared" si="91"/>
        <v>0.12273926393325332</v>
      </c>
      <c r="V212" s="4">
        <f t="shared" si="77"/>
        <v>2411.3757057574712</v>
      </c>
      <c r="W212" s="4"/>
      <c r="X212" s="4"/>
      <c r="Y212" s="4"/>
      <c r="Z212" s="4"/>
      <c r="AA212" s="140" t="s">
        <v>404</v>
      </c>
      <c r="AB212" s="99" t="e">
        <f>$AP$210/($AC$195+V206+V222+V236)</f>
        <v>#REF!</v>
      </c>
      <c r="AC212" s="359"/>
      <c r="AD212" s="4" t="s">
        <v>123</v>
      </c>
      <c r="AE212" s="4">
        <f t="shared" si="92"/>
        <v>1.2651347936303716</v>
      </c>
      <c r="AF212" s="4" t="e">
        <f t="shared" si="78"/>
        <v>#REF!</v>
      </c>
      <c r="AG212" s="4">
        <f>MW_CaO</f>
        <v>5.6077400000000006E-2</v>
      </c>
      <c r="AH212" s="4">
        <f t="shared" si="93"/>
        <v>22.560510894413284</v>
      </c>
      <c r="AI212" s="4">
        <f>h_CaO</f>
        <v>-11321.85158370395</v>
      </c>
      <c r="AJ212" s="4">
        <f>b_ch_CaO</f>
        <v>122.25799999999992</v>
      </c>
      <c r="AK212" s="4">
        <f t="shared" si="79"/>
        <v>1.1483322547071113E-3</v>
      </c>
      <c r="AL212" s="4">
        <f t="shared" si="94"/>
        <v>-6.7694446024822117</v>
      </c>
      <c r="AM212" s="4">
        <f t="shared" si="80"/>
        <v>-15.373199516398886</v>
      </c>
      <c r="AN212" s="4">
        <f t="shared" si="95"/>
        <v>106.88480048360104</v>
      </c>
      <c r="AO212" s="4">
        <f t="shared" si="96"/>
        <v>0.12273926393325332</v>
      </c>
      <c r="AP212" s="4">
        <f t="shared" si="81"/>
        <v>2411.3757057574712</v>
      </c>
      <c r="AQ212" s="4"/>
      <c r="AR212" s="4"/>
      <c r="AT212" s="140" t="s">
        <v>404</v>
      </c>
      <c r="AU212" s="137" t="e">
        <f>BI210/(AP206+AU190)</f>
        <v>#REF!</v>
      </c>
      <c r="AV212" s="359"/>
      <c r="AW212" s="4" t="s">
        <v>123</v>
      </c>
      <c r="AX212" s="4">
        <f>CL220</f>
        <v>1.2651347936303716</v>
      </c>
      <c r="AY212" s="4" t="e">
        <f t="shared" si="82"/>
        <v>#REF!</v>
      </c>
      <c r="AZ212" s="4">
        <f>MW_CaO</f>
        <v>5.6077400000000006E-2</v>
      </c>
      <c r="BA212" s="4">
        <f t="shared" si="97"/>
        <v>22.560510894413284</v>
      </c>
      <c r="BB212" s="4">
        <f>h_CaO</f>
        <v>-11321.85158370395</v>
      </c>
      <c r="BC212" s="4">
        <f>b_ch_CaO</f>
        <v>122.25799999999992</v>
      </c>
      <c r="BD212" s="4">
        <f t="shared" si="83"/>
        <v>1.1483322547071113E-3</v>
      </c>
      <c r="BE212" s="4">
        <f t="shared" si="98"/>
        <v>-6.7694446024822117</v>
      </c>
      <c r="BF212" s="4">
        <f t="shared" si="84"/>
        <v>-15.373199516398886</v>
      </c>
      <c r="BG212" s="4">
        <f t="shared" si="99"/>
        <v>106.88480048360104</v>
      </c>
      <c r="BH212" s="4">
        <f t="shared" si="100"/>
        <v>0.12273926393325332</v>
      </c>
      <c r="BI212" s="4">
        <f t="shared" si="85"/>
        <v>2411.3757057574712</v>
      </c>
      <c r="BJ212" s="4"/>
      <c r="BK212" s="4"/>
      <c r="BM212" s="140" t="s">
        <v>404</v>
      </c>
      <c r="BN212" s="137" t="e">
        <f>CB210/(BM195+BI206)</f>
        <v>#REF!</v>
      </c>
      <c r="BO212" s="359"/>
      <c r="BP212" s="4" t="s">
        <v>123</v>
      </c>
      <c r="BQ212" s="434">
        <f>CL220</f>
        <v>1.2651347936303716</v>
      </c>
      <c r="BR212" s="434">
        <f t="shared" si="101"/>
        <v>4.228389806458936E-3</v>
      </c>
      <c r="BS212" s="4">
        <f>MW_CaO</f>
        <v>5.6077400000000006E-2</v>
      </c>
      <c r="BT212" s="4">
        <f t="shared" si="102"/>
        <v>22.560510894413284</v>
      </c>
      <c r="BU212" s="4">
        <f>h_CaO</f>
        <v>-11321.85158370395</v>
      </c>
      <c r="BV212" s="4">
        <f>b_ch_CaO</f>
        <v>122.25799999999992</v>
      </c>
      <c r="BW212" s="434">
        <f t="shared" si="103"/>
        <v>1.1480183254559352E-3</v>
      </c>
      <c r="BX212" s="434">
        <f t="shared" si="104"/>
        <v>-6.7697180182714582</v>
      </c>
      <c r="BY212" s="434">
        <f t="shared" si="86"/>
        <v>-15.373820435207715</v>
      </c>
      <c r="BZ212" s="434">
        <f t="shared" si="105"/>
        <v>106.88417956479221</v>
      </c>
      <c r="CA212" s="434">
        <f t="shared" si="106"/>
        <v>0.12270499684170423</v>
      </c>
      <c r="CB212" s="434">
        <f t="shared" ref="CB212:CB217" si="107">CA212*$BT$218</f>
        <v>2411.3616975119198</v>
      </c>
      <c r="CD212" s="4"/>
      <c r="CE212" s="4"/>
      <c r="CG212" s="140" t="s">
        <v>404</v>
      </c>
      <c r="CH212" s="137">
        <f>CW210/(CB244+CB206+CB232)</f>
        <v>0.65561899733665829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659</v>
      </c>
      <c r="CQ212" s="4"/>
      <c r="CR212" s="4"/>
      <c r="CV212" s="3" t="s">
        <v>96</v>
      </c>
      <c r="CW212" s="1" t="s">
        <v>93</v>
      </c>
    </row>
    <row r="213" spans="2:101">
      <c r="I213" s="359"/>
      <c r="J213" s="4" t="s">
        <v>179</v>
      </c>
      <c r="K213" s="4">
        <f t="shared" si="87"/>
        <v>0.50605391745214856</v>
      </c>
      <c r="L213" s="4" t="e">
        <f t="shared" si="74"/>
        <v>#REF!</v>
      </c>
      <c r="M213" s="4">
        <f>MW_MgO</f>
        <v>4.0304400000000004E-2</v>
      </c>
      <c r="N213" s="4">
        <f t="shared" si="88"/>
        <v>12.555798311155817</v>
      </c>
      <c r="O213" s="4">
        <f>h_MgO</f>
        <v>-14926.410019749705</v>
      </c>
      <c r="P213" s="4">
        <f>b_ch_MgO</f>
        <v>62.576000000000022</v>
      </c>
      <c r="Q213" s="4">
        <f t="shared" si="75"/>
        <v>6.3909138635099454E-4</v>
      </c>
      <c r="R213" s="4">
        <f t="shared" si="89"/>
        <v>-7.3554630991785626</v>
      </c>
      <c r="S213" s="4">
        <f t="shared" si="76"/>
        <v>-16.704029414424749</v>
      </c>
      <c r="T213" s="4">
        <f t="shared" si="90"/>
        <v>45.871970585575269</v>
      </c>
      <c r="U213" s="4">
        <f t="shared" si="91"/>
        <v>2.9316381276187343E-2</v>
      </c>
      <c r="V213" s="4">
        <f t="shared" si="77"/>
        <v>575.95921080775531</v>
      </c>
      <c r="W213" s="4"/>
      <c r="X213" s="4"/>
      <c r="Y213" s="4"/>
      <c r="Z213" s="4"/>
      <c r="AA213" s="4"/>
      <c r="AB213" s="4"/>
      <c r="AC213" s="359"/>
      <c r="AD213" s="4" t="s">
        <v>179</v>
      </c>
      <c r="AE213" s="4">
        <f t="shared" si="92"/>
        <v>0.50605391745214856</v>
      </c>
      <c r="AF213" s="4" t="e">
        <f t="shared" si="78"/>
        <v>#REF!</v>
      </c>
      <c r="AG213" s="4">
        <f>MW_MgO</f>
        <v>4.0304400000000004E-2</v>
      </c>
      <c r="AH213" s="4">
        <f t="shared" si="93"/>
        <v>12.555798311155817</v>
      </c>
      <c r="AI213" s="4">
        <f>h_MgO</f>
        <v>-14926.410019749705</v>
      </c>
      <c r="AJ213" s="4">
        <f>b_ch_MgO</f>
        <v>62.576000000000022</v>
      </c>
      <c r="AK213" s="4">
        <f t="shared" si="79"/>
        <v>6.3909138635099454E-4</v>
      </c>
      <c r="AL213" s="4">
        <f t="shared" si="94"/>
        <v>-7.3554630991785626</v>
      </c>
      <c r="AM213" s="4">
        <f t="shared" si="80"/>
        <v>-16.704029414424749</v>
      </c>
      <c r="AN213" s="4">
        <f t="shared" si="95"/>
        <v>45.871970585575269</v>
      </c>
      <c r="AO213" s="4">
        <f t="shared" si="96"/>
        <v>2.9316381276187343E-2</v>
      </c>
      <c r="AP213" s="4">
        <f t="shared" si="81"/>
        <v>575.95921080775531</v>
      </c>
      <c r="AQ213" s="4"/>
      <c r="AR213" s="4"/>
      <c r="AT213" s="4"/>
      <c r="AU213" s="4"/>
      <c r="AV213" s="359"/>
      <c r="AW213" s="4" t="s">
        <v>179</v>
      </c>
      <c r="AX213" s="4">
        <f>CL221</f>
        <v>0.50605391745214856</v>
      </c>
      <c r="AY213" s="4" t="e">
        <f t="shared" si="82"/>
        <v>#REF!</v>
      </c>
      <c r="AZ213" s="4">
        <f>MW_MgO</f>
        <v>4.0304400000000004E-2</v>
      </c>
      <c r="BA213" s="4">
        <f t="shared" si="97"/>
        <v>12.555798311155817</v>
      </c>
      <c r="BB213" s="4">
        <f>h_MgO</f>
        <v>-14926.410019749705</v>
      </c>
      <c r="BC213" s="4">
        <f>b_ch_MgO</f>
        <v>62.576000000000022</v>
      </c>
      <c r="BD213" s="4">
        <f t="shared" si="83"/>
        <v>6.3909138635099454E-4</v>
      </c>
      <c r="BE213" s="4">
        <f t="shared" si="98"/>
        <v>-7.3554630991785626</v>
      </c>
      <c r="BF213" s="4">
        <f t="shared" si="84"/>
        <v>-16.704029414424749</v>
      </c>
      <c r="BG213" s="4">
        <f t="shared" si="99"/>
        <v>45.871970585575269</v>
      </c>
      <c r="BH213" s="4">
        <f t="shared" si="100"/>
        <v>2.9316381276187343E-2</v>
      </c>
      <c r="BI213" s="4">
        <f t="shared" si="85"/>
        <v>575.95921080775531</v>
      </c>
      <c r="BJ213" s="4"/>
      <c r="BK213" s="4"/>
      <c r="BL213" s="4"/>
      <c r="BM213" s="4"/>
      <c r="BN213" s="4"/>
      <c r="BO213" s="359"/>
      <c r="BP213" s="4" t="s">
        <v>179</v>
      </c>
      <c r="BQ213" s="434">
        <f>CL221</f>
        <v>0.50605391745214856</v>
      </c>
      <c r="BR213" s="434">
        <f t="shared" si="101"/>
        <v>1.6913559225835741E-3</v>
      </c>
      <c r="BS213" s="4">
        <f>MW_MgO</f>
        <v>4.0304400000000004E-2</v>
      </c>
      <c r="BT213" s="4">
        <f t="shared" si="102"/>
        <v>12.555798311155817</v>
      </c>
      <c r="BU213" s="4">
        <f>h_MgO</f>
        <v>-14926.410019749705</v>
      </c>
      <c r="BV213" s="4">
        <f>b_ch_MgO</f>
        <v>62.576000000000022</v>
      </c>
      <c r="BW213" s="434">
        <f t="shared" si="103"/>
        <v>6.3891667256103703E-4</v>
      </c>
      <c r="BX213" s="434">
        <f t="shared" si="104"/>
        <v>-7.35573651496781</v>
      </c>
      <c r="BY213" s="434">
        <f t="shared" si="86"/>
        <v>-16.704650333233584</v>
      </c>
      <c r="BZ213" s="434">
        <f t="shared" si="105"/>
        <v>45.871349666766434</v>
      </c>
      <c r="CA213" s="434">
        <f t="shared" si="106"/>
        <v>2.9307970094974246E-2</v>
      </c>
      <c r="CB213" s="434">
        <f t="shared" si="107"/>
        <v>575.95141467642395</v>
      </c>
      <c r="CC213" s="4"/>
      <c r="CD213" s="4"/>
      <c r="CU213" s="4"/>
      <c r="CV213" s="63" t="s">
        <v>1</v>
      </c>
      <c r="CW213" s="58" t="s">
        <v>0</v>
      </c>
    </row>
    <row r="214" spans="2:101" ht="18">
      <c r="I214" s="359"/>
      <c r="J214" s="4" t="s">
        <v>308</v>
      </c>
      <c r="K214" s="4">
        <f t="shared" si="87"/>
        <v>0.25302695872607428</v>
      </c>
      <c r="L214" s="4" t="e">
        <f t="shared" si="74"/>
        <v>#REF!</v>
      </c>
      <c r="M214" s="4">
        <f>MW_Na2O</f>
        <v>6.1978936000000005E-2</v>
      </c>
      <c r="N214" s="4">
        <f t="shared" si="88"/>
        <v>4.0824669646809406</v>
      </c>
      <c r="O214" s="4">
        <f>h_Na2O</f>
        <v>-6682.9156279804474</v>
      </c>
      <c r="P214" s="4">
        <f>b_ch_Na2O</f>
        <v>298.64000000000004</v>
      </c>
      <c r="Q214" s="4">
        <f t="shared" si="75"/>
        <v>2.0779797568681258E-4</v>
      </c>
      <c r="R214" s="4">
        <f t="shared" si="89"/>
        <v>-8.4789442209885006</v>
      </c>
      <c r="S214" s="4">
        <f t="shared" si="76"/>
        <v>-19.255420326488455</v>
      </c>
      <c r="T214" s="4">
        <f t="shared" si="90"/>
        <v>279.38457967351161</v>
      </c>
      <c r="U214" s="4">
        <f t="shared" si="91"/>
        <v>5.8055550094266717E-2</v>
      </c>
      <c r="V214" s="4">
        <f t="shared" si="77"/>
        <v>1140.5783169583815</v>
      </c>
      <c r="W214" s="4"/>
      <c r="X214" s="4" t="s">
        <v>378</v>
      </c>
      <c r="Y214" s="1" t="s">
        <v>131</v>
      </c>
      <c r="Z214" s="1" t="s">
        <v>282</v>
      </c>
      <c r="AA214" s="1" t="s">
        <v>282</v>
      </c>
      <c r="AB214" s="4"/>
      <c r="AC214" s="359"/>
      <c r="AD214" s="4" t="s">
        <v>308</v>
      </c>
      <c r="AE214" s="4">
        <f t="shared" si="92"/>
        <v>0.25302695872607428</v>
      </c>
      <c r="AF214" s="4" t="e">
        <f t="shared" si="78"/>
        <v>#REF!</v>
      </c>
      <c r="AG214" s="4">
        <f>MW_Na2O</f>
        <v>6.1978936000000005E-2</v>
      </c>
      <c r="AH214" s="4">
        <f t="shared" si="93"/>
        <v>4.0824669646809406</v>
      </c>
      <c r="AI214" s="4">
        <f>h_Na2O</f>
        <v>-6682.9156279804474</v>
      </c>
      <c r="AJ214" s="4">
        <f>b_ch_Na2O</f>
        <v>298.64000000000004</v>
      </c>
      <c r="AK214" s="4">
        <f t="shared" si="79"/>
        <v>2.0779797568681258E-4</v>
      </c>
      <c r="AL214" s="4">
        <f t="shared" si="94"/>
        <v>-8.4789442209885006</v>
      </c>
      <c r="AM214" s="4">
        <f t="shared" si="80"/>
        <v>-19.255420326488455</v>
      </c>
      <c r="AN214" s="4">
        <f t="shared" si="95"/>
        <v>279.38457967351161</v>
      </c>
      <c r="AO214" s="4">
        <f t="shared" si="96"/>
        <v>5.8055550094266717E-2</v>
      </c>
      <c r="AP214" s="4">
        <f t="shared" si="81"/>
        <v>1140.5783169583815</v>
      </c>
      <c r="AQ214" s="4"/>
      <c r="AR214" s="4"/>
      <c r="AS214" s="4"/>
      <c r="AT214" s="4"/>
      <c r="AU214" s="4"/>
      <c r="AV214" s="359"/>
      <c r="AW214" s="4" t="s">
        <v>308</v>
      </c>
      <c r="AX214" s="4">
        <f>CL222</f>
        <v>0.25302695872607428</v>
      </c>
      <c r="AY214" s="4" t="e">
        <f t="shared" si="82"/>
        <v>#REF!</v>
      </c>
      <c r="AZ214" s="4">
        <f>MW_Na2O</f>
        <v>6.1978936000000005E-2</v>
      </c>
      <c r="BA214" s="4">
        <f t="shared" si="97"/>
        <v>4.0824669646809406</v>
      </c>
      <c r="BB214" s="4">
        <f>h_Na2O</f>
        <v>-6682.9156279804474</v>
      </c>
      <c r="BC214" s="4">
        <f>b_ch_Na2O</f>
        <v>298.64000000000004</v>
      </c>
      <c r="BD214" s="4">
        <f t="shared" si="83"/>
        <v>2.0779797568681258E-4</v>
      </c>
      <c r="BE214" s="4">
        <f t="shared" si="98"/>
        <v>-8.4789442209885006</v>
      </c>
      <c r="BF214" s="4">
        <f t="shared" si="84"/>
        <v>-19.255420326488455</v>
      </c>
      <c r="BG214" s="4">
        <f t="shared" si="99"/>
        <v>279.38457967351161</v>
      </c>
      <c r="BH214" s="4">
        <f t="shared" si="100"/>
        <v>5.8055550094266717E-2</v>
      </c>
      <c r="BI214" s="4">
        <f t="shared" si="85"/>
        <v>1140.5783169583815</v>
      </c>
      <c r="BJ214" s="4"/>
      <c r="BK214" s="4"/>
      <c r="BL214" s="4"/>
      <c r="BM214" s="4"/>
      <c r="BN214" s="4"/>
      <c r="BO214" s="359"/>
      <c r="BP214" s="4" t="s">
        <v>308</v>
      </c>
      <c r="BQ214" s="434">
        <f>CL222</f>
        <v>0.25302695872607428</v>
      </c>
      <c r="BR214" s="434">
        <f t="shared" si="101"/>
        <v>8.4567796129178703E-4</v>
      </c>
      <c r="BS214" s="4">
        <f>MW_Na2O</f>
        <v>6.1978936000000005E-2</v>
      </c>
      <c r="BT214" s="4">
        <f t="shared" si="102"/>
        <v>4.0824669646809406</v>
      </c>
      <c r="BU214" s="4">
        <f>h_Na2O</f>
        <v>-6682.9156279804474</v>
      </c>
      <c r="BV214" s="4">
        <f>b_ch_Na2O</f>
        <v>298.64000000000004</v>
      </c>
      <c r="BW214" s="434">
        <f t="shared" si="103"/>
        <v>2.0774116820567124E-4</v>
      </c>
      <c r="BX214" s="434">
        <f t="shared" si="104"/>
        <v>-8.4792176367777472</v>
      </c>
      <c r="BY214" s="434">
        <f t="shared" si="86"/>
        <v>-19.256041245297286</v>
      </c>
      <c r="BZ214" s="434">
        <f t="shared" si="105"/>
        <v>279.38395875470275</v>
      </c>
      <c r="CA214" s="434">
        <f t="shared" si="106"/>
        <v>5.803954996962702E-2</v>
      </c>
      <c r="CB214" s="434">
        <f t="shared" si="107"/>
        <v>1140.5757820778565</v>
      </c>
      <c r="CC214" s="4"/>
      <c r="CD214" s="4"/>
      <c r="CJ214" s="311"/>
      <c r="CU214" s="4"/>
      <c r="CV214" s="65" t="s">
        <v>89</v>
      </c>
      <c r="CW214" s="64" t="s">
        <v>93</v>
      </c>
    </row>
    <row r="215" spans="2:101" ht="19" thickBot="1">
      <c r="I215" s="359"/>
      <c r="J215" s="1" t="s">
        <v>15</v>
      </c>
      <c r="K215" s="4">
        <f t="shared" si="87"/>
        <v>3.7954043808911142</v>
      </c>
      <c r="L215" s="4" t="e">
        <f t="shared" si="74"/>
        <v>#REF!</v>
      </c>
      <c r="M215" s="4">
        <f>MW_Fe2O3</f>
        <v>0.1596882</v>
      </c>
      <c r="N215" s="4">
        <f t="shared" si="88"/>
        <v>23.767594480312972</v>
      </c>
      <c r="O215" s="4">
        <f>h_Fe2O3</f>
        <v>-5161.3080991582347</v>
      </c>
      <c r="P215" s="4">
        <f>b_ch_Fe2O3</f>
        <v>17.358400000000074</v>
      </c>
      <c r="Q215" s="4">
        <f t="shared" si="75"/>
        <v>1.2097729296237146E-3</v>
      </c>
      <c r="R215" s="4">
        <f t="shared" si="89"/>
        <v>-6.7173225984521086</v>
      </c>
      <c r="S215" s="4">
        <f t="shared" si="76"/>
        <v>-15.254832055816445</v>
      </c>
      <c r="T215" s="4">
        <f t="shared" si="90"/>
        <v>2.103567944183629</v>
      </c>
      <c r="U215" s="4">
        <f t="shared" si="91"/>
        <v>2.5448395544975634E-3</v>
      </c>
      <c r="V215" s="4">
        <f t="shared" si="77"/>
        <v>49.99674985914212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9"/>
      <c r="AD215" s="1" t="s">
        <v>15</v>
      </c>
      <c r="AE215" s="4">
        <f t="shared" si="92"/>
        <v>3.7954043808911142</v>
      </c>
      <c r="AF215" s="4" t="e">
        <f t="shared" si="78"/>
        <v>#REF!</v>
      </c>
      <c r="AG215" s="4">
        <f>MW_Fe2O3</f>
        <v>0.1596882</v>
      </c>
      <c r="AH215" s="4">
        <f t="shared" si="93"/>
        <v>23.767594480312972</v>
      </c>
      <c r="AI215" s="4">
        <f>h_Fe2O3</f>
        <v>-5161.3080991582347</v>
      </c>
      <c r="AJ215" s="4">
        <f>b_ch_Fe2O3</f>
        <v>17.358400000000074</v>
      </c>
      <c r="AK215" s="4">
        <f t="shared" si="79"/>
        <v>1.2097729296237146E-3</v>
      </c>
      <c r="AL215" s="4">
        <f t="shared" si="94"/>
        <v>-6.7173225984521086</v>
      </c>
      <c r="AM215" s="4">
        <f t="shared" si="80"/>
        <v>-15.254832055816445</v>
      </c>
      <c r="AN215" s="4">
        <f t="shared" si="95"/>
        <v>2.103567944183629</v>
      </c>
      <c r="AO215" s="4">
        <f t="shared" si="96"/>
        <v>2.5448395544975634E-3</v>
      </c>
      <c r="AP215" s="4">
        <f t="shared" si="81"/>
        <v>49.99674985914212</v>
      </c>
      <c r="AQ215" s="4"/>
      <c r="AR215" s="3" t="s">
        <v>2</v>
      </c>
      <c r="AS215" s="3" t="s">
        <v>3</v>
      </c>
      <c r="AT215" s="132" t="s">
        <v>581</v>
      </c>
      <c r="AU215" s="4"/>
      <c r="AV215" s="359"/>
      <c r="AW215" s="1" t="s">
        <v>15</v>
      </c>
      <c r="AX215" s="4">
        <f>CL223</f>
        <v>3.7954043808911142</v>
      </c>
      <c r="AY215" s="4" t="e">
        <f t="shared" si="82"/>
        <v>#REF!</v>
      </c>
      <c r="AZ215" s="4">
        <f>MW_Fe2O3</f>
        <v>0.1596882</v>
      </c>
      <c r="BA215" s="4">
        <f t="shared" si="97"/>
        <v>23.767594480312972</v>
      </c>
      <c r="BB215" s="4">
        <f>h_Fe2O3</f>
        <v>-5161.3080991582347</v>
      </c>
      <c r="BC215" s="4">
        <f>b_ch_Fe2O3</f>
        <v>17.358400000000074</v>
      </c>
      <c r="BD215" s="4">
        <f t="shared" si="83"/>
        <v>1.2097729296237146E-3</v>
      </c>
      <c r="BE215" s="4">
        <f t="shared" si="98"/>
        <v>-6.7173225984521086</v>
      </c>
      <c r="BF215" s="4">
        <f t="shared" si="84"/>
        <v>-15.254832055816445</v>
      </c>
      <c r="BG215" s="4">
        <f t="shared" si="99"/>
        <v>2.103567944183629</v>
      </c>
      <c r="BH215" s="4">
        <f t="shared" si="100"/>
        <v>2.5448395544975634E-3</v>
      </c>
      <c r="BI215" s="4">
        <f t="shared" si="85"/>
        <v>49.99674985914212</v>
      </c>
      <c r="BJ215" s="4"/>
      <c r="BK215" s="3" t="s">
        <v>2</v>
      </c>
      <c r="BL215" s="3" t="s">
        <v>3</v>
      </c>
      <c r="BM215" s="132" t="s">
        <v>581</v>
      </c>
      <c r="BN215" s="4"/>
      <c r="BO215" s="359"/>
      <c r="BP215" s="1" t="s">
        <v>15</v>
      </c>
      <c r="BQ215" s="434">
        <f>CL223</f>
        <v>3.7954043808911142</v>
      </c>
      <c r="BR215" s="434">
        <f t="shared" si="101"/>
        <v>1.2685169419376805E-2</v>
      </c>
      <c r="BS215" s="4">
        <f>MW_Fe2O3</f>
        <v>0.1596882</v>
      </c>
      <c r="BT215" s="4">
        <f t="shared" si="102"/>
        <v>23.767594480312972</v>
      </c>
      <c r="BU215" s="4">
        <f>h_Fe2O3</f>
        <v>-5161.3080991582347</v>
      </c>
      <c r="BV215" s="4">
        <f>b_ch_Fe2O3</f>
        <v>17.358400000000074</v>
      </c>
      <c r="BW215" s="434">
        <f t="shared" si="103"/>
        <v>1.2094422038182407E-3</v>
      </c>
      <c r="BX215" s="434">
        <f t="shared" si="104"/>
        <v>-6.7175960142413551</v>
      </c>
      <c r="BY215" s="434">
        <f t="shared" si="86"/>
        <v>-15.255452974625276</v>
      </c>
      <c r="BZ215" s="434">
        <f t="shared" si="105"/>
        <v>2.1029470253747977</v>
      </c>
      <c r="CA215" s="434">
        <f t="shared" si="106"/>
        <v>2.5433928848823091E-3</v>
      </c>
      <c r="CB215" s="434">
        <f t="shared" si="107"/>
        <v>49.98199211268863</v>
      </c>
      <c r="CC215" s="4"/>
      <c r="CD215" s="4"/>
      <c r="CE215" s="3" t="s">
        <v>2</v>
      </c>
      <c r="CF215" s="3" t="s">
        <v>3</v>
      </c>
      <c r="CG215" s="132" t="s">
        <v>581</v>
      </c>
      <c r="CH215" s="132"/>
      <c r="CI215" s="132"/>
      <c r="CJ215" s="311"/>
      <c r="CR215" s="3" t="s">
        <v>525</v>
      </c>
      <c r="CU215" s="4"/>
      <c r="CV215" s="50">
        <f>CL226</f>
        <v>25.30269587260743</v>
      </c>
      <c r="CW215" s="48">
        <f>CW226</f>
        <v>9096.5158881408915</v>
      </c>
    </row>
    <row r="216" spans="2:101" ht="18.5" customHeight="1">
      <c r="I216" s="359"/>
      <c r="J216" s="1" t="s">
        <v>17</v>
      </c>
      <c r="K216" s="4">
        <f t="shared" si="87"/>
        <v>11.386213142673343</v>
      </c>
      <c r="L216" s="4" t="e">
        <f t="shared" si="74"/>
        <v>#REF!</v>
      </c>
      <c r="M216" s="3">
        <f>MW_SIO2</f>
        <v>6.00843E-2</v>
      </c>
      <c r="N216" s="4">
        <f t="shared" si="88"/>
        <v>189.50396597236454</v>
      </c>
      <c r="O216" s="4">
        <f>h_SiO2</f>
        <v>-15157.037695371337</v>
      </c>
      <c r="P216" s="3">
        <f>b_ch_SiO2</f>
        <v>1.5260000000000673</v>
      </c>
      <c r="Q216" s="4">
        <f t="shared" si="75"/>
        <v>9.6457707690863186E-3</v>
      </c>
      <c r="R216" s="4">
        <f t="shared" si="89"/>
        <v>-4.6412357219670684</v>
      </c>
      <c r="S216" s="4">
        <f t="shared" si="76"/>
        <v>-10.540102910403403</v>
      </c>
      <c r="T216" s="4">
        <f t="shared" si="90"/>
        <v>-9.0141029104033361</v>
      </c>
      <c r="U216" s="4">
        <f t="shared" si="91"/>
        <v>-8.6947970362704408E-2</v>
      </c>
      <c r="V216" s="4">
        <f t="shared" si="77"/>
        <v>-1708.208251204466</v>
      </c>
      <c r="W216" s="359" t="s">
        <v>378</v>
      </c>
      <c r="X216" s="62" t="s">
        <v>307</v>
      </c>
      <c r="Y216" s="62" t="e">
        <f t="shared" ref="Y216:Y221" si="108">$Y$222*Z216</f>
        <v>#REF!</v>
      </c>
      <c r="Z216" s="170">
        <v>0.3715</v>
      </c>
      <c r="AA216" s="170">
        <v>0.37219999999999998</v>
      </c>
      <c r="AC216" s="359"/>
      <c r="AD216" s="1" t="s">
        <v>17</v>
      </c>
      <c r="AE216" s="4">
        <f t="shared" si="92"/>
        <v>11.386213142673343</v>
      </c>
      <c r="AF216" s="4" t="e">
        <f t="shared" si="78"/>
        <v>#REF!</v>
      </c>
      <c r="AG216" s="3">
        <f>MW_SIO2</f>
        <v>6.00843E-2</v>
      </c>
      <c r="AH216" s="4">
        <f t="shared" si="93"/>
        <v>189.50396597236454</v>
      </c>
      <c r="AI216" s="4">
        <f>h_SiO2</f>
        <v>-15157.037695371337</v>
      </c>
      <c r="AJ216" s="3">
        <f>b_ch_SiO2</f>
        <v>1.5260000000000673</v>
      </c>
      <c r="AK216" s="4">
        <f t="shared" si="79"/>
        <v>9.6457707690863186E-3</v>
      </c>
      <c r="AL216" s="4">
        <f t="shared" si="94"/>
        <v>-4.6412357219670684</v>
      </c>
      <c r="AM216" s="4">
        <f t="shared" si="80"/>
        <v>-10.540102910403403</v>
      </c>
      <c r="AN216" s="4">
        <f t="shared" si="95"/>
        <v>-9.0141029104033361</v>
      </c>
      <c r="AO216" s="4">
        <f t="shared" si="96"/>
        <v>-8.6947970362704408E-2</v>
      </c>
      <c r="AP216" s="4">
        <f t="shared" si="81"/>
        <v>-1708.208251204466</v>
      </c>
      <c r="AQ216" s="4"/>
      <c r="AR216" s="1" t="s">
        <v>583</v>
      </c>
      <c r="AS216" s="1" t="s">
        <v>583</v>
      </c>
      <c r="AT216" s="1" t="s">
        <v>583</v>
      </c>
      <c r="AU216" s="4"/>
      <c r="AV216" s="359"/>
      <c r="AW216" s="1" t="s">
        <v>17</v>
      </c>
      <c r="AX216" s="4">
        <f>CL224</f>
        <v>11.386213142673343</v>
      </c>
      <c r="AY216" s="4" t="e">
        <f t="shared" si="82"/>
        <v>#REF!</v>
      </c>
      <c r="AZ216" s="3">
        <f>MW_SIO2</f>
        <v>6.00843E-2</v>
      </c>
      <c r="BA216" s="4">
        <f t="shared" si="97"/>
        <v>189.50396597236454</v>
      </c>
      <c r="BB216" s="4">
        <f>h_SiO2</f>
        <v>-15157.037695371337</v>
      </c>
      <c r="BC216" s="3">
        <f>b_ch_SiO2</f>
        <v>1.5260000000000673</v>
      </c>
      <c r="BD216" s="4">
        <f t="shared" si="83"/>
        <v>9.6457707690863186E-3</v>
      </c>
      <c r="BE216" s="4">
        <f t="shared" si="98"/>
        <v>-4.6412357219670684</v>
      </c>
      <c r="BF216" s="4">
        <f t="shared" si="84"/>
        <v>-10.540102910403403</v>
      </c>
      <c r="BG216" s="4">
        <f t="shared" si="99"/>
        <v>-9.0141029104033361</v>
      </c>
      <c r="BH216" s="4">
        <f t="shared" si="100"/>
        <v>-8.6947970362704408E-2</v>
      </c>
      <c r="BI216" s="4">
        <f t="shared" si="85"/>
        <v>-1708.208251204466</v>
      </c>
      <c r="BJ216" s="4"/>
      <c r="BK216" s="1" t="s">
        <v>583</v>
      </c>
      <c r="BL216" s="1" t="s">
        <v>583</v>
      </c>
      <c r="BM216" s="1" t="s">
        <v>583</v>
      </c>
      <c r="BN216" s="4"/>
      <c r="BO216" s="359"/>
      <c r="BP216" s="1" t="s">
        <v>17</v>
      </c>
      <c r="BQ216" s="434">
        <f>CL224</f>
        <v>11.386213142673343</v>
      </c>
      <c r="BR216" s="434">
        <f t="shared" si="101"/>
        <v>3.8055508258130422E-2</v>
      </c>
      <c r="BS216" s="3">
        <f>MW_SIO2</f>
        <v>6.00843E-2</v>
      </c>
      <c r="BT216" s="4">
        <f t="shared" si="102"/>
        <v>189.50396597236454</v>
      </c>
      <c r="BU216" s="4">
        <f>h_SiO2</f>
        <v>-15157.037695371337</v>
      </c>
      <c r="BV216" s="3">
        <f>b_ch_SiO2</f>
        <v>1.5260000000000673</v>
      </c>
      <c r="BW216" s="434">
        <f t="shared" si="103"/>
        <v>9.643133823566288E-3</v>
      </c>
      <c r="BX216" s="434">
        <f t="shared" si="104"/>
        <v>-4.6415091377563158</v>
      </c>
      <c r="BY216" s="434">
        <f t="shared" si="86"/>
        <v>-10.540723829212236</v>
      </c>
      <c r="BZ216" s="434">
        <f t="shared" si="105"/>
        <v>-9.0147238292121692</v>
      </c>
      <c r="CA216" s="434">
        <f t="shared" si="106"/>
        <v>-8.6930188267584876E-2</v>
      </c>
      <c r="CB216" s="434">
        <f t="shared" si="107"/>
        <v>-1708.3259177812865</v>
      </c>
      <c r="CC216" s="4"/>
      <c r="CD216" s="4"/>
      <c r="CE216" s="1" t="s">
        <v>583</v>
      </c>
      <c r="CF216" s="1" t="s">
        <v>583</v>
      </c>
      <c r="CG216" s="1" t="s">
        <v>583</v>
      </c>
      <c r="CH216" s="1"/>
      <c r="CI216" s="1"/>
      <c r="CJ216" s="311"/>
      <c r="CU216" s="4"/>
      <c r="CV216" s="4"/>
    </row>
    <row r="217" spans="2:101" ht="18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>
        <f>SUM(N210:N216)</f>
        <v>19646.326924925983</v>
      </c>
      <c r="O217" s="17" t="e" cm="1">
        <f t="array" ref="O217">SUM(K210:K216*O210:O216) / K217</f>
        <v>#REF!</v>
      </c>
      <c r="P217" s="17"/>
      <c r="Q217" s="62">
        <f>SUM(Q210:Q216)</f>
        <v>0.99999999999999967</v>
      </c>
      <c r="R217" s="17"/>
      <c r="S217" s="17"/>
      <c r="T217" s="17"/>
      <c r="U217" s="62">
        <f>SUM(U210:U216)</f>
        <v>451.7604769096464</v>
      </c>
      <c r="V217" s="62">
        <f>SUM(V210:V216)</f>
        <v>8875434.0211273897</v>
      </c>
      <c r="W217" s="359"/>
      <c r="X217" s="4" t="s">
        <v>123</v>
      </c>
      <c r="Y217" s="4" t="e">
        <f t="shared" si="108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>
        <f>SUM(AH210:AH216)</f>
        <v>19646.326924925983</v>
      </c>
      <c r="AI217" s="17" t="e" cm="1">
        <f t="array" ref="AI217">SUM(AE210:AE216*AI210:AI216) / AE217</f>
        <v>#REF!</v>
      </c>
      <c r="AJ217" s="17"/>
      <c r="AK217" s="62">
        <f>SUM(AK210:AK216)</f>
        <v>0.99999999999999967</v>
      </c>
      <c r="AL217" s="17"/>
      <c r="AM217" s="17"/>
      <c r="AN217" s="17"/>
      <c r="AO217" s="62">
        <f>SUM(AO210:AO216)</f>
        <v>451.7604769096464</v>
      </c>
      <c r="AP217" s="62">
        <f>SUM(AP210:AP216)</f>
        <v>8875434.0211273897</v>
      </c>
      <c r="AQ217" s="4" t="s">
        <v>60</v>
      </c>
      <c r="AR217" s="3" t="s">
        <v>582</v>
      </c>
      <c r="AS217" s="3" t="s">
        <v>582</v>
      </c>
      <c r="AT217" s="3" t="s">
        <v>582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>
        <f>SUM(BA210:BA216)</f>
        <v>19646.326924925983</v>
      </c>
      <c r="BB217" s="17" t="e" cm="1">
        <f t="array" ref="BB217">SUM(AX210:AX216*BB210:BB216) / AX217</f>
        <v>#REF!</v>
      </c>
      <c r="BC217" s="17"/>
      <c r="BD217" s="62">
        <f>SUM(BD210:BD216)</f>
        <v>0.99999999999999967</v>
      </c>
      <c r="BE217" s="17"/>
      <c r="BF217" s="17"/>
      <c r="BG217" s="17"/>
      <c r="BH217" s="62">
        <f>SUM(BH210:BH216)</f>
        <v>451.7604769096464</v>
      </c>
      <c r="BI217" s="62">
        <f>SUM(BI210:BI216)</f>
        <v>8875434.0211273897</v>
      </c>
      <c r="BJ217" s="4" t="s">
        <v>60</v>
      </c>
      <c r="BK217" s="3" t="s">
        <v>582</v>
      </c>
      <c r="BL217" s="3" t="s">
        <v>582</v>
      </c>
      <c r="BM217" s="3" t="s">
        <v>582</v>
      </c>
      <c r="BN217" s="4"/>
      <c r="BO217" s="4"/>
      <c r="BP217" s="436" t="s">
        <v>680</v>
      </c>
      <c r="BQ217" s="434">
        <f>CL225</f>
        <v>0.50605391745214856</v>
      </c>
      <c r="BR217" s="434">
        <f t="shared" si="101"/>
        <v>1.6913559225835741E-3</v>
      </c>
      <c r="BS217" s="434">
        <f>MW_K2O</f>
        <v>9.4196000000000002E-2</v>
      </c>
      <c r="BT217" s="434">
        <f t="shared" si="102"/>
        <v>5.3723503912283803</v>
      </c>
      <c r="BU217" s="435">
        <f>h_K2O</f>
        <v>-3024.5445666482651</v>
      </c>
      <c r="BV217" s="435">
        <f>b_ch_K2O</f>
        <v>412.83199999999999</v>
      </c>
      <c r="BW217" s="434">
        <f t="shared" si="103"/>
        <v>2.7337841455655294E-4</v>
      </c>
      <c r="BX217" s="434">
        <f t="shared" si="104"/>
        <v>-8.2046535886692951</v>
      </c>
      <c r="BY217" s="434">
        <f t="shared" si="86"/>
        <v>-18.632514776072078</v>
      </c>
      <c r="BZ217" s="434">
        <f t="shared" si="105"/>
        <v>394.19948522392792</v>
      </c>
      <c r="CA217" s="434">
        <f t="shared" si="106"/>
        <v>0.10776563028952674</v>
      </c>
      <c r="CB217" s="434">
        <f t="shared" si="107"/>
        <v>2117.7777586647953</v>
      </c>
      <c r="CC217" s="4"/>
      <c r="CD217" s="4" t="s">
        <v>60</v>
      </c>
      <c r="CE217" s="3" t="s">
        <v>582</v>
      </c>
      <c r="CF217" s="3" t="s">
        <v>582</v>
      </c>
      <c r="CG217" s="3" t="s">
        <v>582</v>
      </c>
      <c r="CJ217" s="311"/>
      <c r="CK217" s="4"/>
      <c r="CL217" s="1" t="s">
        <v>554</v>
      </c>
      <c r="CM217" s="1" t="s">
        <v>555</v>
      </c>
      <c r="CN217" s="1" t="s">
        <v>557</v>
      </c>
      <c r="CO217" s="1" t="s">
        <v>85</v>
      </c>
      <c r="CP217" s="1" t="s">
        <v>658</v>
      </c>
      <c r="CQ217" s="1" t="s">
        <v>6</v>
      </c>
      <c r="CR217" s="1" t="s">
        <v>7</v>
      </c>
      <c r="CS217" s="1" t="s">
        <v>8</v>
      </c>
      <c r="CT217" s="1" t="s">
        <v>9</v>
      </c>
      <c r="CU217" s="1" t="s">
        <v>49</v>
      </c>
      <c r="CV217" s="1" t="s">
        <v>556</v>
      </c>
      <c r="CW217" s="1" t="s">
        <v>50</v>
      </c>
    </row>
    <row r="218" spans="2:101" ht="18" customHeight="1">
      <c r="K218" s="1" t="s">
        <v>89</v>
      </c>
      <c r="L218" s="1"/>
      <c r="M218" s="3" t="s">
        <v>91</v>
      </c>
      <c r="N218" s="3" t="s">
        <v>87</v>
      </c>
      <c r="O218" s="1" t="s">
        <v>659</v>
      </c>
      <c r="P218" s="4"/>
      <c r="Q218" s="4"/>
      <c r="U218" s="3" t="s">
        <v>96</v>
      </c>
      <c r="V218" s="1" t="s">
        <v>93</v>
      </c>
      <c r="W218" s="359"/>
      <c r="X218" s="4" t="s">
        <v>179</v>
      </c>
      <c r="Y218" s="4" t="e">
        <f t="shared" si="108"/>
        <v>#REF!</v>
      </c>
      <c r="Z218" s="4">
        <v>1.24E-2</v>
      </c>
      <c r="AA218" s="4">
        <f t="shared" ref="AA218:AA221" si="109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19319.408632072231</v>
      </c>
      <c r="AS218" s="83">
        <f>BA210</f>
        <v>19319.408632072231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19319.408632072231</v>
      </c>
      <c r="BL218" s="83">
        <f>BT210</f>
        <v>19319.408632072231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299.20013327481234</v>
      </c>
      <c r="BR218" s="17">
        <f>SUM(BR210:BR217)</f>
        <v>1</v>
      </c>
      <c r="BS218" s="17">
        <f>SUM(BS211:BS217)</f>
        <v>0.57429051399999997</v>
      </c>
      <c r="BT218" s="17">
        <f>SUM(BT210:BT217)</f>
        <v>19651.699275317213</v>
      </c>
      <c r="BU218" s="17" cm="1">
        <f t="array" ref="BU218">SUM(BQ211:BQ217*BU211:BU217) / BQ218</f>
        <v>-1143.1202478697764</v>
      </c>
      <c r="BV218" s="17"/>
      <c r="BW218" s="17"/>
      <c r="BX218" s="17"/>
      <c r="BY218" s="17"/>
      <c r="BZ218" s="17"/>
      <c r="CA218" s="17">
        <f>SUM(CA210:CA217)</f>
        <v>451.74412022793598</v>
      </c>
      <c r="CB218" s="17">
        <f>SUM(CB210:CB217)</f>
        <v>8877539.600112142</v>
      </c>
      <c r="CC218" s="4"/>
      <c r="CD218" s="4" t="s">
        <v>18</v>
      </c>
      <c r="CE218" s="83" t="e">
        <f>BT210+#REF!+BT248</f>
        <v>#REF!</v>
      </c>
      <c r="CF218" s="83" t="e">
        <f>mol_C_to_BF+(2*CO236)+CO237+CO238+#REF!+CO253</f>
        <v>#REF!</v>
      </c>
      <c r="CG218" s="3" t="e">
        <f>CE218-CF218</f>
        <v>#REF!</v>
      </c>
      <c r="CJ218" s="311"/>
      <c r="CK218" s="4" t="s">
        <v>41</v>
      </c>
      <c r="CL218" s="1" t="s">
        <v>88</v>
      </c>
      <c r="CM218" s="4" t="s">
        <v>283</v>
      </c>
      <c r="CN218" s="436" t="s">
        <v>90</v>
      </c>
      <c r="CO218" s="436" t="s">
        <v>86</v>
      </c>
      <c r="CP218" s="1" t="s">
        <v>645</v>
      </c>
      <c r="CQ218" s="436" t="s">
        <v>95</v>
      </c>
      <c r="CR218" s="436" t="s">
        <v>25</v>
      </c>
      <c r="CS218" s="436" t="s">
        <v>98</v>
      </c>
      <c r="CT218" s="436" t="s">
        <v>95</v>
      </c>
      <c r="CU218" s="436" t="s">
        <v>95</v>
      </c>
      <c r="CV218" s="436" t="s">
        <v>94</v>
      </c>
      <c r="CW218" s="436" t="s">
        <v>92</v>
      </c>
    </row>
    <row r="219" spans="2:101" ht="21" customHeight="1" thickBot="1">
      <c r="W219" s="359"/>
      <c r="X219" s="4" t="s">
        <v>308</v>
      </c>
      <c r="Y219" s="4" t="e">
        <f t="shared" si="108"/>
        <v>#REF!</v>
      </c>
      <c r="Z219" s="4">
        <v>3.8E-3</v>
      </c>
      <c r="AA219" s="4">
        <f t="shared" si="109"/>
        <v>3.8E-3</v>
      </c>
      <c r="AQ219" s="3" t="s">
        <v>182</v>
      </c>
      <c r="AR219" s="284">
        <f>(mol_H_Coal*AH210)</f>
        <v>33719.168016036521</v>
      </c>
      <c r="AS219" s="284">
        <f>mol_H_Coal*BA210</f>
        <v>33719.168016036521</v>
      </c>
      <c r="AT219" s="3">
        <f t="shared" ref="AT219:AT227" si="110">AR219-AS219</f>
        <v>0</v>
      </c>
      <c r="BH219" s="4"/>
      <c r="BI219" s="4"/>
      <c r="BJ219" s="3" t="s">
        <v>182</v>
      </c>
      <c r="BK219" s="284">
        <f>(mol_H_Coal*BA210)</f>
        <v>33719.168016036521</v>
      </c>
      <c r="BL219" s="284">
        <f>mol_H_Coal*BT210</f>
        <v>33719.168016036521</v>
      </c>
      <c r="BM219" s="3">
        <f t="shared" ref="BM219:BM227" si="111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659</v>
      </c>
      <c r="BV219" s="4"/>
      <c r="BW219" s="4"/>
      <c r="CA219" s="3" t="s">
        <v>96</v>
      </c>
      <c r="CB219" s="1" t="s">
        <v>93</v>
      </c>
      <c r="CD219" s="3" t="s">
        <v>182</v>
      </c>
      <c r="CE219" s="83" t="e">
        <f>(mol_H_Coal*Ore_to_PI!BT210)+(2*Ore_to_PI!#REF!)+(4*Ore_to_PI!#REF!)+(4*Ore_to_PI!BT248)</f>
        <v>#REF!</v>
      </c>
      <c r="CF219" s="83" t="e">
        <f>(2*CO235)+(4*CO236)+(4*#REF!)+(2*CO252)</f>
        <v>#REF!</v>
      </c>
      <c r="CG219" s="3" t="e">
        <f>CE219-CF219</f>
        <v>#REF!</v>
      </c>
      <c r="CJ219" s="358" t="s">
        <v>525</v>
      </c>
      <c r="CK219" s="62" t="s">
        <v>307</v>
      </c>
      <c r="CL219" s="62">
        <f>Calculators!K107</f>
        <v>7.5908087617822284</v>
      </c>
      <c r="CM219" s="62">
        <f>CL219/$CL$226</f>
        <v>0.3</v>
      </c>
      <c r="CN219" s="62">
        <f>MW_Al2O3</f>
        <v>0.10196127799999999</v>
      </c>
      <c r="CO219" s="62">
        <f>CL219/CN219</f>
        <v>74.447956230817638</v>
      </c>
      <c r="CP219" s="62">
        <f>h_Al2O3</f>
        <v>-16434.670424590011</v>
      </c>
      <c r="CQ219" s="62">
        <f>b_ch_Al2O3</f>
        <v>31.875999999999976</v>
      </c>
      <c r="CR219" s="62">
        <f>CO219/$CO$226</f>
        <v>0.22404469624482506</v>
      </c>
      <c r="CS219" s="62">
        <f t="shared" ref="CS219:CS225" si="112">LN(CR219)</f>
        <v>-1.4959097102246635</v>
      </c>
      <c r="CT219" s="62">
        <f t="shared" ref="CT219:CT225" si="113">RT0*CS219</f>
        <v>-3.3971647283101647</v>
      </c>
      <c r="CU219" s="62">
        <f t="shared" ref="CU219:CU225" si="114">CT219+CQ219</f>
        <v>28.47883527168981</v>
      </c>
      <c r="CV219" s="62">
        <f t="shared" ref="CV219:CV225" si="115">CU219*CR219</f>
        <v>6.3805319978521533</v>
      </c>
      <c r="CW219" s="62">
        <f>CV219*$CO$226</f>
        <v>2120.1910818114284</v>
      </c>
    </row>
    <row r="220" spans="2:101" ht="18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9"/>
      <c r="X220" s="1" t="s">
        <v>15</v>
      </c>
      <c r="Y220" s="4" t="e">
        <f t="shared" si="108"/>
        <v>#REF!</v>
      </c>
      <c r="Z220" s="4">
        <v>4.3400000000000001E-2</v>
      </c>
      <c r="AA220" s="4">
        <f t="shared" si="109"/>
        <v>4.3400000000000001E-2</v>
      </c>
      <c r="AQ220" s="3" t="s">
        <v>29</v>
      </c>
      <c r="AR220" s="284">
        <f>(mol_O_Coal*AH210)+(3*AH211)+AH212+AH213+AH214+(3*AH215)+(2*AH216)</f>
        <v>977.89506620464851</v>
      </c>
      <c r="AS220" s="284">
        <f>(mol_O_Coal*BA210)+(3*BA211)+BA212+BA213+BA214+(3*BA215)+(2*BA216)</f>
        <v>977.89506620464851</v>
      </c>
      <c r="AT220" s="3">
        <f t="shared" si="110"/>
        <v>0</v>
      </c>
      <c r="BH220" s="4"/>
      <c r="BI220" s="4"/>
      <c r="BJ220" s="3" t="s">
        <v>29</v>
      </c>
      <c r="BK220" s="284">
        <f>(mol_O_Coal*BA210)+(3*BA211)+BA212+BA213+BA214+(3*BA215)+(2*BA216)</f>
        <v>977.89506620464851</v>
      </c>
      <c r="BL220" s="284">
        <f>(mol_O_Coal*BT210)+(3*BT211)+BT212+BT213+BT214+(3*BT215)+(2*BT216)</f>
        <v>977.89506620464851</v>
      </c>
      <c r="BM220" s="3">
        <f t="shared" si="111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 t="e">
        <f>(3*BT211)+(BT212)+BT213+BT214+(3*BT215)+(2*BT216)+(mol_O_Coal*Ore_to_PI!BT210)+(2*#REF!)+(2*BT236)</f>
        <v>#REF!</v>
      </c>
      <c r="CF220" s="83">
        <f>(3*CO219)+CO220+CO221+CO222+(3*CO223)+(2*CO224)+CO237+(2*CO238) +(2*CO253)  +CO252</f>
        <v>3617.9474467548598</v>
      </c>
      <c r="CG220" s="3" t="e">
        <f t="shared" ref="CG220:CG227" si="116">CE220-CF220</f>
        <v>#REF!</v>
      </c>
      <c r="CJ220" s="358"/>
      <c r="CK220" s="434" t="s">
        <v>123</v>
      </c>
      <c r="CL220" s="434">
        <f>Calculators!K108</f>
        <v>1.2651347936303716</v>
      </c>
      <c r="CM220" s="434">
        <f>CL220/$CL$226</f>
        <v>0.05</v>
      </c>
      <c r="CN220" s="434">
        <f>MW_CaO</f>
        <v>5.6077400000000006E-2</v>
      </c>
      <c r="CO220" s="434">
        <f t="shared" ref="CO219:CO225" si="117">CL220/CN220</f>
        <v>22.560510894413284</v>
      </c>
      <c r="CP220" s="434">
        <f>h_CaO</f>
        <v>-11321.85158370395</v>
      </c>
      <c r="CQ220" s="434">
        <f>b_ch_CaO</f>
        <v>122.25799999999992</v>
      </c>
      <c r="CR220" s="434">
        <f>CO220/$CO$226</f>
        <v>6.7893909603049127E-2</v>
      </c>
      <c r="CS220" s="434">
        <f t="shared" si="112"/>
        <v>-2.6898089450082239</v>
      </c>
      <c r="CT220" s="434">
        <f t="shared" si="113"/>
        <v>-6.108472999017275</v>
      </c>
      <c r="CU220" s="434">
        <f t="shared" si="114"/>
        <v>116.14952700098264</v>
      </c>
      <c r="CV220" s="434">
        <f t="shared" si="115"/>
        <v>7.885845486641629</v>
      </c>
      <c r="CW220" s="434">
        <f>CV220*$CO$226</f>
        <v>2620.3926692866185</v>
      </c>
    </row>
    <row r="221" spans="2:101" ht="18" customHeight="1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9"/>
      <c r="X221" s="1" t="s">
        <v>17</v>
      </c>
      <c r="Y221" s="4" t="e">
        <f t="shared" si="108"/>
        <v>#REF!</v>
      </c>
      <c r="Z221" s="4">
        <v>0.49840000000000001</v>
      </c>
      <c r="AA221" s="4">
        <f t="shared" si="109"/>
        <v>0.49840000000000001</v>
      </c>
      <c r="AQ221" s="3" t="s">
        <v>363</v>
      </c>
      <c r="AR221" s="83">
        <f>mol_N_Coal*AH210</f>
        <v>23.443483667787604</v>
      </c>
      <c r="AS221" s="83">
        <f>mol_N_Coal*BA210</f>
        <v>23.443483667787604</v>
      </c>
      <c r="AT221" s="3">
        <f t="shared" si="110"/>
        <v>0</v>
      </c>
      <c r="BJ221" s="3" t="s">
        <v>363</v>
      </c>
      <c r="BK221" s="83">
        <f>mol_N_Coal*BA210</f>
        <v>23.443483667787604</v>
      </c>
      <c r="BL221" s="83">
        <f>mol_N_Coal*BT210</f>
        <v>23.443483667787604</v>
      </c>
      <c r="BM221" s="3">
        <f t="shared" si="111"/>
        <v>0</v>
      </c>
      <c r="CD221" s="3" t="s">
        <v>363</v>
      </c>
      <c r="CE221" s="83" t="e">
        <f>(mol_N_Coal*Ore_to_PI!BT210)+(2*Ore_to_PI!#REF!)+(2*BT237)</f>
        <v>#REF!</v>
      </c>
      <c r="CF221" s="83">
        <f>(2*CO239)+(2*CO254)</f>
        <v>18140.711493307914</v>
      </c>
      <c r="CG221" s="3" t="e">
        <f t="shared" si="116"/>
        <v>#REF!</v>
      </c>
      <c r="CJ221" s="358"/>
      <c r="CK221" s="434" t="s">
        <v>179</v>
      </c>
      <c r="CL221" s="434">
        <f>Calculators!K109</f>
        <v>0.50605391745214856</v>
      </c>
      <c r="CM221" s="434">
        <f>CL221/$CL$226</f>
        <v>1.9999999999999997E-2</v>
      </c>
      <c r="CN221" s="434">
        <f>MW_MgO</f>
        <v>4.0304400000000004E-2</v>
      </c>
      <c r="CO221" s="434">
        <f t="shared" si="117"/>
        <v>12.555798311155817</v>
      </c>
      <c r="CP221" s="434">
        <f>h_MgO</f>
        <v>-14926.410019749705</v>
      </c>
      <c r="CQ221" s="434">
        <f>b_ch_MgO</f>
        <v>62.576000000000022</v>
      </c>
      <c r="CR221" s="434">
        <f>CO221/$CO$226</f>
        <v>3.7785590916862941E-2</v>
      </c>
      <c r="CS221" s="434">
        <f t="shared" si="112"/>
        <v>-3.2758274417045752</v>
      </c>
      <c r="CT221" s="434">
        <f t="shared" si="113"/>
        <v>-7.4393028970431407</v>
      </c>
      <c r="CU221" s="434">
        <f t="shared" si="114"/>
        <v>55.13669710295688</v>
      </c>
      <c r="CV221" s="434">
        <f t="shared" si="115"/>
        <v>2.0833726812393105</v>
      </c>
      <c r="CW221" s="434">
        <f>CV221*$CO$226</f>
        <v>692.2852483680158</v>
      </c>
    </row>
    <row r="222" spans="2:101" ht="18" thickBot="1">
      <c r="B222" s="348" t="s">
        <v>485</v>
      </c>
      <c r="C222" s="348"/>
      <c r="D222" s="348"/>
      <c r="E222" s="348"/>
      <c r="F222" s="348"/>
      <c r="G222" s="348"/>
      <c r="H222" s="348"/>
      <c r="J222" s="4"/>
      <c r="K222" s="4"/>
      <c r="L222" s="4"/>
      <c r="M222" s="4"/>
      <c r="N222" s="4"/>
      <c r="O222" s="4"/>
      <c r="P222" s="4"/>
      <c r="Q222" s="202" t="s">
        <v>572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148.89591246163528</v>
      </c>
      <c r="AS222" s="83">
        <f>2*BA211</f>
        <v>148.89591246163528</v>
      </c>
      <c r="AT222" s="3">
        <f t="shared" si="110"/>
        <v>0</v>
      </c>
      <c r="BJ222" s="3" t="s">
        <v>311</v>
      </c>
      <c r="BK222" s="83">
        <f>2*BA211</f>
        <v>148.89591246163528</v>
      </c>
      <c r="BL222" s="83">
        <f>2*BT211</f>
        <v>148.89591246163528</v>
      </c>
      <c r="BM222" s="3">
        <f t="shared" si="111"/>
        <v>0</v>
      </c>
      <c r="CD222" s="3" t="s">
        <v>311</v>
      </c>
      <c r="CE222" s="83">
        <f>2*BT211</f>
        <v>148.89591246163528</v>
      </c>
      <c r="CF222" s="83">
        <f>2*CO219</f>
        <v>148.89591246163528</v>
      </c>
      <c r="CG222" s="3">
        <f t="shared" si="116"/>
        <v>0</v>
      </c>
      <c r="CJ222" s="358"/>
      <c r="CK222" s="434" t="s">
        <v>308</v>
      </c>
      <c r="CL222" s="434">
        <f>Calculators!K110</f>
        <v>0.25302695872607428</v>
      </c>
      <c r="CM222" s="434">
        <f>CL222/$CL$226</f>
        <v>9.9999999999999985E-3</v>
      </c>
      <c r="CN222" s="434">
        <f>MW_Na2O</f>
        <v>6.1978936000000005E-2</v>
      </c>
      <c r="CO222" s="434">
        <f t="shared" si="117"/>
        <v>4.0824669646809406</v>
      </c>
      <c r="CP222" s="434">
        <f>h_Na2O</f>
        <v>-6682.9156279804474</v>
      </c>
      <c r="CQ222" s="434">
        <f>b_ch_Na2O</f>
        <v>298.64000000000004</v>
      </c>
      <c r="CR222" s="434">
        <f>CO222/$CO$226</f>
        <v>1.2285831839301103E-2</v>
      </c>
      <c r="CS222" s="434">
        <f t="shared" si="112"/>
        <v>-4.3993085635145128</v>
      </c>
      <c r="CT222" s="434">
        <f t="shared" si="113"/>
        <v>-9.9906938091068458</v>
      </c>
      <c r="CU222" s="434">
        <f t="shared" si="114"/>
        <v>288.64930619089318</v>
      </c>
      <c r="CV222" s="434">
        <f t="shared" si="115"/>
        <v>3.5462968363922487</v>
      </c>
      <c r="CW222" s="434">
        <f>CV222*$CO$226</f>
        <v>1178.4012569023951</v>
      </c>
    </row>
    <row r="223" spans="2:101" ht="18">
      <c r="B223" s="349"/>
      <c r="C223" s="349"/>
      <c r="D223" s="349"/>
      <c r="E223" s="349"/>
      <c r="F223" s="349"/>
      <c r="G223" s="349"/>
      <c r="H223" s="34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>
        <f>AH212</f>
        <v>22.560510894413284</v>
      </c>
      <c r="AS223" s="285">
        <f>BA212</f>
        <v>22.560510894413284</v>
      </c>
      <c r="AT223" s="3">
        <f t="shared" si="110"/>
        <v>0</v>
      </c>
      <c r="BJ223" s="3" t="s">
        <v>31</v>
      </c>
      <c r="BK223" s="285">
        <f>BA212</f>
        <v>22.560510894413284</v>
      </c>
      <c r="BL223" s="285">
        <f>BT212</f>
        <v>22.560510894413284</v>
      </c>
      <c r="BM223" s="3">
        <f t="shared" si="111"/>
        <v>0</v>
      </c>
      <c r="BN223" s="25"/>
      <c r="CA223" s="435"/>
      <c r="CB223" s="440"/>
      <c r="CD223" s="3" t="s">
        <v>31</v>
      </c>
      <c r="CE223" s="83">
        <f>BT212</f>
        <v>22.560510894413284</v>
      </c>
      <c r="CF223" s="83">
        <f>CO220</f>
        <v>22.560510894413284</v>
      </c>
      <c r="CG223" s="3">
        <f t="shared" si="116"/>
        <v>0</v>
      </c>
      <c r="CJ223" s="358"/>
      <c r="CK223" s="436" t="s">
        <v>15</v>
      </c>
      <c r="CL223" s="434">
        <f>Calculators!K111</f>
        <v>3.7954043808911142</v>
      </c>
      <c r="CM223" s="434">
        <f>CL223/$CL$226</f>
        <v>0.15</v>
      </c>
      <c r="CN223" s="434">
        <f>MW_Fe2O3</f>
        <v>0.1596882</v>
      </c>
      <c r="CO223" s="434">
        <f t="shared" si="117"/>
        <v>23.767594480312972</v>
      </c>
      <c r="CP223" s="434">
        <f>h_Fe2O3</f>
        <v>-5161.3080991582347</v>
      </c>
      <c r="CQ223" s="434">
        <f>b_ch_Fe2O3</f>
        <v>17.358400000000074</v>
      </c>
      <c r="CR223" s="434">
        <f>CO223/$CO$226</f>
        <v>7.1526523432051209E-2</v>
      </c>
      <c r="CS223" s="434">
        <f t="shared" si="112"/>
        <v>-2.6376869409781207</v>
      </c>
      <c r="CT223" s="434">
        <f t="shared" si="113"/>
        <v>-5.9901055384348352</v>
      </c>
      <c r="CU223" s="434">
        <f t="shared" si="114"/>
        <v>11.368294461565238</v>
      </c>
      <c r="CV223" s="434">
        <f t="shared" si="115"/>
        <v>0.81313458018760398</v>
      </c>
      <c r="CW223" s="434">
        <f>CV223*$CO$226</f>
        <v>270.19701269527047</v>
      </c>
    </row>
    <row r="224" spans="2:101" ht="19" thickBot="1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560</v>
      </c>
      <c r="L224" s="1" t="s">
        <v>554</v>
      </c>
      <c r="M224" s="3" t="s">
        <v>5</v>
      </c>
      <c r="N224" s="1" t="s">
        <v>85</v>
      </c>
      <c r="O224" s="1" t="s">
        <v>658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556</v>
      </c>
      <c r="V224" s="1" t="s">
        <v>50</v>
      </c>
      <c r="Y224" s="3" t="s">
        <v>310</v>
      </c>
      <c r="AQ224" s="3" t="s">
        <v>312</v>
      </c>
      <c r="AR224" s="286">
        <f>AH213</f>
        <v>12.555798311155817</v>
      </c>
      <c r="AS224" s="286">
        <f>BA213</f>
        <v>12.555798311155817</v>
      </c>
      <c r="AT224" s="3">
        <f t="shared" si="110"/>
        <v>0</v>
      </c>
      <c r="BJ224" s="3" t="s">
        <v>312</v>
      </c>
      <c r="BK224" s="286">
        <f>BA213</f>
        <v>12.555798311155817</v>
      </c>
      <c r="BL224" s="286">
        <f>BT213</f>
        <v>12.555798311155817</v>
      </c>
      <c r="BM224" s="3">
        <f t="shared" si="111"/>
        <v>0</v>
      </c>
      <c r="BN224" s="1"/>
      <c r="CA224" s="436"/>
      <c r="CB224" s="436"/>
      <c r="CD224" s="3" t="s">
        <v>312</v>
      </c>
      <c r="CE224" s="83">
        <f>BT213</f>
        <v>12.555798311155817</v>
      </c>
      <c r="CF224" s="83">
        <f>CO221</f>
        <v>12.555798311155817</v>
      </c>
      <c r="CG224" s="3">
        <f t="shared" si="116"/>
        <v>0</v>
      </c>
      <c r="CJ224" s="358"/>
      <c r="CK224" s="436" t="s">
        <v>17</v>
      </c>
      <c r="CL224" s="434">
        <f>Calculators!K112</f>
        <v>11.386213142673343</v>
      </c>
      <c r="CM224" s="434">
        <f>CL224/$CL$226</f>
        <v>0.45</v>
      </c>
      <c r="CN224" s="435">
        <f>MW_SIO2</f>
        <v>6.00843E-2</v>
      </c>
      <c r="CO224" s="434">
        <f t="shared" si="117"/>
        <v>189.50396597236454</v>
      </c>
      <c r="CP224" s="434">
        <f>h_SiO2</f>
        <v>-15157.037695371337</v>
      </c>
      <c r="CQ224" s="435">
        <f>b_ch_SiO2</f>
        <v>1.5260000000000673</v>
      </c>
      <c r="CR224" s="434">
        <f>CO224/$CO$226</f>
        <v>0.57029582332433337</v>
      </c>
      <c r="CS224" s="434">
        <f t="shared" si="112"/>
        <v>-0.56160006449308053</v>
      </c>
      <c r="CT224" s="434">
        <f t="shared" si="113"/>
        <v>-1.275376393021793</v>
      </c>
      <c r="CU224" s="434">
        <f t="shared" si="114"/>
        <v>0.25062360697827435</v>
      </c>
      <c r="CV224" s="434">
        <f t="shared" si="115"/>
        <v>0.14292959628618912</v>
      </c>
      <c r="CW224" s="434">
        <f>CV224*$CO$226</f>
        <v>47.494167488682173</v>
      </c>
    </row>
    <row r="225" spans="2:169" ht="18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559</v>
      </c>
      <c r="L225" s="1" t="s">
        <v>88</v>
      </c>
      <c r="M225" s="1" t="s">
        <v>90</v>
      </c>
      <c r="N225" s="1" t="s">
        <v>86</v>
      </c>
      <c r="O225" s="1" t="s">
        <v>645</v>
      </c>
      <c r="P225" s="1" t="s">
        <v>645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8.1649339293618812</v>
      </c>
      <c r="AS225" s="83">
        <f>2*BA214</f>
        <v>8.1649339293618812</v>
      </c>
      <c r="AT225" s="3">
        <f t="shared" si="110"/>
        <v>0</v>
      </c>
      <c r="BJ225" s="3" t="s">
        <v>313</v>
      </c>
      <c r="BK225" s="83">
        <f>2*BA214</f>
        <v>8.1649339293618812</v>
      </c>
      <c r="BL225" s="83">
        <f>2*BT214</f>
        <v>8.1649339293618812</v>
      </c>
      <c r="BM225" s="3">
        <f t="shared" si="111"/>
        <v>0</v>
      </c>
      <c r="CA225" s="435"/>
      <c r="CB225" s="435"/>
      <c r="CD225" s="3" t="s">
        <v>313</v>
      </c>
      <c r="CE225" s="83">
        <f>2*BT214</f>
        <v>8.1649339293618812</v>
      </c>
      <c r="CF225" s="83">
        <f>2*CO222</f>
        <v>8.1649339293618812</v>
      </c>
      <c r="CG225" s="3">
        <f t="shared" si="116"/>
        <v>0</v>
      </c>
      <c r="CJ225" s="311"/>
      <c r="CK225" s="436" t="s">
        <v>680</v>
      </c>
      <c r="CL225" s="434">
        <f>Calculators!K113</f>
        <v>0.50605391745214856</v>
      </c>
      <c r="CM225" s="434">
        <f>CL225/$CL$226</f>
        <v>1.9999999999999997E-2</v>
      </c>
      <c r="CN225" s="434">
        <f>MW_K2O</f>
        <v>9.4196000000000002E-2</v>
      </c>
      <c r="CO225" s="434">
        <f t="shared" si="117"/>
        <v>5.3723503912283803</v>
      </c>
      <c r="CP225" s="435">
        <f>h_K2O</f>
        <v>-3024.5445666482651</v>
      </c>
      <c r="CQ225" s="435">
        <f>b_ch_K2O</f>
        <v>412.83199999999999</v>
      </c>
      <c r="CR225" s="434">
        <f>CO225/$CO$226</f>
        <v>1.6167624639577164E-2</v>
      </c>
      <c r="CS225" s="434">
        <f t="shared" si="112"/>
        <v>-4.1247445154060607</v>
      </c>
      <c r="CT225" s="434">
        <f t="shared" si="113"/>
        <v>-9.3671673398816377</v>
      </c>
      <c r="CU225" s="434">
        <f t="shared" si="114"/>
        <v>403.46483266011836</v>
      </c>
      <c r="CV225" s="434">
        <f>CU225*CR225</f>
        <v>6.5230679697186069</v>
      </c>
      <c r="CW225" s="434">
        <f>CV225*$CO$226</f>
        <v>2167.5544515884799</v>
      </c>
      <c r="DB225" s="16" t="s">
        <v>629</v>
      </c>
    </row>
    <row r="226" spans="2:169" ht="18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572</v>
      </c>
      <c r="J226" s="96" t="s">
        <v>488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47.535188960625945</v>
      </c>
      <c r="AS226" s="83">
        <f>2*BA215</f>
        <v>47.535188960625945</v>
      </c>
      <c r="AT226" s="3">
        <f t="shared" si="110"/>
        <v>0</v>
      </c>
      <c r="BJ226" s="3" t="s">
        <v>16</v>
      </c>
      <c r="BK226" s="83">
        <f>2*BA215</f>
        <v>47.535188960625945</v>
      </c>
      <c r="BL226" s="83">
        <f>2*BT215</f>
        <v>47.535188960625945</v>
      </c>
      <c r="BM226" s="3">
        <f t="shared" si="111"/>
        <v>0</v>
      </c>
      <c r="CD226" s="3" t="s">
        <v>16</v>
      </c>
      <c r="CE226" s="83">
        <f>2*BT215</f>
        <v>47.535188960625945</v>
      </c>
      <c r="CF226" s="83">
        <f>2*CO223</f>
        <v>47.535188960625945</v>
      </c>
      <c r="CG226" s="3">
        <f t="shared" si="116"/>
        <v>0</v>
      </c>
      <c r="CK226" s="17" t="s">
        <v>19</v>
      </c>
      <c r="CL226" s="17">
        <f>SUM(CL219:CL225)</f>
        <v>25.30269587260743</v>
      </c>
      <c r="CM226" s="17">
        <f>SUM(CM219:CM225)</f>
        <v>1</v>
      </c>
      <c r="CN226" s="17">
        <f>SUM(CN219:CN225)</f>
        <v>0.57429051399999997</v>
      </c>
      <c r="CO226" s="17">
        <f>SUM(CO219:CO225)</f>
        <v>332.29064324497358</v>
      </c>
      <c r="CP226" s="17" cm="1">
        <f t="array" ref="CP226">SUM(CL219:CL225*CP219:CP225) / CL226</f>
        <v>-13517.205132360801</v>
      </c>
      <c r="CQ226" s="17"/>
      <c r="CR226" s="17"/>
      <c r="CS226" s="17"/>
      <c r="CT226" s="17"/>
      <c r="CU226" s="17"/>
      <c r="CV226" s="17">
        <f>SUM(CV219:CV225)</f>
        <v>27.375179148317741</v>
      </c>
      <c r="CW226" s="17">
        <f>SUM(CW219:CW225)</f>
        <v>9096.5158881408915</v>
      </c>
      <c r="CY226" s="357" t="s">
        <v>435</v>
      </c>
      <c r="CZ226" s="357"/>
      <c r="DA226" s="357"/>
      <c r="DB226" s="357"/>
      <c r="DC226" s="357"/>
      <c r="DD226" s="357"/>
    </row>
    <row r="227" spans="2:169" ht="19" thickBot="1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520</v>
      </c>
      <c r="AO227" s="50" t="e">
        <f>AE234</f>
        <v>#REF!</v>
      </c>
      <c r="AP227" s="48" t="e">
        <f>AP234</f>
        <v>#REF!</v>
      </c>
      <c r="AQ227" s="3" t="s">
        <v>30</v>
      </c>
      <c r="AR227" s="286">
        <f>AH216</f>
        <v>189.50396597236454</v>
      </c>
      <c r="AS227" s="286">
        <f>BA216</f>
        <v>189.50396597236454</v>
      </c>
      <c r="AT227" s="3">
        <f t="shared" si="110"/>
        <v>0</v>
      </c>
      <c r="BJ227" s="3" t="s">
        <v>30</v>
      </c>
      <c r="BK227" s="286">
        <f>BA216</f>
        <v>189.50396597236454</v>
      </c>
      <c r="BL227" s="286">
        <f>BT216</f>
        <v>189.50396597236454</v>
      </c>
      <c r="BM227" s="3">
        <f t="shared" si="111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189.50396597236454</v>
      </c>
      <c r="CF227" s="83">
        <f>CO224</f>
        <v>189.50396597236454</v>
      </c>
      <c r="CG227" s="3">
        <f t="shared" si="116"/>
        <v>0</v>
      </c>
      <c r="CL227" s="1" t="s">
        <v>89</v>
      </c>
      <c r="CM227" s="1"/>
      <c r="CN227" s="3" t="s">
        <v>91</v>
      </c>
      <c r="CO227" s="3" t="s">
        <v>87</v>
      </c>
      <c r="CP227" s="1" t="s">
        <v>659</v>
      </c>
      <c r="CQ227" s="4"/>
      <c r="CR227" s="4"/>
      <c r="CV227" s="3" t="s">
        <v>96</v>
      </c>
      <c r="CW227" s="1" t="s">
        <v>93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23" customHeight="1" thickBot="1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436"/>
      <c r="BT228" s="436"/>
      <c r="BU228" s="1"/>
      <c r="BV228" s="436"/>
      <c r="BW228" s="436"/>
      <c r="BX228" s="436"/>
      <c r="BY228" s="436"/>
      <c r="BZ228" s="436"/>
      <c r="CA228" s="436"/>
      <c r="CB228" s="436"/>
      <c r="CY228" s="61" t="s">
        <v>98</v>
      </c>
      <c r="CZ228" s="13" t="s">
        <v>566</v>
      </c>
      <c r="DA228" s="13" t="s">
        <v>453</v>
      </c>
      <c r="DB228" s="13" t="s">
        <v>48</v>
      </c>
      <c r="DC228" s="34" t="s">
        <v>98</v>
      </c>
      <c r="DD228" s="13" t="s">
        <v>48</v>
      </c>
    </row>
    <row r="229" spans="2:169" ht="19" thickBot="1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554</v>
      </c>
      <c r="AF229" s="1" t="s">
        <v>555</v>
      </c>
      <c r="AG229" s="1" t="s">
        <v>557</v>
      </c>
      <c r="AH229" s="1" t="s">
        <v>85</v>
      </c>
      <c r="AI229" s="1" t="s">
        <v>658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556</v>
      </c>
      <c r="AP229" s="1" t="s">
        <v>50</v>
      </c>
      <c r="CV229" s="63" t="s">
        <v>1</v>
      </c>
      <c r="CW229" s="58" t="s">
        <v>0</v>
      </c>
      <c r="CY229" s="61" t="s">
        <v>265</v>
      </c>
      <c r="CZ229" s="13">
        <f>0.2</f>
        <v>0.2</v>
      </c>
      <c r="DA229" s="61">
        <f>CZ229*CV231</f>
        <v>9.2380312447640538</v>
      </c>
      <c r="DB229" s="61">
        <f>3600*DA229</f>
        <v>33256.912481150597</v>
      </c>
      <c r="DC229" s="13">
        <v>1</v>
      </c>
      <c r="DD229" s="13">
        <f>DB229*DC229</f>
        <v>33256.912481150597</v>
      </c>
    </row>
    <row r="230" spans="2:169" ht="19" thickBot="1">
      <c r="X230" s="4"/>
      <c r="Y230" s="3" t="s">
        <v>2</v>
      </c>
      <c r="Z230" s="3" t="s">
        <v>3</v>
      </c>
      <c r="AA230" s="132" t="s">
        <v>581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J230" s="310"/>
      <c r="CV230" s="65" t="s">
        <v>89</v>
      </c>
      <c r="CW230" s="64" t="s">
        <v>93</v>
      </c>
    </row>
    <row r="231" spans="2:169" ht="18" customHeight="1" thickBot="1">
      <c r="X231" s="4"/>
      <c r="Y231" s="1" t="s">
        <v>583</v>
      </c>
      <c r="Z231" s="1" t="s">
        <v>583</v>
      </c>
      <c r="AA231" s="1" t="s">
        <v>583</v>
      </c>
      <c r="AC231" s="350" t="s">
        <v>520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CA231" s="65" t="s">
        <v>89</v>
      </c>
      <c r="CB231" s="64" t="s">
        <v>93</v>
      </c>
      <c r="CJ231" s="310"/>
      <c r="CR231" s="3" t="s">
        <v>526</v>
      </c>
      <c r="CV231" s="50">
        <f>CL240</f>
        <v>46.190156223820267</v>
      </c>
      <c r="CW231" s="48">
        <f>CW240</f>
        <v>4034917.433091775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>
      <c r="X232" s="4" t="s">
        <v>60</v>
      </c>
      <c r="Y232" s="3" t="s">
        <v>582</v>
      </c>
      <c r="Z232" s="3" t="s">
        <v>582</v>
      </c>
      <c r="AA232" s="3" t="s">
        <v>582</v>
      </c>
      <c r="AC232" s="350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18">LN(AK232)</f>
        <v>#REF!</v>
      </c>
      <c r="AM232" s="1" t="e">
        <f>RT0*AL232</f>
        <v>#REF!</v>
      </c>
      <c r="AN232" s="1" t="e">
        <f t="shared" ref="AN232:AN233" si="119">AJ232+AM232</f>
        <v>#REF!</v>
      </c>
      <c r="AO232" s="1" t="e">
        <f>AN232*AK232</f>
        <v>#REF!</v>
      </c>
      <c r="AP232" s="1" t="e">
        <f t="shared" ref="AP232:AP233" si="120">$AH$234*AO232</f>
        <v>#REF!</v>
      </c>
      <c r="BW232" s="3" t="s">
        <v>524</v>
      </c>
      <c r="CA232" s="50">
        <f>BQ238</f>
        <v>276.42498466842022</v>
      </c>
      <c r="CB232" s="48">
        <f>CB238</f>
        <v>2324.232021732671</v>
      </c>
      <c r="CJ232" s="310"/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50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18"/>
        <v>#REF!</v>
      </c>
      <c r="AM233" s="1" t="e">
        <f>RT0*AL233</f>
        <v>#REF!</v>
      </c>
      <c r="AN233" s="1" t="e">
        <f t="shared" si="119"/>
        <v>#REF!</v>
      </c>
      <c r="AO233" s="1" t="e">
        <f t="shared" ref="AO233" si="121">AN233*AK233</f>
        <v>#REF!</v>
      </c>
      <c r="AP233" s="1" t="e">
        <f t="shared" si="120"/>
        <v>#REF!</v>
      </c>
      <c r="CJ233" s="310"/>
      <c r="CK233" s="4"/>
      <c r="CL233" s="1" t="s">
        <v>554</v>
      </c>
      <c r="CM233" s="1" t="s">
        <v>555</v>
      </c>
      <c r="CN233" s="1" t="s">
        <v>557</v>
      </c>
      <c r="CO233" s="1" t="s">
        <v>85</v>
      </c>
      <c r="CP233" s="1" t="s">
        <v>658</v>
      </c>
      <c r="CQ233" s="1" t="s">
        <v>6</v>
      </c>
      <c r="CR233" s="1" t="s">
        <v>7</v>
      </c>
      <c r="CS233" s="1" t="s">
        <v>8</v>
      </c>
      <c r="CT233" s="1" t="s">
        <v>9</v>
      </c>
      <c r="CU233" s="1" t="s">
        <v>49</v>
      </c>
      <c r="CV233" s="1" t="s">
        <v>556</v>
      </c>
      <c r="CW233" s="1" t="s">
        <v>50</v>
      </c>
      <c r="CY233" s="367" t="s">
        <v>665</v>
      </c>
      <c r="CZ233" s="367"/>
      <c r="DA233" s="367"/>
      <c r="DB233" s="367"/>
      <c r="DC233" s="367"/>
      <c r="DL233" s="3" t="s">
        <v>666</v>
      </c>
      <c r="DP233" s="50">
        <f>DF241</f>
        <v>46.190156223820267</v>
      </c>
      <c r="DQ233" s="48">
        <f>DQ241</f>
        <v>3946098.143008593</v>
      </c>
      <c r="DS233" s="367" t="s">
        <v>668</v>
      </c>
      <c r="DT233" s="367"/>
      <c r="DU233" s="367"/>
      <c r="DV233" s="367"/>
      <c r="DW233" s="367"/>
      <c r="EG233" s="3" t="s">
        <v>669</v>
      </c>
      <c r="EK233" s="50">
        <f>EA241</f>
        <v>46.190156223820267</v>
      </c>
      <c r="EL233" s="48">
        <f>EL241</f>
        <v>3946098.143008593</v>
      </c>
      <c r="FA233" s="3" t="s">
        <v>669</v>
      </c>
      <c r="FF233" s="50">
        <f>EV241</f>
        <v>6.9285234335730408</v>
      </c>
      <c r="FG233" s="48" t="e">
        <f>FG241</f>
        <v>#REF!</v>
      </c>
      <c r="FI233" s="355" t="s">
        <v>418</v>
      </c>
      <c r="FJ233" s="356"/>
      <c r="FK233" s="356"/>
      <c r="FL233" s="356"/>
      <c r="FM233" s="356"/>
    </row>
    <row r="234" spans="2:169" ht="18" customHeight="1" thickBot="1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2">Y234-Z234</f>
        <v>#REF!</v>
      </c>
      <c r="AC234" s="350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K234" s="348" t="s">
        <v>518</v>
      </c>
      <c r="BL234" s="348"/>
      <c r="BM234" s="348"/>
      <c r="BN234" s="348"/>
      <c r="BP234" s="4"/>
      <c r="BQ234" s="1" t="s">
        <v>554</v>
      </c>
      <c r="BR234" s="1" t="s">
        <v>555</v>
      </c>
      <c r="BS234" s="1" t="s">
        <v>557</v>
      </c>
      <c r="BT234" s="1" t="s">
        <v>85</v>
      </c>
      <c r="BU234" s="1" t="s">
        <v>658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556</v>
      </c>
      <c r="CB234" s="1" t="s">
        <v>50</v>
      </c>
      <c r="CJ234" s="310"/>
      <c r="CK234" s="4" t="s">
        <v>41</v>
      </c>
      <c r="CL234" s="1" t="s">
        <v>88</v>
      </c>
      <c r="CM234" s="4" t="s">
        <v>283</v>
      </c>
      <c r="CN234" s="2" t="s">
        <v>90</v>
      </c>
      <c r="CO234" s="2" t="s">
        <v>86</v>
      </c>
      <c r="CP234" s="1" t="s">
        <v>645</v>
      </c>
      <c r="CQ234" s="2" t="s">
        <v>95</v>
      </c>
      <c r="CR234" s="2" t="s">
        <v>25</v>
      </c>
      <c r="CS234" s="2" t="s">
        <v>98</v>
      </c>
      <c r="CT234" s="2" t="s">
        <v>95</v>
      </c>
      <c r="CU234" s="2" t="s">
        <v>95</v>
      </c>
      <c r="CV234" s="2" t="s">
        <v>94</v>
      </c>
      <c r="CW234" s="2" t="s">
        <v>92</v>
      </c>
      <c r="CY234" s="367"/>
      <c r="CZ234" s="367"/>
      <c r="DA234" s="367"/>
      <c r="DB234" s="367"/>
      <c r="DC234" s="367"/>
      <c r="DS234" s="367"/>
      <c r="DT234" s="367"/>
      <c r="DU234" s="367"/>
      <c r="DV234" s="367"/>
      <c r="DW234" s="367"/>
      <c r="FI234" s="356"/>
      <c r="FJ234" s="356"/>
      <c r="FK234" s="356"/>
      <c r="FL234" s="356"/>
      <c r="FM234" s="356"/>
    </row>
    <row r="235" spans="2:169" ht="18" customHeight="1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2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659</v>
      </c>
      <c r="AJ235" s="4"/>
      <c r="AK235" s="4"/>
      <c r="AO235" s="3" t="s">
        <v>96</v>
      </c>
      <c r="AP235" s="1" t="s">
        <v>93</v>
      </c>
      <c r="BK235" s="348"/>
      <c r="BL235" s="348"/>
      <c r="BM235" s="348"/>
      <c r="BN235" s="348"/>
      <c r="BP235" s="4" t="s">
        <v>41</v>
      </c>
      <c r="BQ235" s="1" t="s">
        <v>88</v>
      </c>
      <c r="BR235" s="4" t="s">
        <v>283</v>
      </c>
      <c r="BS235" s="2" t="s">
        <v>90</v>
      </c>
      <c r="BT235" s="2" t="s">
        <v>86</v>
      </c>
      <c r="BU235" s="1" t="s">
        <v>645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50" t="s">
        <v>526</v>
      </c>
      <c r="CK235" s="17" t="s">
        <v>66</v>
      </c>
      <c r="CL235" s="17">
        <f>Calculators!C81</f>
        <v>28.49932639009711</v>
      </c>
      <c r="CM235" s="17">
        <f>CL235/$CL$240</f>
        <v>0.6170000000000001</v>
      </c>
      <c r="CN235" s="17">
        <f>MW_H*2</f>
        <v>2.0158800000000003E-3</v>
      </c>
      <c r="CO235" s="17">
        <f>CL235/CN235</f>
        <v>14137.412142636023</v>
      </c>
      <c r="CP235" s="17">
        <f>h_H2</f>
        <v>0</v>
      </c>
      <c r="CQ235" s="17">
        <f>b_ch_H2</f>
        <v>236.1</v>
      </c>
      <c r="CR235" s="17">
        <f>CO235/$CO$240</f>
        <v>0.9376599289051748</v>
      </c>
      <c r="CS235" s="17">
        <f t="shared" ref="CS235:CS240" si="123">LN(CR235)</f>
        <v>-6.4367944854346146E-2</v>
      </c>
      <c r="CT235" s="17">
        <f t="shared" ref="CT235:CT240" si="124">RT0*CS235</f>
        <v>-0.14617761379472408</v>
      </c>
      <c r="CU235" s="17">
        <f t="shared" ref="CU235:CU240" si="125">CQ235+CT235</f>
        <v>235.95382238620527</v>
      </c>
      <c r="CV235" s="17">
        <f t="shared" ref="CV235:CV240" si="126">CR235*CU235</f>
        <v>221.24444432355347</v>
      </c>
      <c r="CW235" s="17">
        <f>CV235*$CO$240</f>
        <v>3335776.433704122</v>
      </c>
      <c r="CY235" s="22" t="s">
        <v>427</v>
      </c>
      <c r="CZ235" s="22" t="s">
        <v>475</v>
      </c>
      <c r="DA235" s="159" t="s">
        <v>337</v>
      </c>
      <c r="DB235" s="361" t="s">
        <v>344</v>
      </c>
      <c r="DC235" s="138" t="s">
        <v>317</v>
      </c>
      <c r="DE235" s="4"/>
      <c r="DF235" s="1" t="s">
        <v>554</v>
      </c>
      <c r="DG235" s="1" t="s">
        <v>555</v>
      </c>
      <c r="DH235" s="1" t="s">
        <v>557</v>
      </c>
      <c r="DI235" s="1" t="s">
        <v>85</v>
      </c>
      <c r="DJ235" s="1" t="s">
        <v>658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556</v>
      </c>
      <c r="DQ235" s="1" t="s">
        <v>50</v>
      </c>
      <c r="DS235" s="22" t="s">
        <v>427</v>
      </c>
      <c r="DT235" s="22" t="s">
        <v>475</v>
      </c>
      <c r="DU235" s="159" t="s">
        <v>337</v>
      </c>
      <c r="DV235" s="361" t="s">
        <v>344</v>
      </c>
      <c r="DW235" s="138" t="s">
        <v>317</v>
      </c>
      <c r="DZ235" s="4"/>
      <c r="EA235" s="1" t="s">
        <v>554</v>
      </c>
      <c r="EB235" s="1" t="s">
        <v>555</v>
      </c>
      <c r="EC235" s="1" t="s">
        <v>557</v>
      </c>
      <c r="ED235" s="1" t="s">
        <v>85</v>
      </c>
      <c r="EE235" s="1" t="s">
        <v>658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556</v>
      </c>
      <c r="EL235" s="1" t="s">
        <v>50</v>
      </c>
      <c r="EU235" s="4"/>
      <c r="EV235" s="1" t="s">
        <v>554</v>
      </c>
      <c r="EW235" s="1" t="s">
        <v>555</v>
      </c>
      <c r="EX235" s="1" t="s">
        <v>557</v>
      </c>
      <c r="EY235" s="1" t="s">
        <v>85</v>
      </c>
      <c r="EZ235" s="1" t="s">
        <v>658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556</v>
      </c>
      <c r="FG235" s="1" t="s">
        <v>50</v>
      </c>
      <c r="FI235" s="356"/>
      <c r="FJ235" s="356"/>
      <c r="FK235" s="356"/>
      <c r="FL235" s="356"/>
      <c r="FM235" s="356"/>
    </row>
    <row r="236" spans="2:169" ht="22" customHeight="1" thickBot="1">
      <c r="Q236" s="3" t="s">
        <v>537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2"/>
        <v>#REF!</v>
      </c>
      <c r="BO236" s="358" t="s">
        <v>519</v>
      </c>
      <c r="BP236" s="8" t="s">
        <v>303</v>
      </c>
      <c r="BQ236" s="17">
        <f>BS236*BT236</f>
        <v>44.109911837518197</v>
      </c>
      <c r="BR236" s="17">
        <f>BQ236/$BQ$238</f>
        <v>0.1595728110121063</v>
      </c>
      <c r="BS236" s="3">
        <f>MW_O2</f>
        <v>3.1998800000000001E-2</v>
      </c>
      <c r="BT236" s="3">
        <f>CO253+(CO252/2)</f>
        <v>1378.4864381638747</v>
      </c>
      <c r="BU236" s="27">
        <f>h_O2</f>
        <v>0</v>
      </c>
      <c r="BV236" s="3">
        <f>b_ch_O2</f>
        <v>4</v>
      </c>
      <c r="BW236" s="3">
        <f>BT236/BT238</f>
        <v>0.14253135689851767</v>
      </c>
      <c r="BX236" s="1">
        <f>LN(BW236)</f>
        <v>-1.9481932550698819</v>
      </c>
      <c r="BY236" s="1">
        <f>RT0*BX236</f>
        <v>-4.4242866830921201</v>
      </c>
      <c r="BZ236" s="1">
        <f>BV236+BY236</f>
        <v>-0.42428668309212014</v>
      </c>
      <c r="CA236" s="1">
        <f>BZ236*BW236</f>
        <v>-6.0474156655091239E-2</v>
      </c>
      <c r="CB236" s="1">
        <f>BT238*CA236</f>
        <v>-584.87343853602135</v>
      </c>
      <c r="CJ236" s="350"/>
      <c r="CK236" s="435" t="s">
        <v>368</v>
      </c>
      <c r="CL236" s="435">
        <f>Calculators!C82</f>
        <v>1.3857046867146081</v>
      </c>
      <c r="CM236" s="435">
        <f>CL236/$CL$240</f>
        <v>3.0000000000000002E-2</v>
      </c>
      <c r="CN236" s="3">
        <f>MW_H2S</f>
        <v>3.4081880000000002E-2</v>
      </c>
      <c r="CO236" s="3">
        <f t="shared" ref="CO235:CO240" si="127">CL236/CN236</f>
        <v>40.658105911839606</v>
      </c>
      <c r="CP236" s="3">
        <f>h_H2S</f>
        <v>-604.42675110645303</v>
      </c>
      <c r="CQ236" s="3" cm="1">
        <f t="array" ref="CQ236">b_ch_H2S</f>
        <v>810.3463999999999</v>
      </c>
      <c r="CR236" s="3">
        <f>CO236/$CO$240</f>
        <v>2.6966375680412321E-3</v>
      </c>
      <c r="CS236" s="3">
        <f t="shared" si="123"/>
        <v>-5.9157496272284611</v>
      </c>
      <c r="CT236" s="3">
        <f t="shared" si="124"/>
        <v>-13.434484606772353</v>
      </c>
      <c r="CU236" s="3">
        <f t="shared" si="125"/>
        <v>796.91191539322756</v>
      </c>
      <c r="CV236" s="3">
        <f t="shared" si="126"/>
        <v>2.1489826094690732</v>
      </c>
      <c r="CW236" s="3">
        <f>CV236*$CO$240</f>
        <v>32400.929058464808</v>
      </c>
      <c r="CY236" s="211" t="s">
        <v>48</v>
      </c>
      <c r="CZ236" s="9" t="s">
        <v>48</v>
      </c>
      <c r="DA236" s="1" t="s">
        <v>89</v>
      </c>
      <c r="DB236" s="362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62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>
      <c r="X237" s="3" t="s">
        <v>311</v>
      </c>
      <c r="Y237" s="83">
        <f>2*N211</f>
        <v>148.89591246163528</v>
      </c>
      <c r="Z237" s="83">
        <f>2*AH211</f>
        <v>148.89591246163528</v>
      </c>
      <c r="AA237" s="3">
        <f t="shared" si="122"/>
        <v>0</v>
      </c>
      <c r="BO237" s="358"/>
      <c r="BP237" s="60" t="s">
        <v>67</v>
      </c>
      <c r="BQ237" s="3">
        <f>N2_for_coke_oven_comb</f>
        <v>232.31507283090204</v>
      </c>
      <c r="BR237" s="3">
        <f>BQ237/$BQ$238</f>
        <v>0.84042718898789381</v>
      </c>
      <c r="BS237" s="28">
        <f>MW_N2</f>
        <v>2.801348E-2</v>
      </c>
      <c r="BT237" s="28">
        <f>BQ237/BS237</f>
        <v>8292.9744119938696</v>
      </c>
      <c r="BU237" s="6">
        <f>h_N2</f>
        <v>0</v>
      </c>
      <c r="BV237" s="28">
        <f>b_ch_N2</f>
        <v>0.7</v>
      </c>
      <c r="BW237" s="28">
        <f>BT237/BT238</f>
        <v>0.8574686431014823</v>
      </c>
      <c r="BX237" s="2">
        <f>LN(BW237)</f>
        <v>-0.15377066842234324</v>
      </c>
      <c r="BY237" s="2">
        <f>RT0*BX237</f>
        <v>-0.3492084364734872</v>
      </c>
      <c r="BZ237" s="2">
        <f>BV237+BY237</f>
        <v>0.35079156352651275</v>
      </c>
      <c r="CA237" s="2">
        <f>BZ237*BW237</f>
        <v>0.30079276598852633</v>
      </c>
      <c r="CB237" s="2">
        <f>BT238*CA237</f>
        <v>2909.1054602686922</v>
      </c>
      <c r="CJ237" s="350"/>
      <c r="CK237" s="435" t="s">
        <v>122</v>
      </c>
      <c r="CL237" s="435">
        <f>Calculators!C83</f>
        <v>2.6790290609815761</v>
      </c>
      <c r="CM237" s="435">
        <f>CL237/$CL$240</f>
        <v>5.8000000000000017E-2</v>
      </c>
      <c r="CN237" s="3">
        <f>MW_CO</f>
        <v>2.8010399999999998E-2</v>
      </c>
      <c r="CO237" s="3">
        <f t="shared" si="127"/>
        <v>95.644084375145525</v>
      </c>
      <c r="CP237" s="3">
        <f>h_CO</f>
        <v>-3944.9632993459577</v>
      </c>
      <c r="CQ237" s="3">
        <f>b_ch_CO</f>
        <v>275.02296000000001</v>
      </c>
      <c r="CR237" s="3">
        <f>CO237/$CO$240</f>
        <v>6.3435672986384122E-3</v>
      </c>
      <c r="CS237" s="3">
        <f t="shared" si="123"/>
        <v>-5.0603140033694451</v>
      </c>
      <c r="CT237" s="3">
        <f t="shared" si="124"/>
        <v>-11.491816737949305</v>
      </c>
      <c r="CU237" s="3">
        <f t="shared" si="125"/>
        <v>263.5311432620507</v>
      </c>
      <c r="CV237" s="3">
        <f t="shared" si="126"/>
        <v>1.6717275425699394</v>
      </c>
      <c r="CW237" s="3">
        <f>CV237*$CO$240</f>
        <v>25205.194901634139</v>
      </c>
      <c r="CY237" s="104">
        <f>0</f>
        <v>0</v>
      </c>
      <c r="CZ237" s="99">
        <f>CW231+DD229-DQ233</f>
        <v>122076.20256433263</v>
      </c>
      <c r="DA237" s="141">
        <f>DP233-CV231</f>
        <v>0</v>
      </c>
      <c r="DB237" s="139" t="s">
        <v>341</v>
      </c>
      <c r="DC237" s="136" t="e">
        <f>((DI238*(DP238-#REF!)))/DD229</f>
        <v>#REF!</v>
      </c>
      <c r="DD237" s="353" t="s">
        <v>666</v>
      </c>
      <c r="DE237" s="17" t="s">
        <v>66</v>
      </c>
      <c r="DF237" s="17">
        <f>H2_out_COtreatment</f>
        <v>25.929580216476836</v>
      </c>
      <c r="DG237" s="17">
        <f>DF237/$DF$241</f>
        <v>0.56136593456908357</v>
      </c>
      <c r="DH237" s="17">
        <f>MW_H*2</f>
        <v>2.0158800000000003E-3</v>
      </c>
      <c r="DI237" s="17">
        <f>DF237/DH237</f>
        <v>12862.660583207748</v>
      </c>
      <c r="DJ237" s="17">
        <f>h_H2</f>
        <v>0</v>
      </c>
      <c r="DK237" s="17">
        <f>b_ch_H2</f>
        <v>236.1</v>
      </c>
      <c r="DL237" s="17">
        <f>DI237/$DI$241</f>
        <v>0.91544766952145862</v>
      </c>
      <c r="DM237" s="17">
        <f>LN(DL237)</f>
        <v>-8.8342077045854228E-2</v>
      </c>
      <c r="DN237" s="17">
        <f>RT0*DM237</f>
        <v>-0.20062212720095421</v>
      </c>
      <c r="DO237" s="17">
        <f>DK237+DN237</f>
        <v>235.89937787279905</v>
      </c>
      <c r="DP237" s="17">
        <f>DO237*DL237</f>
        <v>215.95353571521582</v>
      </c>
      <c r="DQ237" s="17">
        <f>DP237*$DI$241</f>
        <v>3034293.6293676822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53" t="s">
        <v>523</v>
      </c>
      <c r="DZ237" s="17" t="s">
        <v>66</v>
      </c>
      <c r="EA237" s="17">
        <f>H2_out_COtreatment</f>
        <v>25.929580216476836</v>
      </c>
      <c r="EB237" s="17">
        <f>EA237/$DF$241</f>
        <v>0.56136593456908357</v>
      </c>
      <c r="EC237" s="17">
        <f>MW_H*2</f>
        <v>2.0158800000000003E-3</v>
      </c>
      <c r="ED237" s="17">
        <f>EA237/EC237</f>
        <v>12862.660583207748</v>
      </c>
      <c r="EE237" s="17">
        <f>h_H2</f>
        <v>0</v>
      </c>
      <c r="EF237" s="17">
        <f>b_ch_H2</f>
        <v>236.1</v>
      </c>
      <c r="EG237" s="17">
        <f>ED237/$DI$241</f>
        <v>0.91544766952145862</v>
      </c>
      <c r="EH237" s="17">
        <f>LN(EG237)</f>
        <v>-8.8342077045854228E-2</v>
      </c>
      <c r="EI237" s="17">
        <f>RT0*EH237</f>
        <v>-0.20062212720095421</v>
      </c>
      <c r="EJ237" s="17">
        <f>EF237+EI237</f>
        <v>235.89937787279905</v>
      </c>
      <c r="EK237" s="17">
        <f>EJ237*EG237</f>
        <v>215.95353571521582</v>
      </c>
      <c r="EL237" s="17">
        <f>EK237*$DI$241</f>
        <v>3034293.6293676822</v>
      </c>
      <c r="ET237" s="354" t="s">
        <v>669</v>
      </c>
      <c r="EU237" s="17" t="s">
        <v>66</v>
      </c>
      <c r="EV237" s="17">
        <f>H2_to_coke_oven</f>
        <v>3.8894370324715255</v>
      </c>
      <c r="EW237" s="17" t="e">
        <f>EV237/#REF!</f>
        <v>#REF!</v>
      </c>
      <c r="EX237" s="17">
        <f>MW_H*2</f>
        <v>2.0158800000000003E-3</v>
      </c>
      <c r="EY237" s="17">
        <f>EV237/EX237</f>
        <v>1929.399087481162</v>
      </c>
      <c r="EZ237" s="17">
        <f>h_H2</f>
        <v>0</v>
      </c>
      <c r="FA237" s="17">
        <f>b_ch_H2</f>
        <v>236.1</v>
      </c>
      <c r="FB237" s="17" t="e">
        <f>EY237/#REF!</f>
        <v>#REF!</v>
      </c>
      <c r="FC237" s="17" t="e">
        <f>LN(FB237)</f>
        <v>#REF!</v>
      </c>
      <c r="FD237" s="17" t="e">
        <f>RT0*FC237</f>
        <v>#REF!</v>
      </c>
      <c r="FE237" s="17" t="e">
        <f>FA237+FD237</f>
        <v>#REF!</v>
      </c>
      <c r="FF237" s="17" t="e">
        <f>FE237*FB237</f>
        <v>#REF!</v>
      </c>
      <c r="FG237" s="17" t="e">
        <f>FF237*#REF!</f>
        <v>#REF!</v>
      </c>
    </row>
    <row r="238" spans="2:169" ht="18">
      <c r="E238" s="348" t="s">
        <v>518</v>
      </c>
      <c r="F238" s="348"/>
      <c r="G238" s="348"/>
      <c r="H238" s="348"/>
      <c r="J238" s="4"/>
      <c r="K238" s="1" t="s">
        <v>554</v>
      </c>
      <c r="L238" s="1" t="s">
        <v>555</v>
      </c>
      <c r="M238" s="1" t="s">
        <v>557</v>
      </c>
      <c r="N238" s="1" t="s">
        <v>85</v>
      </c>
      <c r="O238" s="1" t="s">
        <v>658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556</v>
      </c>
      <c r="V238" s="1" t="s">
        <v>50</v>
      </c>
      <c r="X238" s="3" t="s">
        <v>31</v>
      </c>
      <c r="Y238" s="285">
        <f>N212</f>
        <v>22.560510894413284</v>
      </c>
      <c r="Z238" s="285">
        <f>AH212</f>
        <v>22.560510894413284</v>
      </c>
      <c r="AA238" s="3">
        <f t="shared" si="122"/>
        <v>0</v>
      </c>
      <c r="BP238" s="3" t="s">
        <v>19</v>
      </c>
      <c r="BQ238" s="17">
        <f>SUM(BQ236:BQ237)</f>
        <v>276.42498466842022</v>
      </c>
      <c r="BR238" s="17">
        <f>SUM(BR236:BR237)</f>
        <v>1</v>
      </c>
      <c r="BS238" s="3">
        <f>SUM(BS236:BS237)</f>
        <v>6.0012280000000001E-2</v>
      </c>
      <c r="BT238" s="3">
        <f>SUM(BT236:BT237)</f>
        <v>9671.4608501577441</v>
      </c>
      <c r="BU238" s="27">
        <f>SUM(BU236:BU237)</f>
        <v>0</v>
      </c>
      <c r="CA238" s="3">
        <f>SUM(CA236:CA237)</f>
        <v>0.2403186093334351</v>
      </c>
      <c r="CB238" s="3">
        <f>SUM(CB236:CB237)</f>
        <v>2324.232021732671</v>
      </c>
      <c r="CJ238" s="350"/>
      <c r="CK238" s="437" t="s">
        <v>64</v>
      </c>
      <c r="CL238" s="435">
        <f>Calculators!C84</f>
        <v>1.1547539055955069</v>
      </c>
      <c r="CM238" s="435">
        <f>CL238/$CL$240</f>
        <v>2.5000000000000005E-2</v>
      </c>
      <c r="CN238" s="3">
        <f>MW_CO2</f>
        <v>4.4009800000000002E-2</v>
      </c>
      <c r="CO238" s="3">
        <f t="shared" si="127"/>
        <v>26.238562901797028</v>
      </c>
      <c r="CP238" s="3">
        <f>h_CO2</f>
        <v>-8941.1903712354979</v>
      </c>
      <c r="CQ238" s="3">
        <f>b_ch_CO2</f>
        <v>19.900000000000034</v>
      </c>
      <c r="CR238" s="3">
        <f>CO238/$CO$240</f>
        <v>1.7402653878127357E-3</v>
      </c>
      <c r="CS238" s="3">
        <f t="shared" si="123"/>
        <v>-6.3537176556544992</v>
      </c>
      <c r="CT238" s="3">
        <f t="shared" si="124"/>
        <v>-14.429096466115807</v>
      </c>
      <c r="CU238" s="3">
        <f t="shared" si="125"/>
        <v>5.4709035338842273</v>
      </c>
      <c r="CV238" s="3">
        <f t="shared" si="126"/>
        <v>9.5208240600811005E-3</v>
      </c>
      <c r="CW238" s="3">
        <f>CV238*$CO$240</f>
        <v>143.54864650348495</v>
      </c>
      <c r="CY238" s="4"/>
      <c r="CZ238" s="4"/>
      <c r="DB238" s="139" t="s">
        <v>632</v>
      </c>
      <c r="DC238" s="136">
        <f>DQ233/(CW231+DD229)</f>
        <v>0.96999238670850507</v>
      </c>
      <c r="DD238" s="353"/>
      <c r="DE238" s="3" t="s">
        <v>65</v>
      </c>
      <c r="DF238" s="3">
        <f>CH4_out_COtreatment</f>
        <v>17.725524273173423</v>
      </c>
      <c r="DG238" s="3">
        <f t="shared" ref="DG238:DG240" si="128">DF238/$DF$241</f>
        <v>0.3837511219334731</v>
      </c>
      <c r="DH238" s="3">
        <f>MW_CH4</f>
        <v>1.604276E-2</v>
      </c>
      <c r="DI238" s="3">
        <f t="shared" ref="DI238:DI240" si="129">DF238/DH238</f>
        <v>1104.8924420220351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0">LN(DL238)</f>
        <v>-2.5429226700357286</v>
      </c>
      <c r="DN238" s="3">
        <f>RT0*DM238</f>
        <v>-5.7748988073406355</v>
      </c>
      <c r="DO238" s="3">
        <f t="shared" ref="DO238:DO240" si="131">DK238+DN238</f>
        <v>826.02510119265935</v>
      </c>
      <c r="DP238" s="3">
        <f t="shared" ref="DP238:DP240" si="132">DO238*DL238</f>
        <v>64.955504665215983</v>
      </c>
      <c r="DQ238" s="3">
        <f t="shared" ref="DQ238:DQ240" si="133">DP238*$DI$241</f>
        <v>912668.89122825593</v>
      </c>
      <c r="DS238" s="4"/>
      <c r="DT238" s="4"/>
      <c r="DV238" s="139" t="s">
        <v>632</v>
      </c>
      <c r="DW238" s="136">
        <f>EL233/DQ233</f>
        <v>1</v>
      </c>
      <c r="DY238" s="353"/>
      <c r="DZ238" s="3" t="s">
        <v>65</v>
      </c>
      <c r="EA238" s="3">
        <f>CH4_out_COtreatment</f>
        <v>17.725524273173423</v>
      </c>
      <c r="EB238" s="3">
        <f t="shared" ref="EB238:EB240" si="134">EA238/$DF$241</f>
        <v>0.3837511219334731</v>
      </c>
      <c r="EC238" s="3">
        <f>MW_CH4</f>
        <v>1.604276E-2</v>
      </c>
      <c r="ED238" s="3">
        <f t="shared" ref="ED238:ED240" si="135">EA238/EC238</f>
        <v>1104.8924420220351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36">LN(EG238)</f>
        <v>-2.5429226700357286</v>
      </c>
      <c r="EI238" s="3">
        <f>RT0*EH238</f>
        <v>-5.7748988073406355</v>
      </c>
      <c r="EJ238" s="3">
        <f t="shared" ref="EJ238:EJ240" si="137">EF238+EI238</f>
        <v>826.02510119265935</v>
      </c>
      <c r="EK238" s="3">
        <f t="shared" ref="EK238:EK240" si="138">EJ238*EG238</f>
        <v>64.955504665215983</v>
      </c>
      <c r="EL238" s="3">
        <f t="shared" ref="EL238:EL240" si="139">EK238*$DI$241</f>
        <v>912668.89122825593</v>
      </c>
      <c r="EM238" s="132"/>
      <c r="EN238" s="132"/>
      <c r="EO238" s="132"/>
      <c r="EP238" s="132"/>
      <c r="EQ238" s="132"/>
      <c r="ER238" s="132"/>
      <c r="ES238" s="132"/>
      <c r="ET238" s="354"/>
      <c r="EU238" s="3" t="s">
        <v>65</v>
      </c>
      <c r="EV238" s="3">
        <f>CH4_to_coke_oven</f>
        <v>2.6588286409760133</v>
      </c>
      <c r="EW238" s="3" t="e">
        <f>EV238/#REF!</f>
        <v>#REF!</v>
      </c>
      <c r="EX238" s="3">
        <f>MW_CH4</f>
        <v>1.604276E-2</v>
      </c>
      <c r="EY238" s="3">
        <f>EV238/EX238</f>
        <v>165.73386630330526</v>
      </c>
      <c r="EZ238" s="3">
        <f>h_CH4</f>
        <v>1.604276E-2</v>
      </c>
      <c r="FA238" s="3">
        <f>b_ch_CH4</f>
        <v>831.8</v>
      </c>
      <c r="FB238" s="3" t="e">
        <f>EY238/#REF!</f>
        <v>#REF!</v>
      </c>
      <c r="FC238" s="3" t="e">
        <f>LN(FB238)</f>
        <v>#REF!</v>
      </c>
      <c r="FD238" s="3" t="e">
        <f>RT0*FC238</f>
        <v>#REF!</v>
      </c>
      <c r="FE238" s="3" t="e">
        <f>FA238+FD238</f>
        <v>#REF!</v>
      </c>
      <c r="FF238" s="3" t="e">
        <f>FE238*FB238</f>
        <v>#REF!</v>
      </c>
      <c r="FG238" s="3" t="e">
        <f>FF238*#REF!</f>
        <v>#REF!</v>
      </c>
    </row>
    <row r="239" spans="2:169" ht="19" thickBot="1">
      <c r="E239" s="348"/>
      <c r="F239" s="348"/>
      <c r="G239" s="348"/>
      <c r="H239" s="348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>
        <f>N213</f>
        <v>12.555798311155817</v>
      </c>
      <c r="Z239" s="286">
        <f>AH213</f>
        <v>12.555798311155817</v>
      </c>
      <c r="AA239" s="3">
        <f t="shared" si="122"/>
        <v>0</v>
      </c>
      <c r="BQ239" s="1" t="s">
        <v>89</v>
      </c>
      <c r="BR239" s="1"/>
      <c r="BS239" s="3" t="s">
        <v>91</v>
      </c>
      <c r="BT239" s="3" t="s">
        <v>87</v>
      </c>
      <c r="BU239" s="1" t="s">
        <v>659</v>
      </c>
      <c r="BV239" s="4"/>
      <c r="BW239" s="4"/>
      <c r="CA239" s="3" t="s">
        <v>96</v>
      </c>
      <c r="CB239" s="1" t="s">
        <v>93</v>
      </c>
      <c r="CJ239" s="350"/>
      <c r="CK239" s="435" t="s">
        <v>65</v>
      </c>
      <c r="CL239" s="435">
        <f>Calculators!C85</f>
        <v>12.471342180431474</v>
      </c>
      <c r="CM239" s="435">
        <f>CL239/$CL$240</f>
        <v>0.27</v>
      </c>
      <c r="CN239" s="3">
        <f>MW_CH4</f>
        <v>1.604276E-2</v>
      </c>
      <c r="CO239" s="3">
        <f t="shared" si="127"/>
        <v>777.3813346600881</v>
      </c>
      <c r="CP239" s="3">
        <f>h_CH4</f>
        <v>1.604276E-2</v>
      </c>
      <c r="CQ239" s="3">
        <f>b_ch_CH4</f>
        <v>831.8</v>
      </c>
      <c r="CR239" s="3">
        <f>CO239/$CO$240</f>
        <v>5.1559600840332842E-2</v>
      </c>
      <c r="CS239" s="3">
        <f t="shared" si="123"/>
        <v>-2.9650168425948635</v>
      </c>
      <c r="CT239" s="3">
        <f t="shared" si="124"/>
        <v>-6.7334616305124984</v>
      </c>
      <c r="CU239" s="3">
        <f t="shared" si="125"/>
        <v>825.06653836948749</v>
      </c>
      <c r="CV239" s="3">
        <f t="shared" si="126"/>
        <v>42.540101385045936</v>
      </c>
      <c r="CW239" s="3">
        <f>CV239*$CO$240</f>
        <v>641391.32678105088</v>
      </c>
      <c r="CY239" s="4"/>
      <c r="CZ239" s="4"/>
      <c r="DB239" s="140" t="s">
        <v>404</v>
      </c>
      <c r="DC239" s="137">
        <f>DQ238/(CW231+DD229)</f>
        <v>0.22434360322375116</v>
      </c>
      <c r="DD239" s="353"/>
      <c r="DE239" s="237" t="s">
        <v>24</v>
      </c>
      <c r="DF239" s="3">
        <f>O2_out_COtreatment</f>
        <v>1.6574387659174263</v>
      </c>
      <c r="DG239" s="3">
        <f t="shared" si="128"/>
        <v>3.5882943497443399E-2</v>
      </c>
      <c r="DH239" s="3">
        <f>MW_O2</f>
        <v>3.1998800000000001E-2</v>
      </c>
      <c r="DI239" s="3">
        <f t="shared" si="129"/>
        <v>51.79690381881278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0"/>
        <v>-5.6030955660719179</v>
      </c>
      <c r="DN239" s="3">
        <f>RT0*DM239</f>
        <v>-12.724456894896333</v>
      </c>
      <c r="DO239" s="3">
        <f t="shared" si="131"/>
        <v>-8.724456894896333</v>
      </c>
      <c r="DP239" s="3">
        <f t="shared" si="132"/>
        <v>-3.2162138317036203E-2</v>
      </c>
      <c r="DQ239" s="3">
        <f t="shared" si="133"/>
        <v>-451.89985465632338</v>
      </c>
      <c r="DS239" s="4"/>
      <c r="DT239" s="4"/>
      <c r="DV239" s="140" t="s">
        <v>404</v>
      </c>
      <c r="DW239" s="137">
        <f>EL233/DQ233</f>
        <v>1</v>
      </c>
      <c r="DY239" s="353"/>
      <c r="DZ239" s="237" t="s">
        <v>24</v>
      </c>
      <c r="EA239" s="3">
        <f>O2_out_COtreatment</f>
        <v>1.6574387659174263</v>
      </c>
      <c r="EB239" s="3">
        <f t="shared" si="134"/>
        <v>3.5882943497443399E-2</v>
      </c>
      <c r="EC239" s="3">
        <f>MW_O2</f>
        <v>3.1998800000000001E-2</v>
      </c>
      <c r="ED239" s="3">
        <f t="shared" si="135"/>
        <v>51.79690381881278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36"/>
        <v>-5.6030955660719179</v>
      </c>
      <c r="EI239" s="3">
        <f>RT0*EH239</f>
        <v>-12.724456894896333</v>
      </c>
      <c r="EJ239" s="3">
        <f t="shared" si="137"/>
        <v>-8.724456894896333</v>
      </c>
      <c r="EK239" s="3">
        <f t="shared" si="138"/>
        <v>-3.2162138317036203E-2</v>
      </c>
      <c r="EL239" s="3">
        <f t="shared" si="139"/>
        <v>-451.89985465632338</v>
      </c>
      <c r="EM239" s="1"/>
      <c r="EN239" s="1"/>
      <c r="EO239" s="1"/>
      <c r="EP239" s="1"/>
      <c r="EQ239" s="1"/>
      <c r="ER239" s="1"/>
      <c r="ES239" s="1"/>
      <c r="ET239" s="354"/>
      <c r="EU239" s="237" t="s">
        <v>24</v>
      </c>
      <c r="EV239" s="3">
        <f>O2_to_coke_oven</f>
        <v>0.24861581488761392</v>
      </c>
      <c r="EW239" s="3" t="e">
        <f>EV239/#REF!</f>
        <v>#REF!</v>
      </c>
      <c r="EX239" s="3">
        <f>MW_O2</f>
        <v>3.1998800000000001E-2</v>
      </c>
      <c r="EY239" s="3">
        <f>EV239/EX239</f>
        <v>7.7695355728219155</v>
      </c>
      <c r="EZ239" s="3">
        <f>h_O2</f>
        <v>0</v>
      </c>
      <c r="FA239" s="3">
        <f>b_ch_O2</f>
        <v>4</v>
      </c>
      <c r="FB239" s="3" t="e">
        <f>EY239/#REF!</f>
        <v>#REF!</v>
      </c>
      <c r="FC239" s="3" t="e">
        <f>LN(FB239)</f>
        <v>#REF!</v>
      </c>
      <c r="FD239" s="3" t="e">
        <f>RT0*FC239</f>
        <v>#REF!</v>
      </c>
      <c r="FE239" s="3" t="e">
        <f>FA239+FD239</f>
        <v>#REF!</v>
      </c>
      <c r="FF239" s="3" t="e">
        <f>FE239*FB239</f>
        <v>#REF!</v>
      </c>
      <c r="FG239" s="3" t="e">
        <f>FF239*#REF!</f>
        <v>#REF!</v>
      </c>
    </row>
    <row r="240" spans="2:169" ht="18" customHeight="1">
      <c r="I240" s="350" t="s">
        <v>524</v>
      </c>
      <c r="J240" s="8" t="s">
        <v>303</v>
      </c>
      <c r="K240" s="17" t="e">
        <f>O2_in_Coal_Ext</f>
        <v>#REF!</v>
      </c>
      <c r="L240" s="17" t="e">
        <f>K240/$BQ$238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>
        <f>2*N214</f>
        <v>8.1649339293618812</v>
      </c>
      <c r="Z240" s="83">
        <f>2*AH214</f>
        <v>8.1649339293618812</v>
      </c>
      <c r="AA240" s="3">
        <f t="shared" si="122"/>
        <v>0</v>
      </c>
      <c r="CK240" s="17" t="s">
        <v>19</v>
      </c>
      <c r="CL240" s="17">
        <f>SUM(CL235:CL239)</f>
        <v>46.190156223820267</v>
      </c>
      <c r="CM240" s="17">
        <f>SUM(CM235:CM239)</f>
        <v>1.0000000000000002</v>
      </c>
      <c r="CN240" s="17">
        <f>SUM(CN235:CN239)</f>
        <v>0.12416072</v>
      </c>
      <c r="CO240" s="17">
        <f>SUM(CO235:CO239)</f>
        <v>15077.334230484894</v>
      </c>
      <c r="CP240" s="17" cm="1">
        <f t="array" ref="CP240">SUM(CL235:CL239*CP235:CP239) / CL240</f>
        <v>-470.4661016309467</v>
      </c>
      <c r="CQ240" s="17"/>
      <c r="CR240" s="17">
        <f>SUM(CR235:CR239)</f>
        <v>1</v>
      </c>
      <c r="CS240" s="17"/>
      <c r="CT240" s="17"/>
      <c r="CU240" s="17"/>
      <c r="CV240" s="17">
        <f>SUM(CV235:CV239)</f>
        <v>267.61477668469848</v>
      </c>
      <c r="CW240" s="17">
        <f>SUM(CW235:CW239)</f>
        <v>4034917.433091775</v>
      </c>
      <c r="DD240" s="353"/>
      <c r="DE240" s="7" t="s">
        <v>67</v>
      </c>
      <c r="DF240" s="3">
        <f>N2_out_COtreatment</f>
        <v>0.87761296825258517</v>
      </c>
      <c r="DG240" s="3">
        <f t="shared" si="128"/>
        <v>1.9000000000000003E-2</v>
      </c>
      <c r="DH240" s="3">
        <f>MW_N2</f>
        <v>2.801348E-2</v>
      </c>
      <c r="DI240" s="3">
        <f t="shared" si="129"/>
        <v>31.328237985876271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0"/>
        <v>-6.1059060788071511</v>
      </c>
      <c r="DN240" s="3">
        <f>RT0*DM240</f>
        <v>-13.866324032473203</v>
      </c>
      <c r="DO240" s="3">
        <f t="shared" si="131"/>
        <v>-13.166324032473204</v>
      </c>
      <c r="DP240" s="3">
        <f t="shared" si="132"/>
        <v>-2.9356428763433841E-2</v>
      </c>
      <c r="DQ240" s="3">
        <f t="shared" si="133"/>
        <v>-412.47773268848266</v>
      </c>
      <c r="DY240" s="353"/>
      <c r="DZ240" s="7" t="s">
        <v>67</v>
      </c>
      <c r="EA240" s="3">
        <f>N2_out_COtreatment</f>
        <v>0.87761296825258517</v>
      </c>
      <c r="EB240" s="3">
        <f t="shared" si="134"/>
        <v>1.9000000000000003E-2</v>
      </c>
      <c r="EC240" s="3">
        <f>MW_N2</f>
        <v>2.801348E-2</v>
      </c>
      <c r="ED240" s="3">
        <f t="shared" si="135"/>
        <v>31.328237985876271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36"/>
        <v>-6.1059060788071511</v>
      </c>
      <c r="EI240" s="3">
        <f>RT0*EH240</f>
        <v>-13.866324032473203</v>
      </c>
      <c r="EJ240" s="3">
        <f t="shared" si="137"/>
        <v>-13.166324032473204</v>
      </c>
      <c r="EK240" s="3">
        <f t="shared" si="138"/>
        <v>-2.9356428763433841E-2</v>
      </c>
      <c r="EL240" s="3">
        <f t="shared" si="139"/>
        <v>-412.47773268848266</v>
      </c>
      <c r="ET240" s="354"/>
      <c r="EU240" s="7" t="s">
        <v>67</v>
      </c>
      <c r="EV240" s="3">
        <f>N2_to_coke_oven</f>
        <v>0.13164194523788778</v>
      </c>
      <c r="EW240" s="3" t="e">
        <f>EV240/#REF!</f>
        <v>#REF!</v>
      </c>
      <c r="EX240" s="3">
        <f>MW_N2</f>
        <v>2.801348E-2</v>
      </c>
      <c r="EY240" s="3">
        <f>EV240/EX240</f>
        <v>4.6992356978814405</v>
      </c>
      <c r="EZ240" s="3">
        <f>h_N2</f>
        <v>0</v>
      </c>
      <c r="FA240" s="3">
        <f>b_ch_N2</f>
        <v>0.7</v>
      </c>
      <c r="FB240" s="3" t="e">
        <f>EY240/#REF!</f>
        <v>#REF!</v>
      </c>
      <c r="FC240" s="3" t="e">
        <f>LN(FB240)</f>
        <v>#REF!</v>
      </c>
      <c r="FD240" s="3" t="e">
        <f>RT0*FC240</f>
        <v>#REF!</v>
      </c>
      <c r="FE240" s="3" t="e">
        <f>FA240+FD240</f>
        <v>#REF!</v>
      </c>
      <c r="FF240" s="3" t="e">
        <f>FE240*FB240</f>
        <v>#REF!</v>
      </c>
      <c r="FG240" s="3" t="e">
        <f>FF240*#REF!</f>
        <v>#REF!</v>
      </c>
    </row>
    <row r="241" spans="9:163" ht="19" thickBot="1">
      <c r="I241" s="350"/>
      <c r="J241" s="60" t="s">
        <v>67</v>
      </c>
      <c r="K241" s="3" t="e">
        <f>N2_in_Coal_Ext</f>
        <v>#REF!</v>
      </c>
      <c r="L241" s="3" t="e">
        <f>K241/$BQ$238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>
        <f>2*N215</f>
        <v>47.535188960625945</v>
      </c>
      <c r="Z241" s="83">
        <f>2*AH215</f>
        <v>47.535188960625945</v>
      </c>
      <c r="AA241" s="3">
        <f t="shared" si="122"/>
        <v>0</v>
      </c>
      <c r="CL241" s="1" t="s">
        <v>89</v>
      </c>
      <c r="CM241" s="1"/>
      <c r="CN241" s="3" t="s">
        <v>91</v>
      </c>
      <c r="CO241" s="3" t="s">
        <v>87</v>
      </c>
      <c r="CP241" s="1" t="s">
        <v>659</v>
      </c>
      <c r="CQ241" s="4"/>
      <c r="CR241" s="4"/>
      <c r="CV241" s="3" t="s">
        <v>96</v>
      </c>
      <c r="CW241" s="1" t="s">
        <v>93</v>
      </c>
      <c r="DE241" s="17" t="s">
        <v>19</v>
      </c>
      <c r="DF241" s="17">
        <f>SUM(DF237:DF240)</f>
        <v>46.190156223820267</v>
      </c>
      <c r="DG241" s="17">
        <f>SUM(DG237:DG240)</f>
        <v>1</v>
      </c>
      <c r="DH241" s="17"/>
      <c r="DI241" s="17">
        <f>SUM(DI237:DI240)</f>
        <v>14050.678167034472</v>
      </c>
      <c r="DJ241" s="17" cm="1">
        <f t="array" ref="DJ241">SUM(DF237:DF240*DJ237:DJ240) / DF241</f>
        <v>6.1564271489094454E-3</v>
      </c>
      <c r="DK241" s="17">
        <f>SUM(DK237:DK240)</f>
        <v>1072.5999999999999</v>
      </c>
      <c r="DL241" s="17">
        <f>SUM(DL237:DL240)</f>
        <v>0.99999999999999989</v>
      </c>
      <c r="DM241" s="17"/>
      <c r="DN241" s="17"/>
      <c r="DO241" s="17"/>
      <c r="DP241" s="17">
        <f>SUM(DP237:DP240)</f>
        <v>280.84752181335131</v>
      </c>
      <c r="DQ241" s="17">
        <f>SUM(DQ237:DQ240)</f>
        <v>3946098.143008593</v>
      </c>
      <c r="DZ241" s="17" t="s">
        <v>19</v>
      </c>
      <c r="EA241" s="17">
        <f>SUM(EA237:EA240)</f>
        <v>46.190156223820267</v>
      </c>
      <c r="EB241" s="17">
        <f>SUM(EB237:EB240)</f>
        <v>1</v>
      </c>
      <c r="EC241" s="17"/>
      <c r="ED241" s="17">
        <f>SUM(ED237:ED240)</f>
        <v>14050.678167034472</v>
      </c>
      <c r="EE241" s="17" cm="1">
        <f t="array" ref="EE241">SUM(EA237:EA240*EE237:EE240) / EA241</f>
        <v>6.1564271489094454E-3</v>
      </c>
      <c r="EF241" s="17">
        <f>SUM(EF237:EF240)</f>
        <v>1072.5999999999999</v>
      </c>
      <c r="EG241" s="17">
        <f>SUM(EG237:EG240)</f>
        <v>0.99999999999999989</v>
      </c>
      <c r="EH241" s="17"/>
      <c r="EI241" s="17"/>
      <c r="EJ241" s="17"/>
      <c r="EK241" s="17">
        <f>SUM(EK237:EK240)</f>
        <v>280.84752181335131</v>
      </c>
      <c r="EL241" s="17">
        <f>SUM(EL237:EL240)</f>
        <v>3946098.143008593</v>
      </c>
      <c r="EU241" s="17" t="s">
        <v>19</v>
      </c>
      <c r="EV241" s="17">
        <f>SUM(EV237:EV240)</f>
        <v>6.9285234335730408</v>
      </c>
      <c r="EW241" s="17" t="e">
        <f>SUM(EW237:EW240)</f>
        <v>#REF!</v>
      </c>
      <c r="EX241" s="17"/>
      <c r="EY241" s="17">
        <f>SUM(EY237:EY240)</f>
        <v>2107.6017250551704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 t="e">
        <f>SUM(FB237:FB240)</f>
        <v>#REF!</v>
      </c>
      <c r="FC241" s="17"/>
      <c r="FD241" s="17"/>
      <c r="FE241" s="17"/>
      <c r="FF241" s="17" t="e">
        <f>SUM(FF237:FF240)</f>
        <v>#REF!</v>
      </c>
      <c r="FG241" s="17" t="e">
        <f>SUM(FG237:FG240)</f>
        <v>#REF!</v>
      </c>
    </row>
    <row r="242" spans="9:163" ht="18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>
        <f>N216</f>
        <v>189.50396597236454</v>
      </c>
      <c r="Z242" s="286">
        <f>AH216</f>
        <v>189.50396597236454</v>
      </c>
      <c r="AA242" s="3">
        <f t="shared" si="122"/>
        <v>0</v>
      </c>
      <c r="CA242" s="63" t="s">
        <v>1</v>
      </c>
      <c r="CB242" s="58" t="s">
        <v>0</v>
      </c>
      <c r="DF242" s="1" t="s">
        <v>89</v>
      </c>
      <c r="DG242" s="1"/>
      <c r="DH242" s="3" t="s">
        <v>91</v>
      </c>
      <c r="DI242" s="3" t="s">
        <v>87</v>
      </c>
      <c r="DJ242" s="1" t="s">
        <v>659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581</v>
      </c>
      <c r="EV242" s="1" t="s">
        <v>89</v>
      </c>
      <c r="EW242" s="1"/>
      <c r="EX242" s="3" t="s">
        <v>91</v>
      </c>
      <c r="EY242" s="3" t="s">
        <v>87</v>
      </c>
      <c r="EZ242" s="1" t="s">
        <v>659</v>
      </c>
      <c r="FA242" s="4"/>
      <c r="FB242" s="4"/>
      <c r="FF242" s="3" t="s">
        <v>96</v>
      </c>
      <c r="FG242" s="1" t="s">
        <v>93</v>
      </c>
    </row>
    <row r="243" spans="9:163" ht="18">
      <c r="K243" s="1" t="s">
        <v>89</v>
      </c>
      <c r="L243" s="1"/>
      <c r="M243" s="3" t="s">
        <v>91</v>
      </c>
      <c r="N243" s="3" t="s">
        <v>87</v>
      </c>
      <c r="O243" s="1" t="s">
        <v>659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Y243" s="4"/>
      <c r="CZ243" s="3" t="s">
        <v>2</v>
      </c>
      <c r="DA243" s="3" t="s">
        <v>3</v>
      </c>
      <c r="DB243" s="132" t="s">
        <v>581</v>
      </c>
      <c r="EO243" s="4"/>
      <c r="EP243" s="1" t="s">
        <v>583</v>
      </c>
      <c r="EQ243" s="1" t="s">
        <v>583</v>
      </c>
      <c r="ER243" s="1" t="s">
        <v>583</v>
      </c>
    </row>
    <row r="244" spans="9:163" ht="24" customHeight="1" thickBot="1">
      <c r="BW244" s="3" t="s">
        <v>473</v>
      </c>
      <c r="CA244" s="50">
        <f>BR249</f>
        <v>17.691781672574304</v>
      </c>
      <c r="CB244" s="48">
        <f>CB249</f>
        <v>917300.01541176869</v>
      </c>
      <c r="CY244" s="4"/>
      <c r="CZ244" s="1" t="s">
        <v>583</v>
      </c>
      <c r="DA244" s="1" t="s">
        <v>583</v>
      </c>
      <c r="DB244" s="1" t="s">
        <v>583</v>
      </c>
      <c r="EO244" s="4" t="s">
        <v>60</v>
      </c>
      <c r="EP244" s="3" t="s">
        <v>582</v>
      </c>
      <c r="EQ244" s="3" t="s">
        <v>582</v>
      </c>
      <c r="ER244" s="3" t="s">
        <v>582</v>
      </c>
    </row>
    <row r="245" spans="9:163" ht="16" thickBot="1">
      <c r="BL245" s="3" t="s">
        <v>459</v>
      </c>
      <c r="BO245" s="4"/>
      <c r="CY245" s="4" t="s">
        <v>60</v>
      </c>
      <c r="CZ245" s="3" t="s">
        <v>582</v>
      </c>
      <c r="DA245" s="3" t="s">
        <v>582</v>
      </c>
      <c r="DB245" s="3" t="s">
        <v>582</v>
      </c>
      <c r="EO245" s="3" t="s">
        <v>18</v>
      </c>
      <c r="EP245" s="83">
        <f>DI238</f>
        <v>1104.8924420220351</v>
      </c>
      <c r="EQ245" s="83" t="e">
        <f>EY238+EE157+#REF!</f>
        <v>#REF!</v>
      </c>
      <c r="ER245" s="3" t="e">
        <f>EP245-EQ245</f>
        <v>#REF!</v>
      </c>
    </row>
    <row r="246" spans="9:163" ht="18" customHeight="1">
      <c r="BI246" s="348" t="s">
        <v>472</v>
      </c>
      <c r="BJ246" s="348"/>
      <c r="BK246" s="348"/>
      <c r="BL246" s="348"/>
      <c r="BM246" s="348"/>
      <c r="BN246" s="348"/>
      <c r="BO246" s="348"/>
      <c r="BP246" s="1"/>
      <c r="BQ246" s="3" t="s">
        <v>560</v>
      </c>
      <c r="BR246" s="1" t="s">
        <v>554</v>
      </c>
      <c r="BS246" s="3" t="s">
        <v>5</v>
      </c>
      <c r="BT246" s="1" t="s">
        <v>85</v>
      </c>
      <c r="BU246" s="1" t="s">
        <v>658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556</v>
      </c>
      <c r="CB246" s="1" t="s">
        <v>50</v>
      </c>
      <c r="CV246" s="63" t="s">
        <v>1</v>
      </c>
      <c r="CW246" s="58" t="s">
        <v>0</v>
      </c>
      <c r="CY246" s="3" t="s">
        <v>18</v>
      </c>
      <c r="CZ246" s="83" t="e">
        <f>(2*CO236)+CO237+CO238+#REF!</f>
        <v>#REF!</v>
      </c>
      <c r="DA246" s="83">
        <f>DI238</f>
        <v>1104.8924420220351</v>
      </c>
      <c r="DB246" s="3" t="e">
        <f>CZ246-DA246</f>
        <v>#REF!</v>
      </c>
      <c r="EO246" s="3" t="s">
        <v>182</v>
      </c>
      <c r="EP246" s="83">
        <f>(2*DI237)+(4*DI238)</f>
        <v>30144.890934503637</v>
      </c>
      <c r="EQ246" s="83" t="e">
        <f>(2*EY237)+(4*EY238)+(2*EE156)+(4*EE157)+(2*#REF!)+(4*#REF!)</f>
        <v>#REF!</v>
      </c>
      <c r="ER246" s="3" t="e">
        <f t="shared" ref="ER246:ER248" si="140">EP246-EQ246</f>
        <v>#REF!</v>
      </c>
    </row>
    <row r="247" spans="9:163" ht="18">
      <c r="BI247" s="349"/>
      <c r="BJ247" s="349"/>
      <c r="BK247" s="349"/>
      <c r="BL247" s="349"/>
      <c r="BM247" s="349"/>
      <c r="BN247" s="349"/>
      <c r="BO247" s="349"/>
      <c r="BP247" s="1"/>
      <c r="BQ247" s="3" t="s">
        <v>559</v>
      </c>
      <c r="BR247" s="1" t="s">
        <v>88</v>
      </c>
      <c r="BS247" s="1" t="s">
        <v>90</v>
      </c>
      <c r="BT247" s="2" t="s">
        <v>86</v>
      </c>
      <c r="BU247" s="1" t="s">
        <v>645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J247" s="310"/>
      <c r="CV247" s="65" t="s">
        <v>89</v>
      </c>
      <c r="CW247" s="64" t="s">
        <v>93</v>
      </c>
      <c r="CY247" s="3" t="s">
        <v>182</v>
      </c>
      <c r="CZ247" s="83" t="e">
        <f>(2*CO235)+(4*CO236)+(4*#REF!)</f>
        <v>#REF!</v>
      </c>
      <c r="DA247" s="83">
        <f>(4*DI238)+(2*DI237)</f>
        <v>30144.890934503637</v>
      </c>
      <c r="DB247" s="3" t="e">
        <f t="shared" ref="DB247:DB249" si="141">CZ247-DA247</f>
        <v>#REF!</v>
      </c>
      <c r="EO247" s="3" t="s">
        <v>29</v>
      </c>
      <c r="EP247" s="83">
        <f>2*DI239</f>
        <v>103.59380763762556</v>
      </c>
      <c r="EQ247" s="83" t="e">
        <f>(2*EY239)+(2*EE158)+(2*#REF!)</f>
        <v>#REF!</v>
      </c>
      <c r="ER247" s="3" t="e">
        <f t="shared" si="140"/>
        <v>#REF!</v>
      </c>
    </row>
    <row r="248" spans="9:163" ht="18" thickBot="1">
      <c r="BI248" s="61" t="s">
        <v>264</v>
      </c>
      <c r="BJ248" s="13" t="s">
        <v>235</v>
      </c>
      <c r="BK248" s="13" t="s">
        <v>235</v>
      </c>
      <c r="BL248" s="13" t="s">
        <v>235</v>
      </c>
      <c r="BM248" s="34" t="s">
        <v>235</v>
      </c>
      <c r="BN248" s="105" t="s">
        <v>322</v>
      </c>
      <c r="BO248" s="13" t="s">
        <v>316</v>
      </c>
      <c r="BP248" s="95" t="s">
        <v>65</v>
      </c>
      <c r="BQ248" s="95">
        <f>2956.513*CA206</f>
        <v>884589.08362871525</v>
      </c>
      <c r="BR248" s="42">
        <f>BQ248/LHV_CH4</f>
        <v>17.691781672574304</v>
      </c>
      <c r="BS248" s="33" cm="1">
        <f t="array" ref="BS248">MW_CH4</f>
        <v>1.604276E-2</v>
      </c>
      <c r="BT248" s="33">
        <f>BR248/BS248</f>
        <v>1102.7891505310997</v>
      </c>
      <c r="BU248" s="33">
        <f>h_CH4</f>
        <v>1.604276E-2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917300.01541176869</v>
      </c>
      <c r="CJ248" s="310"/>
      <c r="CR248" s="3" t="s">
        <v>527</v>
      </c>
      <c r="CV248" s="50">
        <f>CL255</f>
        <v>298.07604476107082</v>
      </c>
      <c r="CW248" s="48">
        <f>CW255</f>
        <v>20439.369686997401</v>
      </c>
      <c r="CY248" s="3" t="s">
        <v>29</v>
      </c>
      <c r="CZ248" s="83">
        <f>CO237+(2*CO238)</f>
        <v>148.12121017873957</v>
      </c>
      <c r="DA248" s="83">
        <f>(2*DI239)</f>
        <v>103.59380763762556</v>
      </c>
      <c r="DB248" s="3">
        <f t="shared" si="141"/>
        <v>44.527402541114014</v>
      </c>
      <c r="EO248" s="3" t="s">
        <v>363</v>
      </c>
      <c r="EP248" s="83">
        <f>2*DI240</f>
        <v>62.656475971752542</v>
      </c>
      <c r="EQ248" s="83" t="e">
        <f>(2*EY240)+(2*#REF!)+(2*EE159)</f>
        <v>#REF!</v>
      </c>
      <c r="ER248" s="3" t="e">
        <f t="shared" si="140"/>
        <v>#REF!</v>
      </c>
    </row>
    <row r="249" spans="9:163" ht="16">
      <c r="BI249" s="61" t="s">
        <v>98</v>
      </c>
      <c r="BJ249" s="13" t="s">
        <v>456</v>
      </c>
      <c r="BK249" s="13" t="s">
        <v>457</v>
      </c>
      <c r="BL249" s="13" t="s">
        <v>458</v>
      </c>
      <c r="BM249" s="34" t="s">
        <v>48</v>
      </c>
      <c r="BN249" s="34" t="s">
        <v>98</v>
      </c>
      <c r="BO249" s="13" t="s">
        <v>48</v>
      </c>
      <c r="BP249" s="1" t="s">
        <v>19</v>
      </c>
      <c r="BQ249" s="1">
        <f>BQ248</f>
        <v>884589.08362871525</v>
      </c>
      <c r="BR249" s="1">
        <f>BR248</f>
        <v>17.691781672574304</v>
      </c>
      <c r="BS249" s="6">
        <f>BS248</f>
        <v>1.604276E-2</v>
      </c>
      <c r="BT249" s="6">
        <f>BT248</f>
        <v>1102.7891505310997</v>
      </c>
      <c r="BU249" s="6">
        <f>BU248</f>
        <v>1.604276E-2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917300.01541176869</v>
      </c>
      <c r="CY249" s="3" t="s">
        <v>363</v>
      </c>
      <c r="CZ249" s="83">
        <f>(2*CO239)</f>
        <v>1554.7626693201762</v>
      </c>
      <c r="DA249" s="83">
        <f>2*DI240</f>
        <v>62.656475971752542</v>
      </c>
      <c r="DB249" s="3">
        <f t="shared" si="141"/>
        <v>1492.1061933484236</v>
      </c>
    </row>
    <row r="250" spans="9:163" ht="18">
      <c r="BI250" s="61" t="s">
        <v>431</v>
      </c>
      <c r="BJ250" s="13">
        <v>2.956513E-3</v>
      </c>
      <c r="BK250" s="61">
        <f>BJ250*1000000000</f>
        <v>2956513</v>
      </c>
      <c r="BL250" s="61">
        <f>BK250/1000</f>
        <v>2956.5129999999999</v>
      </c>
      <c r="BM250" s="61">
        <f>BL250*CA206</f>
        <v>884589.08362871525</v>
      </c>
      <c r="BN250" s="13">
        <v>1.04</v>
      </c>
      <c r="BO250" s="13">
        <f>BM250*BN250</f>
        <v>919972.64697386394</v>
      </c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659</v>
      </c>
      <c r="BV250" s="4"/>
      <c r="BW250" s="4"/>
      <c r="CA250" s="3" t="s">
        <v>96</v>
      </c>
      <c r="CB250" s="1" t="s">
        <v>93</v>
      </c>
      <c r="CK250" s="4"/>
      <c r="CL250" s="1" t="s">
        <v>554</v>
      </c>
      <c r="CM250" s="1" t="s">
        <v>555</v>
      </c>
      <c r="CN250" s="1" t="s">
        <v>557</v>
      </c>
      <c r="CO250" s="1" t="s">
        <v>85</v>
      </c>
      <c r="CP250" s="1" t="s">
        <v>658</v>
      </c>
      <c r="CQ250" s="1" t="s">
        <v>6</v>
      </c>
      <c r="CR250" s="1" t="s">
        <v>7</v>
      </c>
      <c r="CS250" s="1" t="s">
        <v>8</v>
      </c>
      <c r="CT250" s="1" t="s">
        <v>9</v>
      </c>
      <c r="CU250" s="1" t="s">
        <v>49</v>
      </c>
      <c r="CV250" s="1" t="s">
        <v>556</v>
      </c>
      <c r="CW250" s="1" t="s">
        <v>50</v>
      </c>
    </row>
    <row r="251" spans="9:163" ht="18">
      <c r="U251" s="16" t="s">
        <v>242</v>
      </c>
      <c r="V251" s="3" t="s">
        <v>192</v>
      </c>
      <c r="W251" s="3" t="s">
        <v>241</v>
      </c>
      <c r="X251" s="3" t="s">
        <v>243</v>
      </c>
      <c r="CK251" s="4" t="s">
        <v>41</v>
      </c>
      <c r="CL251" s="1" t="s">
        <v>88</v>
      </c>
      <c r="CM251" s="4" t="s">
        <v>283</v>
      </c>
      <c r="CN251" s="2" t="s">
        <v>90</v>
      </c>
      <c r="CO251" s="2" t="s">
        <v>86</v>
      </c>
      <c r="CP251" s="1" t="s">
        <v>645</v>
      </c>
      <c r="CQ251" s="2" t="s">
        <v>95</v>
      </c>
      <c r="CR251" s="2" t="s">
        <v>25</v>
      </c>
      <c r="CS251" s="2" t="s">
        <v>98</v>
      </c>
      <c r="CT251" s="2" t="s">
        <v>95</v>
      </c>
      <c r="CU251" s="2" t="s">
        <v>95</v>
      </c>
      <c r="CV251" s="2" t="s">
        <v>94</v>
      </c>
      <c r="CW251" s="2" t="s">
        <v>92</v>
      </c>
    </row>
    <row r="252" spans="9:163" ht="22" customHeight="1">
      <c r="CJ252" s="350" t="s">
        <v>527</v>
      </c>
      <c r="CK252" s="17" t="s">
        <v>68</v>
      </c>
      <c r="CL252" s="17">
        <f>CO252*CN252</f>
        <v>9.9335276638899561</v>
      </c>
      <c r="CM252" s="17">
        <f>CL252/CL255</f>
        <v>3.3325481327600097E-2</v>
      </c>
      <c r="CN252" s="17">
        <f>MW_H2O</f>
        <v>1.8015280000000002E-2</v>
      </c>
      <c r="CO252" s="17">
        <f>(BT248/2)</f>
        <v>551.39457526554986</v>
      </c>
      <c r="CP252" s="17">
        <f>h_H2O</f>
        <v>-13421.939597941302</v>
      </c>
      <c r="CQ252" s="17">
        <f>b_ch_H2O</f>
        <v>9.5113440000000082</v>
      </c>
      <c r="CR252" s="17">
        <f>CO252/$CO$255</f>
        <v>5.543237250554324E-2</v>
      </c>
      <c r="CS252" s="17">
        <f>LN(CR252)</f>
        <v>-2.8925915146344776</v>
      </c>
      <c r="CT252" s="17">
        <f>RT0*CS252</f>
        <v>-6.5689859486570956</v>
      </c>
      <c r="CU252" s="17">
        <f>CT252+CQ252</f>
        <v>2.9423580513429126</v>
      </c>
      <c r="CV252" s="17">
        <f>CR252*CU252</f>
        <v>0.16310188754672467</v>
      </c>
      <c r="CW252" s="17">
        <f>CV252*$CO$255</f>
        <v>1622.4002679993964</v>
      </c>
    </row>
    <row r="253" spans="9:163" ht="14" customHeight="1">
      <c r="CJ253" s="350"/>
      <c r="CK253" s="247" t="s">
        <v>64</v>
      </c>
      <c r="CL253" s="3">
        <f>CO2_out_coke_oven+CO2_from_coke_oven_comb</f>
        <v>55.827444266278803</v>
      </c>
      <c r="CM253" s="3">
        <f>CL253/CL255</f>
        <v>0.18729262296481583</v>
      </c>
      <c r="CN253" s="3">
        <f>MW_CO2</f>
        <v>4.4009800000000002E-2</v>
      </c>
      <c r="CO253" s="3">
        <f>BT248</f>
        <v>1102.7891505310997</v>
      </c>
      <c r="CP253" s="3">
        <f>h_CO2</f>
        <v>-8941.1903712354979</v>
      </c>
      <c r="CQ253" s="3">
        <f>b_ch_CO2</f>
        <v>19.900000000000034</v>
      </c>
      <c r="CR253" s="3">
        <f>CO253/$CO$255</f>
        <v>0.11086474501108648</v>
      </c>
      <c r="CS253" s="3">
        <f>LN(CR253)</f>
        <v>-2.1994443340745322</v>
      </c>
      <c r="CT253" s="3">
        <f>RT0*CS253</f>
        <v>-4.9948701198533394</v>
      </c>
      <c r="CU253" s="3">
        <f>CT253+CQ253</f>
        <v>14.905129880146696</v>
      </c>
      <c r="CV253" s="3">
        <f>CR253*CU253</f>
        <v>1.6524534235195893</v>
      </c>
      <c r="CW253" s="3">
        <f>CV253*$CO$255</f>
        <v>16437.215519082685</v>
      </c>
    </row>
    <row r="254" spans="9:163" ht="26" customHeight="1">
      <c r="CJ254" s="350"/>
      <c r="CK254" s="7" t="s">
        <v>67</v>
      </c>
      <c r="CL254" s="3">
        <f>CO254*CN254</f>
        <v>232.31507283090204</v>
      </c>
      <c r="CM254" s="3">
        <f>CL254/CL255</f>
        <v>0.77938189570758398</v>
      </c>
      <c r="CN254" s="3">
        <f>MW_N2</f>
        <v>2.801348E-2</v>
      </c>
      <c r="CO254" s="3">
        <f>BT237</f>
        <v>8292.9744119938696</v>
      </c>
      <c r="CP254" s="3">
        <f>h_N2</f>
        <v>0</v>
      </c>
      <c r="CQ254" s="3">
        <f>b_ch_N2</f>
        <v>0.7</v>
      </c>
      <c r="CR254" s="3">
        <f>CO254/$CO$255</f>
        <v>0.83370288248337032</v>
      </c>
      <c r="CS254" s="3">
        <f>LN(CR254)</f>
        <v>-0.1818781961127838</v>
      </c>
      <c r="CT254" s="3">
        <f>RT0*CS254</f>
        <v>-0.41303976333587211</v>
      </c>
      <c r="CU254" s="3">
        <f>CT254+CQ254</f>
        <v>0.28696023666412784</v>
      </c>
      <c r="CV254" s="3">
        <f>CR254*CU254</f>
        <v>0.2392395764649935</v>
      </c>
      <c r="CW254" s="3">
        <f>CV254*$CO$255</f>
        <v>2379.7538999153171</v>
      </c>
    </row>
    <row r="255" spans="9:163">
      <c r="CK255" s="17" t="s">
        <v>19</v>
      </c>
      <c r="CL255" s="17">
        <f>SUM(CL252:CL254)</f>
        <v>298.07604476107082</v>
      </c>
      <c r="CM255" s="17">
        <f>SUM(CM252:CM254)</f>
        <v>0.99999999999999989</v>
      </c>
      <c r="CN255" s="17">
        <f>SUM(CN252:CN254)</f>
        <v>9.0038560000000004E-2</v>
      </c>
      <c r="CO255" s="17">
        <f>SUM(CO252:CO254)</f>
        <v>9947.1581377905186</v>
      </c>
      <c r="CP255" s="17" cm="1">
        <f t="array" ref="CP255">SUM(CL252:CL254*CP252:CP254) / CL255</f>
        <v>-2121.9115945078211</v>
      </c>
      <c r="CQ255" s="17">
        <f>SUM(CQ251:CQ254)</f>
        <v>30.111344000000042</v>
      </c>
      <c r="CR255" s="17"/>
      <c r="CS255" s="17"/>
      <c r="CT255" s="17"/>
      <c r="CU255" s="17"/>
      <c r="CV255" s="17">
        <f>SUM(CV252:CV254)</f>
        <v>2.0547948875313073</v>
      </c>
      <c r="CW255" s="17">
        <f>SUM(CW252:CW254)</f>
        <v>20439.369686997401</v>
      </c>
    </row>
    <row r="256" spans="9:163" ht="18">
      <c r="CL256" s="1" t="s">
        <v>89</v>
      </c>
      <c r="CM256" s="1"/>
      <c r="CN256" s="3" t="s">
        <v>91</v>
      </c>
      <c r="CO256" s="3" t="s">
        <v>87</v>
      </c>
      <c r="CP256" s="1" t="s">
        <v>659</v>
      </c>
      <c r="CQ256" s="4"/>
      <c r="CR256" s="4"/>
      <c r="CV256" s="3" t="s">
        <v>96</v>
      </c>
      <c r="CW256" s="1" t="s">
        <v>93</v>
      </c>
    </row>
    <row r="257" spans="52:101">
      <c r="AZ257" s="16"/>
    </row>
    <row r="261" spans="52:101" ht="25" customHeight="1" thickBot="1"/>
    <row r="262" spans="52:101">
      <c r="CV262" s="63" t="s">
        <v>1</v>
      </c>
      <c r="CW262" s="58" t="s">
        <v>0</v>
      </c>
    </row>
    <row r="263" spans="52:101" ht="18">
      <c r="CV263" s="65" t="s">
        <v>89</v>
      </c>
      <c r="CW263" s="64" t="s">
        <v>93</v>
      </c>
    </row>
    <row r="264" spans="52:101" ht="16" thickBot="1">
      <c r="CR264" s="3" t="s">
        <v>527</v>
      </c>
      <c r="CV264" s="50">
        <f>CL279</f>
        <v>24.029070241435914</v>
      </c>
      <c r="CW264" s="48">
        <f>CW279</f>
        <v>957526.17518720112</v>
      </c>
    </row>
    <row r="266" spans="52:101" ht="18">
      <c r="CK266" s="4"/>
      <c r="CL266" s="1" t="s">
        <v>554</v>
      </c>
      <c r="CM266" s="1" t="s">
        <v>555</v>
      </c>
      <c r="CN266" s="1" t="s">
        <v>557</v>
      </c>
      <c r="CO266" s="1" t="s">
        <v>85</v>
      </c>
      <c r="CP266" s="1" t="s">
        <v>658</v>
      </c>
      <c r="CQ266" s="1" t="s">
        <v>6</v>
      </c>
      <c r="CR266" s="1" t="s">
        <v>7</v>
      </c>
      <c r="CS266" s="1" t="s">
        <v>8</v>
      </c>
      <c r="CT266" s="1" t="s">
        <v>9</v>
      </c>
      <c r="CU266" s="1" t="s">
        <v>49</v>
      </c>
      <c r="CV266" s="1" t="s">
        <v>556</v>
      </c>
      <c r="CW266" s="1" t="s">
        <v>50</v>
      </c>
    </row>
    <row r="267" spans="52:101" ht="18">
      <c r="CK267" s="4" t="s">
        <v>41</v>
      </c>
      <c r="CL267" s="1" t="s">
        <v>88</v>
      </c>
      <c r="CM267" s="4" t="s">
        <v>283</v>
      </c>
      <c r="CN267" s="436" t="s">
        <v>90</v>
      </c>
      <c r="CO267" s="436" t="s">
        <v>86</v>
      </c>
      <c r="CP267" s="1" t="s">
        <v>645</v>
      </c>
      <c r="CQ267" s="436" t="s">
        <v>95</v>
      </c>
      <c r="CR267" s="436" t="s">
        <v>25</v>
      </c>
      <c r="CS267" s="436" t="s">
        <v>98</v>
      </c>
      <c r="CT267" s="436" t="s">
        <v>95</v>
      </c>
      <c r="CU267" s="436" t="s">
        <v>95</v>
      </c>
      <c r="CV267" s="436" t="s">
        <v>94</v>
      </c>
      <c r="CW267" s="436" t="s">
        <v>92</v>
      </c>
    </row>
    <row r="268" spans="52:101" ht="18" customHeight="1">
      <c r="CJ268" s="358" t="s">
        <v>707</v>
      </c>
      <c r="CK268" s="17" t="s">
        <v>677</v>
      </c>
      <c r="CL268" s="17">
        <f>Calculators!E107</f>
        <v>4.8058140482871821</v>
      </c>
      <c r="CM268" s="17">
        <f>CL268/$CL$279</f>
        <v>0.19999999999999998</v>
      </c>
      <c r="CN268" s="17">
        <f>MW_C10H8</f>
        <v>0.12817351999999999</v>
      </c>
      <c r="CO268" s="17">
        <f>CL268/CN268</f>
        <v>37.494593643735328</v>
      </c>
      <c r="CP268" s="17"/>
      <c r="CQ268" s="17">
        <f>b_ch_C10H8</f>
        <v>6215.5</v>
      </c>
      <c r="CR268" s="17">
        <f>CO268/$CO$279</f>
        <v>2.3925714955628435E-2</v>
      </c>
      <c r="CS268" s="17">
        <f>LN(CR268)</f>
        <v>-3.7328014588867529</v>
      </c>
      <c r="CT268" s="17">
        <f>RT0*CS268</f>
        <v>-8.4770767695667359</v>
      </c>
      <c r="CU268" s="17">
        <f>CT268+CQ268</f>
        <v>6207.0229232304337</v>
      </c>
      <c r="CV268" s="17">
        <f>CR268*CU268</f>
        <v>148.50746118426292</v>
      </c>
      <c r="CW268" s="17">
        <f>CV268*$CO$279</f>
        <v>232729.80224387531</v>
      </c>
    </row>
    <row r="269" spans="52:101" ht="17">
      <c r="CJ269" s="358"/>
      <c r="CK269" s="435" t="s">
        <v>678</v>
      </c>
      <c r="CL269" s="435">
        <f>Calculators!E108</f>
        <v>1.2014535120717955</v>
      </c>
      <c r="CM269" s="435">
        <f>CL269/$CL$279</f>
        <v>4.9999999999999996E-2</v>
      </c>
      <c r="CN269" s="435">
        <f>MW_C14H10</f>
        <v>0.17823339999999999</v>
      </c>
      <c r="CO269" s="435">
        <f t="shared" ref="CO269:CO278" si="142">CL269/CN269</f>
        <v>6.7408999215174914</v>
      </c>
      <c r="CP269" s="435"/>
      <c r="CQ269" s="435">
        <f>b_ch_C14H10</f>
        <v>8488.2799999999988</v>
      </c>
      <c r="CR269" s="435">
        <f>CO269/$CO$279</f>
        <v>4.3014428053040846E-3</v>
      </c>
      <c r="CS269" s="435">
        <f t="shared" ref="CS269:CS278" si="143">LN(CR269)</f>
        <v>-5.4488047764450451</v>
      </c>
      <c r="CT269" s="435">
        <f>RT0*CS269</f>
        <v>-12.374067279239105</v>
      </c>
      <c r="CU269" s="435">
        <f t="shared" ref="CU269:CU279" si="144">CT269+CQ269</f>
        <v>8475.9059327207597</v>
      </c>
      <c r="CV269" s="435">
        <f t="shared" ref="CV269:CV278" si="145">CR269*CU269</f>
        <v>36.458624592735916</v>
      </c>
      <c r="CW269" s="435">
        <f>CV269*$CO$279</f>
        <v>57135.233636667006</v>
      </c>
    </row>
    <row r="270" spans="52:101" ht="17">
      <c r="CJ270" s="358"/>
      <c r="CK270" s="435" t="s">
        <v>679</v>
      </c>
      <c r="CL270" s="435">
        <f>Calculators!E109</f>
        <v>0.79295931796738506</v>
      </c>
      <c r="CM270" s="435">
        <f>CL270/$CL$279</f>
        <v>3.2999999999999995E-2</v>
      </c>
      <c r="CN270" s="435">
        <f>MW_C16H10</f>
        <v>0.20225539999999997</v>
      </c>
      <c r="CO270" s="435">
        <f t="shared" si="142"/>
        <v>3.9205841622393525</v>
      </c>
      <c r="CP270" s="435"/>
      <c r="CQ270" s="435">
        <f>b_ch_C16H10</f>
        <v>9416.98</v>
      </c>
      <c r="CR270" s="435">
        <f>CO270/$CO$279</f>
        <v>2.501768122001312E-3</v>
      </c>
      <c r="CS270" s="435">
        <f t="shared" si="143"/>
        <v>-5.9907575482900306</v>
      </c>
      <c r="CT270" s="435">
        <f>RT0*CS270</f>
        <v>-13.604825277758417</v>
      </c>
      <c r="CU270" s="435">
        <f t="shared" si="144"/>
        <v>9403.3751747222414</v>
      </c>
      <c r="CV270" s="435">
        <f t="shared" si="145"/>
        <v>23.52506425133862</v>
      </c>
      <c r="CW270" s="435">
        <f>CV270*$CO$279</f>
        <v>36866.723781610723</v>
      </c>
    </row>
    <row r="271" spans="52:101" ht="17">
      <c r="CJ271" s="358"/>
      <c r="CK271" s="435" t="s">
        <v>691</v>
      </c>
      <c r="CL271" s="435">
        <f>Calculators!E110</f>
        <v>0.50461047507015411</v>
      </c>
      <c r="CM271" s="435">
        <f>CL271/$CL$279</f>
        <v>2.0999999999999998E-2</v>
      </c>
      <c r="CN271" s="435">
        <f>MW_C24H26</f>
        <v>0.31447043999999996</v>
      </c>
      <c r="CO271" s="435">
        <f t="shared" si="142"/>
        <v>1.6046356378365934</v>
      </c>
      <c r="CP271" s="435"/>
      <c r="CQ271" s="435">
        <f>b_ch_C24H26</f>
        <v>16530.760000000002</v>
      </c>
      <c r="CR271" s="435">
        <f>CO271/$CO$279</f>
        <v>1.0239357503994705E-3</v>
      </c>
      <c r="CS271" s="435">
        <f t="shared" si="143"/>
        <v>-6.8841014980838091</v>
      </c>
      <c r="CT271" s="435">
        <f>RT0*CS271</f>
        <v>-15.633581783412039</v>
      </c>
      <c r="CU271" s="435">
        <f t="shared" si="144"/>
        <v>16515.126418216591</v>
      </c>
      <c r="CV271" s="435">
        <f t="shared" si="145"/>
        <v>16.910428361978724</v>
      </c>
      <c r="CW271" s="435">
        <f>CV271*$CO$279</f>
        <v>26500.760414046948</v>
      </c>
    </row>
    <row r="272" spans="52:101" ht="17">
      <c r="CJ272" s="358"/>
      <c r="CK272" s="435" t="s">
        <v>698</v>
      </c>
      <c r="CL272" s="435">
        <f>Calculators!E111</f>
        <v>0.48058140482871819</v>
      </c>
      <c r="CM272" s="435">
        <f>CL272/$CL$279</f>
        <v>1.9999999999999997E-2</v>
      </c>
      <c r="CN272" s="435">
        <f>MW_C12H10</f>
        <v>0.1542114</v>
      </c>
      <c r="CO272" s="435">
        <f t="shared" si="142"/>
        <v>3.1163805323647811</v>
      </c>
      <c r="CP272" s="436"/>
      <c r="CQ272" s="434">
        <f>b_ch_C12H10</f>
        <v>7615.1200000000008</v>
      </c>
      <c r="CR272" s="435">
        <f>CO272/$CO$279</f>
        <v>1.9885968899702225E-3</v>
      </c>
      <c r="CS272" s="435">
        <f t="shared" si="143"/>
        <v>-6.2203259693488091</v>
      </c>
      <c r="CT272" s="435">
        <f>RT0*CS272</f>
        <v>-14.126168068318691</v>
      </c>
      <c r="CU272" s="435">
        <f t="shared" si="144"/>
        <v>7600.9938319316825</v>
      </c>
      <c r="CV272" s="435">
        <f t="shared" si="145"/>
        <v>15.115312694862189</v>
      </c>
      <c r="CW272" s="435">
        <f>CV272*$CO$279</f>
        <v>23687.589204456675</v>
      </c>
    </row>
    <row r="273" spans="88:101" ht="17">
      <c r="CJ273" s="358"/>
      <c r="CK273" s="435" t="s">
        <v>700</v>
      </c>
      <c r="CL273" s="435">
        <f>Calculators!E112</f>
        <v>0.48058140482871819</v>
      </c>
      <c r="CM273" s="435">
        <f>CL273/$CL$279</f>
        <v>1.9999999999999997E-2</v>
      </c>
      <c r="CN273" s="435">
        <f>MW_C13H10</f>
        <v>0.16622239999999999</v>
      </c>
      <c r="CO273" s="435">
        <f t="shared" si="142"/>
        <v>2.8911951988944824</v>
      </c>
      <c r="CP273" s="435"/>
      <c r="CQ273" s="435">
        <f>b_ch_C13H10</f>
        <v>8051.7000000000007</v>
      </c>
      <c r="CR273" s="435">
        <f>CO273/$CO$279</f>
        <v>1.844903637764549E-3</v>
      </c>
      <c r="CS273" s="435">
        <f t="shared" si="143"/>
        <v>-6.2953282317075239</v>
      </c>
      <c r="CT273" s="435">
        <f>RT0*CS273</f>
        <v>-14.296495888565426</v>
      </c>
      <c r="CU273" s="435">
        <f t="shared" si="144"/>
        <v>8037.4035041114357</v>
      </c>
      <c r="CV273" s="435">
        <f t="shared" si="145"/>
        <v>14.828234962916721</v>
      </c>
      <c r="CW273" s="435">
        <f>CV273*$CO$279</f>
        <v>23237.702422664672</v>
      </c>
    </row>
    <row r="274" spans="88:101" ht="17">
      <c r="CJ274" s="358"/>
      <c r="CK274" s="434" t="s">
        <v>701</v>
      </c>
      <c r="CL274" s="435">
        <f>Calculators!E113</f>
        <v>0.48058140482871819</v>
      </c>
      <c r="CM274" s="435">
        <f>CL274/$CL$279</f>
        <v>1.9999999999999997E-2</v>
      </c>
      <c r="CN274" s="435">
        <f>MW_C18H12</f>
        <v>0.22829327999999999</v>
      </c>
      <c r="CO274" s="435">
        <f t="shared" si="142"/>
        <v>2.105105348824627</v>
      </c>
      <c r="CP274" s="435"/>
      <c r="CQ274" s="435">
        <f>MW_C18H12</f>
        <v>0.22829327999999999</v>
      </c>
      <c r="CR274" s="435">
        <f>CO274/$CO$279</f>
        <v>1.3432910089948946E-3</v>
      </c>
      <c r="CS274" s="435">
        <f t="shared" si="143"/>
        <v>-6.6126326991397013</v>
      </c>
      <c r="CT274" s="435">
        <f>RT0*CS274</f>
        <v>-15.017084529395857</v>
      </c>
      <c r="CU274" s="435">
        <f t="shared" si="144"/>
        <v>-14.788791249395857</v>
      </c>
      <c r="CV274" s="435">
        <f t="shared" si="145"/>
        <v>-1.9865650319215829E-2</v>
      </c>
      <c r="CW274" s="435">
        <f>CV274*$CO$279</f>
        <v>-31.131963561754056</v>
      </c>
    </row>
    <row r="275" spans="88:101">
      <c r="CJ275" s="358"/>
      <c r="CK275" s="435" t="s">
        <v>18</v>
      </c>
      <c r="CL275" s="435">
        <f>Calculators!E114</f>
        <v>14.227996955078066</v>
      </c>
      <c r="CM275" s="435">
        <f>CL275/$CL$279</f>
        <v>0.59211599999999986</v>
      </c>
      <c r="CN275" s="435">
        <f>MW_C</f>
        <v>1.2010999999999999E-2</v>
      </c>
      <c r="CO275" s="435">
        <f t="shared" si="142"/>
        <v>1184.5805474213694</v>
      </c>
      <c r="CP275" s="435"/>
      <c r="CQ275" s="435">
        <f>b_ch_C</f>
        <v>410.3</v>
      </c>
      <c r="CR275" s="435">
        <f>CO275/$CO$279</f>
        <v>0.75589395070884846</v>
      </c>
      <c r="CS275" s="435">
        <f t="shared" si="143"/>
        <v>-0.27985418948246771</v>
      </c>
      <c r="CT275" s="435">
        <f>RT0*CS275</f>
        <v>-0.6355402168202291</v>
      </c>
      <c r="CU275" s="435">
        <f t="shared" si="144"/>
        <v>409.66445978317978</v>
      </c>
      <c r="CV275" s="435">
        <f t="shared" si="145"/>
        <v>309.66288697051391</v>
      </c>
      <c r="CW275" s="435">
        <f>CV275*$CO$279</f>
        <v>485280.55002903863</v>
      </c>
    </row>
    <row r="276" spans="88:101" ht="17">
      <c r="CJ276" s="358"/>
      <c r="CK276" s="435" t="s">
        <v>66</v>
      </c>
      <c r="CL276" s="435">
        <f>Calculators!E115</f>
        <v>0.62658203561568271</v>
      </c>
      <c r="CM276" s="435">
        <f>CL276/$CL$279</f>
        <v>2.6075999999999992E-2</v>
      </c>
      <c r="CN276" s="435">
        <f>MW_H*2</f>
        <v>2.0158800000000003E-3</v>
      </c>
      <c r="CO276" s="435">
        <f t="shared" si="142"/>
        <v>310.82308253253302</v>
      </c>
      <c r="CP276" s="435"/>
      <c r="CQ276" s="435">
        <f>b_ch_H2</f>
        <v>236.1</v>
      </c>
      <c r="CR276" s="435">
        <f>CO276/$CO$279</f>
        <v>0.19833964717592531</v>
      </c>
      <c r="CS276" s="435">
        <f t="shared" si="143"/>
        <v>-1.6177743281108601</v>
      </c>
      <c r="CT276" s="435">
        <f>RT0*CS276</f>
        <v>-3.6739155099130243</v>
      </c>
      <c r="CU276" s="435">
        <f t="shared" si="144"/>
        <v>232.42608449008696</v>
      </c>
      <c r="CV276" s="435">
        <f t="shared" si="145"/>
        <v>46.099307592245651</v>
      </c>
      <c r="CW276" s="435">
        <f>CV276*$CO$279</f>
        <v>72243.392042175794</v>
      </c>
    </row>
    <row r="277" spans="88:101" ht="17" customHeight="1">
      <c r="CJ277" s="358"/>
      <c r="CK277" s="437" t="s">
        <v>67</v>
      </c>
      <c r="CL277" s="435">
        <f>Calculators!E116</f>
        <v>0.10697742071487265</v>
      </c>
      <c r="CM277" s="435">
        <f>CL277/$CL$279</f>
        <v>4.4519999999999985E-3</v>
      </c>
      <c r="CN277" s="435">
        <f>MW_N2</f>
        <v>2.801348E-2</v>
      </c>
      <c r="CO277" s="435">
        <f t="shared" si="142"/>
        <v>3.8187836968085596</v>
      </c>
      <c r="CP277" s="435"/>
      <c r="CQ277" s="435">
        <f>b_ch_N2</f>
        <v>0.7</v>
      </c>
      <c r="CR277" s="435">
        <f>CO277/$CO$279</f>
        <v>2.4368081189301916E-3</v>
      </c>
      <c r="CS277" s="435">
        <f t="shared" si="143"/>
        <v>-6.0170662440289471</v>
      </c>
      <c r="CT277" s="435">
        <f>RT0*CS277</f>
        <v>-13.664571512842798</v>
      </c>
      <c r="CU277" s="435">
        <f t="shared" si="144"/>
        <v>-12.964571512842799</v>
      </c>
      <c r="CV277" s="435">
        <f t="shared" si="145"/>
        <v>-3.1592173120946407E-2</v>
      </c>
      <c r="CW277" s="435">
        <f>CV277*$CO$279</f>
        <v>-49.508894329352763</v>
      </c>
    </row>
    <row r="278" spans="88:101" ht="18">
      <c r="CJ278" s="358"/>
      <c r="CK278" s="438" t="s">
        <v>24</v>
      </c>
      <c r="CL278" s="435">
        <f>Calculators!E117</f>
        <v>0.32093226214461795</v>
      </c>
      <c r="CM278" s="435">
        <f>CL278/$CL$279</f>
        <v>1.3355999999999995E-2</v>
      </c>
      <c r="CN278" s="435">
        <f>MW_O2</f>
        <v>3.1998800000000001E-2</v>
      </c>
      <c r="CO278" s="435">
        <f t="shared" si="142"/>
        <v>10.029509298618009</v>
      </c>
      <c r="CP278" s="435"/>
      <c r="CQ278" s="435">
        <f>b_ch_O2</f>
        <v>4</v>
      </c>
      <c r="CR278" s="435">
        <f>CO278/$CO$279</f>
        <v>6.3999408262330349E-3</v>
      </c>
      <c r="CS278" s="435">
        <f t="shared" si="143"/>
        <v>-5.0514665345603431</v>
      </c>
      <c r="CT278" s="435">
        <f>RT0*CS278</f>
        <v>-11.471724409670621</v>
      </c>
      <c r="CU278" s="435">
        <f t="shared" si="144"/>
        <v>-7.471724409670621</v>
      </c>
      <c r="CV278" s="435">
        <f t="shared" si="145"/>
        <v>-4.7818594091812931E-2</v>
      </c>
      <c r="CW278" s="435">
        <f>CV278*$CO$279</f>
        <v>-74.937729443502661</v>
      </c>
    </row>
    <row r="279" spans="88:101">
      <c r="CK279" s="17" t="s">
        <v>19</v>
      </c>
      <c r="CL279" s="17">
        <f>SUM(CL268:CL278)</f>
        <v>24.029070241435914</v>
      </c>
      <c r="CM279" s="17">
        <f>SUM(CM268:CM278)</f>
        <v>1</v>
      </c>
      <c r="CN279" s="17">
        <f>SUM(CN268:CN278)</f>
        <v>1.445899</v>
      </c>
      <c r="CO279" s="17">
        <f>SUM(CO268:CO278)</f>
        <v>1567.1253173947416</v>
      </c>
      <c r="CP279" s="17"/>
      <c r="CQ279" s="17"/>
      <c r="CR279" s="17"/>
      <c r="CS279" s="17"/>
      <c r="CT279" s="17"/>
      <c r="CU279" s="17"/>
      <c r="CV279" s="17">
        <f>SUM(CV268:CV278)</f>
        <v>611.00804419332258</v>
      </c>
      <c r="CW279" s="17">
        <f>SUM(CW268:CW278)</f>
        <v>957526.17518720112</v>
      </c>
    </row>
    <row r="280" spans="88:101" ht="18">
      <c r="CL280" s="1" t="s">
        <v>89</v>
      </c>
      <c r="CM280" s="1"/>
      <c r="CN280" s="3" t="s">
        <v>91</v>
      </c>
      <c r="CO280" s="3" t="s">
        <v>87</v>
      </c>
      <c r="CP280" s="1" t="s">
        <v>659</v>
      </c>
      <c r="CQ280" s="4"/>
      <c r="CR280" s="4"/>
      <c r="CV280" s="3" t="s">
        <v>96</v>
      </c>
      <c r="CW280" s="1" t="s">
        <v>93</v>
      </c>
    </row>
  </sheetData>
  <mergeCells count="103">
    <mergeCell ref="CJ219:CJ224"/>
    <mergeCell ref="CJ235:CJ239"/>
    <mergeCell ref="CJ252:CJ254"/>
    <mergeCell ref="CJ268:CJ278"/>
    <mergeCell ref="BK234:BN235"/>
    <mergeCell ref="BO236:BO237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FN126:FT128"/>
    <mergeCell ref="BK154:BN155"/>
    <mergeCell ref="BK142:BN143"/>
    <mergeCell ref="BI246:BO24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</mergeCells>
  <conditionalFormatting sqref="Y46 EM241:ES241 EM242:EN242 ES242:ES244 EA243:EN244">
    <cfRule type="cellIs" dxfId="35" priority="25" operator="notEqual">
      <formula>0</formula>
    </cfRule>
  </conditionalFormatting>
  <conditionalFormatting sqref="Y130">
    <cfRule type="cellIs" dxfId="34" priority="26" operator="notEqual">
      <formula>0</formula>
    </cfRule>
  </conditionalFormatting>
  <conditionalFormatting sqref="Z210">
    <cfRule type="cellIs" dxfId="33" priority="24" operator="notEqual">
      <formula>0</formula>
    </cfRule>
  </conditionalFormatting>
  <conditionalFormatting sqref="AA55:AA64">
    <cfRule type="cellIs" dxfId="32" priority="7" operator="notEqual">
      <formula>0</formula>
    </cfRule>
  </conditionalFormatting>
  <conditionalFormatting sqref="AA138:AA143">
    <cfRule type="cellIs" dxfId="31" priority="8" operator="notEqual">
      <formula>0</formula>
    </cfRule>
  </conditionalFormatting>
  <conditionalFormatting sqref="AA233:AA242">
    <cfRule type="cellIs" dxfId="30" priority="12" operator="notEqual">
      <formula>0</formula>
    </cfRule>
  </conditionalFormatting>
  <conditionalFormatting sqref="AR46">
    <cfRule type="cellIs" dxfId="29" priority="35" operator="notEqual">
      <formula>0</formula>
    </cfRule>
  </conditionalFormatting>
  <conditionalFormatting sqref="AS130">
    <cfRule type="cellIs" dxfId="28" priority="33" operator="notEqual">
      <formula>0</formula>
    </cfRule>
  </conditionalFormatting>
  <conditionalFormatting sqref="AS210">
    <cfRule type="cellIs" dxfId="27" priority="30" operator="notEqual">
      <formula>0</formula>
    </cfRule>
  </conditionalFormatting>
  <conditionalFormatting sqref="AT55:AT64">
    <cfRule type="cellIs" dxfId="26" priority="6" operator="notEqual">
      <formula>0</formula>
    </cfRule>
  </conditionalFormatting>
  <conditionalFormatting sqref="AT137:AT140">
    <cfRule type="cellIs" dxfId="25" priority="9" operator="notEqual">
      <formula>0</formula>
    </cfRule>
  </conditionalFormatting>
  <conditionalFormatting sqref="AT218:AT227">
    <cfRule type="cellIs" dxfId="24" priority="13" operator="notEqual">
      <formula>0</formula>
    </cfRule>
  </conditionalFormatting>
  <conditionalFormatting sqref="AW210">
    <cfRule type="expression" dxfId="23" priority="22">
      <formula>ifdigit(subscript)</formula>
    </cfRule>
  </conditionalFormatting>
  <conditionalFormatting sqref="BK46">
    <cfRule type="cellIs" dxfId="22" priority="34" operator="notEqual">
      <formula>0</formula>
    </cfRule>
  </conditionalFormatting>
  <conditionalFormatting sqref="BL55:BL61">
    <cfRule type="cellIs" dxfId="21" priority="5" operator="notEqual">
      <formula>0</formula>
    </cfRule>
  </conditionalFormatting>
  <conditionalFormatting sqref="BL130">
    <cfRule type="cellIs" dxfId="20" priority="32" operator="notEqual">
      <formula>0</formula>
    </cfRule>
  </conditionalFormatting>
  <conditionalFormatting sqref="BL210">
    <cfRule type="cellIs" dxfId="19" priority="18" operator="notEqual">
      <formula>0</formula>
    </cfRule>
  </conditionalFormatting>
  <conditionalFormatting sqref="BM137:BM140">
    <cfRule type="cellIs" dxfId="18" priority="10" operator="notEqual">
      <formula>0</formula>
    </cfRule>
  </conditionalFormatting>
  <conditionalFormatting sqref="BM218:BM227">
    <cfRule type="cellIs" dxfId="17" priority="14" operator="notEqual">
      <formula>0</formula>
    </cfRule>
  </conditionalFormatting>
  <conditionalFormatting sqref="BP210">
    <cfRule type="expression" dxfId="16" priority="17">
      <formula>ifdigit(subscript)</formula>
    </cfRule>
  </conditionalFormatting>
  <conditionalFormatting sqref="CE130">
    <cfRule type="cellIs" dxfId="15" priority="29" operator="notEqual">
      <formula>0</formula>
    </cfRule>
  </conditionalFormatting>
  <conditionalFormatting sqref="CF210">
    <cfRule type="cellIs" dxfId="14" priority="31" operator="notEqual">
      <formula>0</formula>
    </cfRule>
  </conditionalFormatting>
  <conditionalFormatting sqref="CG139:CG144">
    <cfRule type="cellIs" dxfId="13" priority="11" operator="notEqual">
      <formula>0</formula>
    </cfRule>
  </conditionalFormatting>
  <conditionalFormatting sqref="CG58:CH58">
    <cfRule type="cellIs" dxfId="12" priority="43" operator="notEqual">
      <formula>0</formula>
    </cfRule>
  </conditionalFormatting>
  <conditionalFormatting sqref="CG218:CI227">
    <cfRule type="cellIs" dxfId="11" priority="15" operator="notEqual">
      <formula>0</formula>
    </cfRule>
  </conditionalFormatting>
  <conditionalFormatting sqref="DA237">
    <cfRule type="cellIs" dxfId="10" priority="16" operator="notEqual">
      <formula>0</formula>
    </cfRule>
  </conditionalFormatting>
  <conditionalFormatting sqref="DB246:DB249">
    <cfRule type="cellIs" dxfId="9" priority="19" operator="notEqual">
      <formula>0</formula>
    </cfRule>
  </conditionalFormatting>
  <conditionalFormatting sqref="DU237">
    <cfRule type="cellIs" dxfId="8" priority="2" operator="notEqual">
      <formula>0</formula>
    </cfRule>
  </conditionalFormatting>
  <conditionalFormatting sqref="DV131">
    <cfRule type="cellIs" dxfId="7" priority="28" operator="notEqual">
      <formula>0</formula>
    </cfRule>
  </conditionalFormatting>
  <conditionalFormatting sqref="EQ131">
    <cfRule type="cellIs" dxfId="6" priority="27" operator="notEqual">
      <formula>0</formula>
    </cfRule>
  </conditionalFormatting>
  <conditionalFormatting sqref="ER245:ER248">
    <cfRule type="cellIs" dxfId="5" priority="4" operator="notEqual">
      <formula>0</formula>
    </cfRule>
  </conditionalFormatting>
  <conditionalFormatting sqref="ES140:ES146">
    <cfRule type="cellIs" dxfId="4" priority="3" operator="notEqual">
      <formula>0</formula>
    </cfRule>
  </conditionalFormatting>
  <conditionalFormatting sqref="CK210">
    <cfRule type="expression" dxfId="3" priority="1">
      <formula>ifdigit(subscript)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/>
    <row r="5" spans="4:9" ht="19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>
      <c r="D6" s="212"/>
      <c r="E6" s="271" t="s">
        <v>98</v>
      </c>
      <c r="F6" s="272" t="s">
        <v>48</v>
      </c>
      <c r="G6" s="273" t="s">
        <v>48</v>
      </c>
      <c r="H6" s="272" t="s">
        <v>429</v>
      </c>
      <c r="I6" s="273" t="s">
        <v>429</v>
      </c>
    </row>
    <row r="7" spans="4:9" ht="19">
      <c r="D7" s="386" t="s">
        <v>428</v>
      </c>
      <c r="E7" s="215" t="s">
        <v>568</v>
      </c>
      <c r="F7" s="218">
        <f>Ore_to_PI!F72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>
      <c r="D8" s="387"/>
      <c r="E8" s="215" t="s">
        <v>430</v>
      </c>
      <c r="F8" s="218">
        <f>Ore_to_PI!$AS$28+Ore_to_PI!$BL$35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>
      <c r="D9" s="388" t="s">
        <v>20</v>
      </c>
      <c r="E9" s="215" t="s">
        <v>568</v>
      </c>
      <c r="F9" s="218">
        <f>Ore_to_PI!K144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>
      <c r="D10" s="389"/>
      <c r="E10" s="215" t="s">
        <v>569</v>
      </c>
      <c r="F10" s="218">
        <f>Ore_to_PI!K155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>
      <c r="D11" s="389"/>
      <c r="E11" s="215" t="s">
        <v>265</v>
      </c>
      <c r="F11" s="218">
        <f>Ore_to_PI!AS113+Ore_to_PI!BK116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>
      <c r="D12" s="390"/>
      <c r="E12" s="215" t="s">
        <v>431</v>
      </c>
      <c r="F12" s="218">
        <f>Ore_to_PI!BQ156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>
      <c r="D13" s="391" t="s">
        <v>353</v>
      </c>
      <c r="E13" s="215" t="s">
        <v>568</v>
      </c>
      <c r="F13" s="218" t="e">
        <f>Ore_to_PI!K226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>
      <c r="D14" s="392"/>
      <c r="E14" s="215" t="s">
        <v>431</v>
      </c>
      <c r="F14" s="218">
        <f>Ore_to_PI!BQ248</f>
        <v>884589.08362871525</v>
      </c>
      <c r="G14" s="274">
        <f>F14*1.04</f>
        <v>919972.64697386394</v>
      </c>
      <c r="H14" s="275">
        <f t="shared" si="0"/>
        <v>8.8458908362871525E-4</v>
      </c>
      <c r="I14" s="276">
        <f t="shared" si="1"/>
        <v>9.1997264697386393E-4</v>
      </c>
    </row>
    <row r="15" spans="4:9" ht="20" thickBot="1">
      <c r="D15" s="393"/>
      <c r="E15" s="215" t="s">
        <v>430</v>
      </c>
      <c r="F15" s="218" t="e">
        <f>Ore_to_PI!AA195+Ore_to_PI!AS190+Ore_to_PI!BK195+Ore_to_PI!DB229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>
      <c r="D16" s="394" t="s">
        <v>352</v>
      </c>
      <c r="E16" s="215" t="s">
        <v>430</v>
      </c>
      <c r="F16" s="218">
        <f>Ore_to_PI!ES117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>
      <c r="D17" s="394"/>
      <c r="E17" s="215" t="s">
        <v>431</v>
      </c>
      <c r="F17" s="218">
        <f>Ore_to_PI!EB118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>
      <c r="D18" s="395"/>
      <c r="E18" s="214" t="s">
        <v>553</v>
      </c>
      <c r="F18" s="217">
        <f>Ore_to_PI!EB105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>
      <c r="F19" t="e">
        <f>SUM(F7:F18)</f>
        <v>#REF!</v>
      </c>
    </row>
    <row r="23" spans="4:9">
      <c r="E23" s="202" t="s">
        <v>571</v>
      </c>
      <c r="F23" s="3" t="s">
        <v>570</v>
      </c>
      <c r="G23" s="3" t="s">
        <v>635</v>
      </c>
    </row>
    <row r="24" spans="4:9">
      <c r="E24" s="202" t="s">
        <v>568</v>
      </c>
      <c r="F24" t="e">
        <f>Ore_to_PI!V222+Ore_to_PI!V140+Ore_to_PI!V59</f>
        <v>#REF!</v>
      </c>
      <c r="G24" t="e">
        <f t="shared" ref="G24:G27" si="2">F24/1000000000</f>
        <v>#REF!</v>
      </c>
    </row>
    <row r="25" spans="4:9">
      <c r="E25" s="202" t="s">
        <v>430</v>
      </c>
      <c r="F25" t="e">
        <f>Ore_to_PI!EU117+Ore_to_PI!DD229+Ore_to_PI!BM195+Ore_to_PI!AU190+Ore_to_PI!AC195+Ore_to_PI!AU113+Ore_to_PI!BM116+Ore_to_PI!BN35+Ore_to_PI!AU28</f>
        <v>#REF!</v>
      </c>
      <c r="G25" t="e">
        <f t="shared" si="2"/>
        <v>#REF!</v>
      </c>
    </row>
    <row r="26" spans="4:9">
      <c r="E26" s="202" t="s">
        <v>431</v>
      </c>
      <c r="F26">
        <f>Ore_to_PI!CB152+Ore_to_PI!CB244+Ore_to_PI!EM114</f>
        <v>1081609351.3874507</v>
      </c>
      <c r="G26">
        <f t="shared" si="2"/>
        <v>1.0816093513874507</v>
      </c>
    </row>
    <row r="27" spans="4:9">
      <c r="E27" s="202" t="s">
        <v>569</v>
      </c>
      <c r="F27">
        <f>Ore_to_PI!V151</f>
        <v>24.076233417548465</v>
      </c>
      <c r="G27">
        <f t="shared" si="2"/>
        <v>2.4076233417548466E-8</v>
      </c>
    </row>
    <row r="28" spans="4:9">
      <c r="E28" s="202" t="s">
        <v>553</v>
      </c>
      <c r="F28">
        <f>Ore_to_PI!EM101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>
      <c r="C1" s="205" t="s">
        <v>580</v>
      </c>
      <c r="AS1" s="258"/>
      <c r="AT1" s="205" t="s">
        <v>412</v>
      </c>
      <c r="AU1" s="205" t="s">
        <v>413</v>
      </c>
      <c r="AV1" s="205" t="s">
        <v>414</v>
      </c>
      <c r="AW1" s="205" t="s">
        <v>561</v>
      </c>
      <c r="AX1" s="205" t="s">
        <v>540</v>
      </c>
      <c r="AY1" s="205" t="s">
        <v>539</v>
      </c>
      <c r="AZ1" s="205" t="s">
        <v>439</v>
      </c>
      <c r="BA1" s="205" t="s">
        <v>436</v>
      </c>
      <c r="BB1" s="205" t="s">
        <v>454</v>
      </c>
      <c r="BC1" s="205" t="s">
        <v>437</v>
      </c>
      <c r="BD1" s="205" t="s">
        <v>432</v>
      </c>
      <c r="BE1" s="205" t="s">
        <v>665</v>
      </c>
      <c r="BF1" s="205" t="s">
        <v>668</v>
      </c>
      <c r="BG1" s="205" t="s">
        <v>81</v>
      </c>
      <c r="BH1" s="205" t="s">
        <v>424</v>
      </c>
      <c r="BM1" s="258"/>
      <c r="BN1" s="205" t="s">
        <v>412</v>
      </c>
      <c r="BO1" s="205" t="s">
        <v>413</v>
      </c>
      <c r="BP1" s="205" t="s">
        <v>414</v>
      </c>
      <c r="BQ1" s="205" t="s">
        <v>561</v>
      </c>
      <c r="BR1" s="205" t="s">
        <v>540</v>
      </c>
      <c r="BS1" s="205" t="s">
        <v>539</v>
      </c>
      <c r="BT1" s="205" t="s">
        <v>439</v>
      </c>
      <c r="BU1" s="205" t="s">
        <v>436</v>
      </c>
      <c r="BV1" s="205" t="s">
        <v>454</v>
      </c>
      <c r="BW1" s="205" t="s">
        <v>437</v>
      </c>
      <c r="BX1" s="205" t="s">
        <v>432</v>
      </c>
      <c r="BY1" s="205" t="s">
        <v>665</v>
      </c>
      <c r="BZ1" s="205" t="s">
        <v>668</v>
      </c>
      <c r="CA1" s="205" t="s">
        <v>81</v>
      </c>
      <c r="CB1" s="205" t="s">
        <v>424</v>
      </c>
    </row>
    <row r="2" spans="2:80">
      <c r="B2" s="202" t="s">
        <v>420</v>
      </c>
      <c r="C2" s="282">
        <v>1</v>
      </c>
      <c r="AS2" s="202" t="s">
        <v>420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>
      <c r="B3" s="202" t="s">
        <v>422</v>
      </c>
      <c r="C3" s="282">
        <v>1</v>
      </c>
      <c r="AS3" s="202" t="s">
        <v>422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422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>
      <c r="B4" s="202" t="s">
        <v>423</v>
      </c>
      <c r="C4" s="282">
        <v>1</v>
      </c>
      <c r="AS4" s="202" t="s">
        <v>423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423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>
      <c r="B5" s="202" t="s">
        <v>443</v>
      </c>
      <c r="C5" s="282">
        <v>1</v>
      </c>
      <c r="AS5" s="202" t="s">
        <v>443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443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>
      <c r="B6" s="202" t="s">
        <v>473</v>
      </c>
      <c r="C6" s="282">
        <v>1</v>
      </c>
      <c r="AL6" s="202"/>
      <c r="AS6" s="202" t="s">
        <v>473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473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>
      <c r="B7" s="202" t="s">
        <v>572</v>
      </c>
      <c r="C7" s="282">
        <v>1</v>
      </c>
      <c r="AL7" s="202"/>
      <c r="AS7" s="202" t="s">
        <v>572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572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>
      <c r="B8" s="202" t="s">
        <v>573</v>
      </c>
      <c r="C8" s="282">
        <v>1</v>
      </c>
      <c r="AL8" s="202"/>
      <c r="AS8" s="202" t="s">
        <v>573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573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>
      <c r="B9" s="202" t="s">
        <v>515</v>
      </c>
      <c r="C9" s="282">
        <v>1</v>
      </c>
      <c r="AL9" s="202"/>
      <c r="AS9" s="202" t="s">
        <v>515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515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>
      <c r="B10" s="202" t="s">
        <v>565</v>
      </c>
      <c r="C10" s="282">
        <v>1</v>
      </c>
      <c r="AL10" s="202"/>
      <c r="AS10" s="202" t="s">
        <v>565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565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>
      <c r="B11" s="203" t="s">
        <v>547</v>
      </c>
      <c r="C11" s="282">
        <v>1</v>
      </c>
      <c r="AS11" s="203" t="s">
        <v>547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547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>
      <c r="B12" s="202" t="s">
        <v>513</v>
      </c>
      <c r="C12" s="282">
        <v>1</v>
      </c>
      <c r="AS12" s="202" t="s">
        <v>513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513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>
      <c r="B13" s="203" t="s">
        <v>516</v>
      </c>
      <c r="C13" s="282">
        <v>1</v>
      </c>
      <c r="AS13" s="203" t="s">
        <v>516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516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>
      <c r="B14" s="202" t="s">
        <v>542</v>
      </c>
      <c r="C14" s="282">
        <v>1</v>
      </c>
      <c r="AS14" s="202" t="s">
        <v>542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542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>
      <c r="B15" s="204" t="s">
        <v>534</v>
      </c>
      <c r="C15" s="282">
        <v>1</v>
      </c>
      <c r="AS15" s="204" t="s">
        <v>534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534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>
      <c r="B16" s="202" t="s">
        <v>520</v>
      </c>
      <c r="C16" s="282">
        <v>1</v>
      </c>
      <c r="AS16" s="202" t="s">
        <v>520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>
      <c r="B17" s="203" t="s">
        <v>546</v>
      </c>
      <c r="C17" s="282">
        <v>1</v>
      </c>
      <c r="AS17" s="203" t="s">
        <v>546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546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>
      <c r="B18" s="203" t="s">
        <v>541</v>
      </c>
      <c r="C18" s="282">
        <v>1</v>
      </c>
      <c r="AS18" s="203" t="s">
        <v>541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541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>
      <c r="B19" s="203" t="s">
        <v>538</v>
      </c>
      <c r="C19" s="282">
        <v>1</v>
      </c>
      <c r="AS19" s="203" t="s">
        <v>538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538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>
      <c r="B20" s="203" t="s">
        <v>544</v>
      </c>
      <c r="C20" s="282">
        <v>1</v>
      </c>
      <c r="AS20" s="203" t="s">
        <v>544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544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>
      <c r="B21" s="204" t="s">
        <v>543</v>
      </c>
      <c r="C21" s="282">
        <v>1</v>
      </c>
      <c r="AS21" s="204" t="s">
        <v>543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543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>
      <c r="B22" s="204" t="s">
        <v>528</v>
      </c>
      <c r="C22" s="282">
        <v>1</v>
      </c>
      <c r="AS22" s="204" t="s">
        <v>528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528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>
      <c r="B23" s="204" t="s">
        <v>562</v>
      </c>
      <c r="C23" s="282">
        <v>1</v>
      </c>
      <c r="AS23" s="204" t="s">
        <v>562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562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>
      <c r="B24" s="204" t="s">
        <v>529</v>
      </c>
      <c r="C24" s="282">
        <v>1</v>
      </c>
      <c r="AS24" s="204" t="s">
        <v>529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529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>
      <c r="B25" s="204" t="s">
        <v>531</v>
      </c>
      <c r="C25" s="282">
        <v>1</v>
      </c>
      <c r="AS25" s="204" t="s">
        <v>531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531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>
      <c r="B26" s="204" t="s">
        <v>530</v>
      </c>
      <c r="C26" s="282">
        <v>1</v>
      </c>
      <c r="AS26" s="204" t="s">
        <v>530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>
      <c r="B27" s="204" t="s">
        <v>627</v>
      </c>
      <c r="C27" s="282">
        <v>1</v>
      </c>
      <c r="AS27" s="204" t="s">
        <v>627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627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>
      <c r="B28" s="251" t="s">
        <v>526</v>
      </c>
      <c r="C28" s="282">
        <v>1</v>
      </c>
      <c r="AS28" s="251" t="s">
        <v>526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526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>
      <c r="B29" s="204" t="s">
        <v>525</v>
      </c>
      <c r="C29" s="282">
        <v>1</v>
      </c>
      <c r="AS29" s="204" t="s">
        <v>525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525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>
      <c r="B30" s="202" t="s">
        <v>527</v>
      </c>
      <c r="C30" s="282">
        <v>1</v>
      </c>
      <c r="AS30" s="202" t="s">
        <v>527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527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>
      <c r="B31" s="204" t="s">
        <v>523</v>
      </c>
      <c r="C31" s="282">
        <v>1</v>
      </c>
      <c r="AS31" s="204" t="s">
        <v>666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666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>
      <c r="B32" s="204"/>
      <c r="C32" s="282"/>
      <c r="AS32" s="204" t="s">
        <v>669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669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>
      <c r="B33" s="204" t="s">
        <v>550</v>
      </c>
      <c r="C33" s="282">
        <v>1</v>
      </c>
      <c r="AS33" s="204" t="s">
        <v>550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>
      <c r="B34" s="204" t="s">
        <v>551</v>
      </c>
      <c r="C34" s="282">
        <v>1</v>
      </c>
      <c r="AS34" s="204" t="s">
        <v>551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551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>
      <c r="B35" s="204" t="s">
        <v>552</v>
      </c>
      <c r="C35" s="282">
        <v>1</v>
      </c>
      <c r="AS35" s="204" t="s">
        <v>552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552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>
      <c r="B36" s="204" t="s">
        <v>563</v>
      </c>
      <c r="C36" s="282">
        <v>1</v>
      </c>
      <c r="AS36" s="204" t="s">
        <v>563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563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>
      <c r="C37" s="169" t="s">
        <v>579</v>
      </c>
      <c r="AS37" s="204"/>
      <c r="AT37" s="396" t="s">
        <v>576</v>
      </c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F37" s="396"/>
      <c r="BG37" s="396"/>
      <c r="BH37" s="396"/>
      <c r="BM37" s="204"/>
      <c r="BN37" s="396" t="s">
        <v>577</v>
      </c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  <c r="BZ37" s="396"/>
      <c r="CA37" s="396"/>
      <c r="CB37" s="396"/>
    </row>
    <row r="38" spans="2:80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>
      <c r="AS40" s="258"/>
      <c r="AT40" s="205" t="s">
        <v>412</v>
      </c>
      <c r="AU40" s="205" t="s">
        <v>413</v>
      </c>
      <c r="AV40" s="205" t="s">
        <v>414</v>
      </c>
      <c r="AW40" s="205" t="s">
        <v>561</v>
      </c>
      <c r="AX40" s="205" t="s">
        <v>540</v>
      </c>
      <c r="AY40" s="205" t="s">
        <v>539</v>
      </c>
      <c r="AZ40" s="205" t="s">
        <v>439</v>
      </c>
      <c r="BA40" s="205" t="s">
        <v>436</v>
      </c>
      <c r="BB40" s="205" t="s">
        <v>454</v>
      </c>
      <c r="BC40" s="205" t="s">
        <v>437</v>
      </c>
      <c r="BD40" s="205" t="s">
        <v>432</v>
      </c>
      <c r="BE40" s="205" t="s">
        <v>665</v>
      </c>
      <c r="BF40" s="205" t="s">
        <v>668</v>
      </c>
      <c r="BG40" s="205" t="s">
        <v>81</v>
      </c>
      <c r="BH40" s="205" t="s">
        <v>424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>
      <c r="AS41" s="202" t="s">
        <v>420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>
      <c r="AS42" s="202" t="s">
        <v>422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>
      <c r="AS43" s="202" t="s">
        <v>423</v>
      </c>
      <c r="AT43" s="282">
        <f t="shared" si="1"/>
        <v>0</v>
      </c>
      <c r="AU43" s="282">
        <f t="shared" ref="AU43:BH43" si="3">AU87</f>
        <v>0</v>
      </c>
      <c r="AV43" s="282">
        <f t="shared" si="3"/>
        <v>8875434.0211273897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>
      <c r="AS44" s="202" t="s">
        <v>443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>
        <f t="shared" si="4"/>
        <v>2324.232021732671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20413.568921010981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>
      <c r="AS45" s="202" t="s">
        <v>473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>
        <f t="shared" si="5"/>
        <v>917300.01541176869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>
      <c r="AS46" s="202" t="s">
        <v>572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>
      <c r="AS47" s="202" t="s">
        <v>573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>
      <c r="AS48" s="202" t="s">
        <v>515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>
      <c r="AS49" s="202" t="s">
        <v>565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>
        <f t="shared" si="9"/>
        <v>33256.912481150597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>
      <c r="AS50" s="203" t="s">
        <v>547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>
      <c r="AS51" s="202" t="s">
        <v>513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>
      <c r="AS52" s="203" t="s">
        <v>516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>
      <c r="AS53" s="202" t="s">
        <v>542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>
      <c r="AS54" s="204" t="s">
        <v>534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>
        <f t="shared" si="14"/>
        <v>8875434.0211273897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>
      <c r="AS55" s="202" t="s">
        <v>520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>
      <c r="AS56" s="203" t="s">
        <v>546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>
      <c r="AS57" s="203" t="s">
        <v>541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>
      <c r="AS58" s="203" t="s">
        <v>538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>
        <f t="shared" si="18"/>
        <v>8875434.0211273897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>
      <c r="AS59" s="203" t="s">
        <v>544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>
      <c r="AS60" s="204" t="s">
        <v>543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>
      <c r="AS61" s="204" t="s">
        <v>528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>
      <c r="AS62" s="204" t="s">
        <v>562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>
        <f t="shared" si="22"/>
        <v>8877539.600112142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>
      <c r="AS63" s="204" t="s">
        <v>529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>
      <c r="AS64" s="204" t="s">
        <v>531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>
      <c r="AS65" s="204" t="s">
        <v>530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>
      <c r="AS66" s="204" t="s">
        <v>627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6423206.7384708319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>
      <c r="AS67" s="251" t="s">
        <v>526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>
        <f t="shared" si="27"/>
        <v>4034917.433091775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>
      <c r="AS68" s="204" t="s">
        <v>525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>
      <c r="AS69" s="202" t="s">
        <v>527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>
      <c r="AS70" s="204" t="s">
        <v>666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3946098.143008593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>
      <c r="AS71" s="204" t="s">
        <v>669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0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2762268.7001060145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>
      <c r="AS72" s="204" t="s">
        <v>550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>
      <c r="AS73" s="204" t="s">
        <v>551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>
      <c r="AS74" s="204" t="s">
        <v>552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>
      <c r="AS75" s="204" t="s">
        <v>563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>
      <c r="AS76" s="204"/>
      <c r="AT76" s="396" t="s">
        <v>578</v>
      </c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  <c r="BF76" s="396"/>
      <c r="BG76" s="396"/>
      <c r="BH76" s="396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>
      <c r="AS84" s="258"/>
      <c r="AT84" s="205" t="s">
        <v>412</v>
      </c>
      <c r="AU84" s="205" t="s">
        <v>413</v>
      </c>
      <c r="AV84" s="205" t="s">
        <v>414</v>
      </c>
      <c r="AW84" s="205" t="s">
        <v>561</v>
      </c>
      <c r="AX84" s="205" t="s">
        <v>540</v>
      </c>
      <c r="AY84" s="205" t="s">
        <v>539</v>
      </c>
      <c r="AZ84" s="205" t="s">
        <v>439</v>
      </c>
      <c r="BA84" s="205" t="s">
        <v>436</v>
      </c>
      <c r="BB84" s="205" t="s">
        <v>454</v>
      </c>
      <c r="BC84" s="205" t="s">
        <v>437</v>
      </c>
      <c r="BD84" s="205" t="s">
        <v>432</v>
      </c>
      <c r="BE84" s="205" t="s">
        <v>665</v>
      </c>
      <c r="BF84" s="205" t="s">
        <v>668</v>
      </c>
      <c r="BG84" s="205" t="s">
        <v>81</v>
      </c>
      <c r="BH84" s="205" t="s">
        <v>424</v>
      </c>
      <c r="BM84" s="205"/>
      <c r="BN84" s="205" t="s">
        <v>418</v>
      </c>
      <c r="BO84" s="205" t="s">
        <v>356</v>
      </c>
    </row>
    <row r="85" spans="35:68">
      <c r="AI85" s="202"/>
      <c r="AJ85" s="202"/>
      <c r="AS85" s="202" t="s">
        <v>420</v>
      </c>
      <c r="AT85" s="228">
        <f>Ore_to_PI!$V$42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420</v>
      </c>
      <c r="BN85" s="242"/>
      <c r="BO85" s="242"/>
      <c r="BP85" s="250">
        <f>SUM(BN85:BO85)</f>
        <v>0</v>
      </c>
    </row>
    <row r="86" spans="35:68">
      <c r="AI86" s="202"/>
      <c r="AJ86" s="202"/>
      <c r="AS86" s="202" t="s">
        <v>422</v>
      </c>
      <c r="AT86" s="228"/>
      <c r="AU86" s="228">
        <f>Ore_to_PI!$V$126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422</v>
      </c>
      <c r="BN86" s="242"/>
      <c r="BO86" s="242"/>
      <c r="BP86" s="250">
        <f>SUM(BN86:BO86)</f>
        <v>0</v>
      </c>
    </row>
    <row r="87" spans="35:68">
      <c r="AI87" s="202"/>
      <c r="AJ87" s="202"/>
      <c r="AS87" s="202" t="s">
        <v>423</v>
      </c>
      <c r="AT87" s="228"/>
      <c r="AU87" s="228"/>
      <c r="AV87" s="228">
        <f>Ore_to_PI!$V$206</f>
        <v>8875434.0211273897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>
        <f t="shared" ref="BI87:BI119" si="46">SUM(AT87:BH87)</f>
        <v>8875434.0211273897</v>
      </c>
      <c r="BM87" s="202" t="s">
        <v>423</v>
      </c>
      <c r="BN87" s="242"/>
      <c r="BO87" s="242"/>
      <c r="BP87" s="250">
        <f>SUM(BN87:BO87)</f>
        <v>0</v>
      </c>
    </row>
    <row r="88" spans="35:68">
      <c r="AI88" s="202"/>
      <c r="AJ88" s="202"/>
      <c r="AS88" s="202" t="s">
        <v>443</v>
      </c>
      <c r="AT88" s="228">
        <f>Ore_to_PI!V72</f>
        <v>236.0188688118763</v>
      </c>
      <c r="AU88" s="228">
        <f>Ore_to_PI!V163</f>
        <v>0.70761030268572533</v>
      </c>
      <c r="AV88" s="228" t="e">
        <f>Ore_to_PI!V236</f>
        <v>#REF!</v>
      </c>
      <c r="AW88" s="228"/>
      <c r="AX88" s="228"/>
      <c r="AY88" s="228"/>
      <c r="AZ88" s="228"/>
      <c r="BA88" s="228"/>
      <c r="BB88" s="228"/>
      <c r="BC88" s="228">
        <f>Ore_to_PI!CB140</f>
        <v>2787379.6921424987</v>
      </c>
      <c r="BD88" s="228">
        <f>Ore_to_PI!CB232</f>
        <v>2324.232021732671</v>
      </c>
      <c r="BE88" s="228"/>
      <c r="BF88" s="228"/>
      <c r="BG88" s="228"/>
      <c r="BH88" s="241">
        <f>Ore_to_PI!EM140</f>
        <v>20413.568921010981</v>
      </c>
      <c r="BI88" s="250" t="e">
        <f t="shared" si="46"/>
        <v>#REF!</v>
      </c>
      <c r="BM88" s="202" t="s">
        <v>443</v>
      </c>
      <c r="BN88" s="242"/>
      <c r="BO88" s="242"/>
      <c r="BP88" s="250">
        <f t="shared" ref="BP88:BP92" si="47">SUM(BN88:BO88)</f>
        <v>0</v>
      </c>
    </row>
    <row r="89" spans="35:68">
      <c r="AI89" s="202"/>
      <c r="AJ89" s="202"/>
      <c r="AL89" s="202"/>
      <c r="AS89" s="202" t="s">
        <v>473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Ore_to_PI!CB152</f>
        <v>1078370532.5161049</v>
      </c>
      <c r="BD89" s="228">
        <f>Ore_to_PI!CB244</f>
        <v>917300.01541176869</v>
      </c>
      <c r="BE89" s="228"/>
      <c r="BF89" s="228"/>
      <c r="BG89" s="228"/>
      <c r="BH89" s="228">
        <f>Ore_to_PI!EM114</f>
        <v>2321518.855933811</v>
      </c>
      <c r="BI89" s="250">
        <f t="shared" si="46"/>
        <v>1081609351.3874507</v>
      </c>
      <c r="BM89" s="202" t="s">
        <v>473</v>
      </c>
      <c r="BN89" s="242"/>
      <c r="BO89" s="242"/>
      <c r="BP89" s="250">
        <f t="shared" si="47"/>
        <v>0</v>
      </c>
    </row>
    <row r="90" spans="35:68">
      <c r="AI90" s="202"/>
      <c r="AJ90" s="202"/>
      <c r="AL90" s="202"/>
      <c r="AS90" s="202" t="s">
        <v>572</v>
      </c>
      <c r="AT90" s="228" t="e">
        <f>Ore_to_PI!V59</f>
        <v>#REF!</v>
      </c>
      <c r="AU90" s="228" t="e">
        <f>Ore_to_PI!V140</f>
        <v>#REF!</v>
      </c>
      <c r="AV90" s="228" t="e">
        <f>Ore_to_PI!V222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572</v>
      </c>
      <c r="BN90" s="242"/>
      <c r="BO90" s="242"/>
      <c r="BP90" s="250">
        <f t="shared" si="47"/>
        <v>0</v>
      </c>
    </row>
    <row r="91" spans="35:68">
      <c r="AI91" s="202"/>
      <c r="AJ91" s="202"/>
      <c r="AL91" s="202"/>
      <c r="AS91" s="202" t="s">
        <v>573</v>
      </c>
      <c r="AT91" s="228"/>
      <c r="AU91" s="228">
        <f>Ore_to_PI!V151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573</v>
      </c>
      <c r="BN91" s="242"/>
      <c r="BO91" s="242"/>
      <c r="BP91" s="250">
        <f t="shared" si="47"/>
        <v>0</v>
      </c>
    </row>
    <row r="92" spans="35:68">
      <c r="AI92" s="202"/>
      <c r="AJ92" s="202"/>
      <c r="AL92" s="202"/>
      <c r="AS92" s="202" t="s">
        <v>515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Ore_to_PI!EM101</f>
        <v>206840.02835429934</v>
      </c>
      <c r="BI92" s="250">
        <f t="shared" si="46"/>
        <v>206840.02835429934</v>
      </c>
      <c r="BM92" s="202" t="s">
        <v>515</v>
      </c>
      <c r="BN92" s="242"/>
      <c r="BO92" s="242"/>
      <c r="BP92" s="250">
        <f t="shared" si="47"/>
        <v>0</v>
      </c>
    </row>
    <row r="93" spans="35:68">
      <c r="AI93" s="202"/>
      <c r="AJ93" s="202"/>
      <c r="AL93" s="202"/>
      <c r="AS93" s="202" t="s">
        <v>565</v>
      </c>
      <c r="AT93" s="228"/>
      <c r="AU93" s="228"/>
      <c r="AV93" s="228" t="e">
        <f>Ore_to_PI!AC195</f>
        <v>#REF!</v>
      </c>
      <c r="AW93" s="228">
        <f>Ore_to_PI!AU28</f>
        <v>609792.2517593482</v>
      </c>
      <c r="AX93" s="228">
        <f>Ore_to_PI!AU113</f>
        <v>2824.8856477449194</v>
      </c>
      <c r="AY93" s="228" t="e">
        <f>Ore_to_PI!AU190</f>
        <v>#REF!</v>
      </c>
      <c r="AZ93" s="228">
        <f>Ore_to_PI!BN35</f>
        <v>12626.098826338684</v>
      </c>
      <c r="BA93" s="228">
        <f>Ore_to_PI!BM116</f>
        <v>34.678095164114971</v>
      </c>
      <c r="BB93" s="228" t="e">
        <f>Ore_to_PI!BM195</f>
        <v>#REF!</v>
      </c>
      <c r="BC93" s="228"/>
      <c r="BD93" s="228"/>
      <c r="BE93" s="228">
        <f>Ore_to_PI!DD229</f>
        <v>33256.912481150597</v>
      </c>
      <c r="BF93" s="228"/>
      <c r="BG93" s="228"/>
      <c r="BH93" s="228">
        <f>Ore_to_PI!EU117</f>
        <v>317844.87395625591</v>
      </c>
      <c r="BI93" s="250" t="e">
        <f t="shared" si="46"/>
        <v>#REF!</v>
      </c>
      <c r="BM93" s="202" t="s">
        <v>565</v>
      </c>
      <c r="BN93" s="242"/>
      <c r="BO93" s="242"/>
      <c r="BP93" s="250">
        <f t="shared" ref="BP93:BP99" si="48">SUM(BN93:BO93)</f>
        <v>0</v>
      </c>
    </row>
    <row r="94" spans="35:68" ht="16">
      <c r="AI94" s="244"/>
      <c r="AJ94" s="244"/>
      <c r="AS94" s="203" t="s">
        <v>547</v>
      </c>
      <c r="AT94" s="228"/>
      <c r="AU94" s="228"/>
      <c r="AV94" s="228"/>
      <c r="AW94" s="228">
        <f>Ore_to_PI!$AO$42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547</v>
      </c>
      <c r="BN94" s="242"/>
      <c r="BO94" s="242"/>
      <c r="BP94" s="250">
        <f t="shared" si="48"/>
        <v>0</v>
      </c>
    </row>
    <row r="95" spans="35:68" ht="16">
      <c r="AI95" s="203"/>
      <c r="AJ95" s="203"/>
      <c r="AS95" s="202" t="s">
        <v>513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513</v>
      </c>
      <c r="BN95" s="242"/>
      <c r="BO95" s="242">
        <f>Ore_to_PI!AO63</f>
        <v>2418.6577581793781</v>
      </c>
      <c r="BP95" s="250">
        <f t="shared" si="48"/>
        <v>2418.6577581793781</v>
      </c>
    </row>
    <row r="96" spans="35:68" ht="16">
      <c r="AI96" s="204"/>
      <c r="AJ96" s="204"/>
      <c r="AS96" s="203" t="s">
        <v>516</v>
      </c>
      <c r="AT96" s="228"/>
      <c r="AU96" s="228"/>
      <c r="AV96" s="228"/>
      <c r="AW96" s="228"/>
      <c r="AX96" s="228">
        <f>Ore_to_PI!$AP$126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516</v>
      </c>
      <c r="BN96" s="242"/>
      <c r="BO96" s="246"/>
      <c r="BP96" s="250">
        <f t="shared" si="48"/>
        <v>0</v>
      </c>
    </row>
    <row r="97" spans="35:73">
      <c r="AI97" s="204"/>
      <c r="AJ97" s="204"/>
      <c r="AS97" s="202" t="s">
        <v>542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542</v>
      </c>
      <c r="BN97" s="242"/>
      <c r="BO97" s="242">
        <f>Ore_to_PI!AP142</f>
        <v>7.2399197950896488</v>
      </c>
      <c r="BP97" s="250">
        <f t="shared" si="48"/>
        <v>7.2399197950896488</v>
      </c>
    </row>
    <row r="98" spans="35:73">
      <c r="AI98" s="204"/>
      <c r="AJ98" s="204"/>
      <c r="AS98" s="204" t="s">
        <v>534</v>
      </c>
      <c r="AT98" s="228"/>
      <c r="AU98" s="228"/>
      <c r="AV98" s="228"/>
      <c r="AW98" s="228"/>
      <c r="AX98" s="228"/>
      <c r="AY98" s="228">
        <f>Ore_to_PI!$AP$206</f>
        <v>8875434.0211273897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>
        <f t="shared" si="46"/>
        <v>8875434.0211273897</v>
      </c>
      <c r="BM98" s="204" t="s">
        <v>534</v>
      </c>
      <c r="BN98" s="242"/>
      <c r="BO98" s="242"/>
      <c r="BP98" s="250">
        <f t="shared" si="48"/>
        <v>0</v>
      </c>
    </row>
    <row r="99" spans="35:73">
      <c r="AI99" s="204"/>
      <c r="AJ99" s="204"/>
      <c r="AS99" s="202" t="s">
        <v>520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520</v>
      </c>
      <c r="BN99" s="242"/>
      <c r="BO99" s="242" t="e">
        <f>Ore_to_PI!AP227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>
      <c r="AI100" s="204"/>
      <c r="AJ100" s="204"/>
      <c r="AS100" s="203" t="s">
        <v>546</v>
      </c>
      <c r="AT100" s="228"/>
      <c r="AU100" s="228"/>
      <c r="AV100" s="228"/>
      <c r="AW100" s="228"/>
      <c r="AX100" s="228"/>
      <c r="AY100" s="228"/>
      <c r="AZ100" s="228">
        <f>Ore_to_PI!$BH$42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546</v>
      </c>
      <c r="BN100" s="242"/>
      <c r="BO100" s="242"/>
      <c r="BP100" s="250">
        <f t="shared" ref="BP100:BP119" si="49">SUM(BN100:BO100)</f>
        <v>0</v>
      </c>
    </row>
    <row r="101" spans="35:73" ht="16">
      <c r="AI101" s="204"/>
      <c r="AJ101" s="204"/>
      <c r="AS101" s="203" t="s">
        <v>541</v>
      </c>
      <c r="AT101" s="228"/>
      <c r="AU101" s="228"/>
      <c r="AV101" s="228"/>
      <c r="AW101" s="228"/>
      <c r="AX101" s="228"/>
      <c r="AY101" s="228"/>
      <c r="AZ101" s="228"/>
      <c r="BA101" s="228">
        <f>Ore_to_PI!$BI$126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541</v>
      </c>
      <c r="BN101" s="242"/>
      <c r="BO101" s="242"/>
      <c r="BP101" s="250">
        <f t="shared" si="49"/>
        <v>0</v>
      </c>
    </row>
    <row r="102" spans="35:73" ht="16">
      <c r="AI102" s="204"/>
      <c r="AJ102" s="204"/>
      <c r="AS102" s="203" t="s">
        <v>538</v>
      </c>
      <c r="AT102" s="228"/>
      <c r="AU102" s="228"/>
      <c r="AV102" s="228"/>
      <c r="AW102" s="228"/>
      <c r="AX102" s="228"/>
      <c r="AY102" s="228"/>
      <c r="AZ102" s="228"/>
      <c r="BA102" s="228"/>
      <c r="BB102" s="228">
        <f>Ore_to_PI!$BI$206</f>
        <v>8875434.0211273897</v>
      </c>
      <c r="BC102" s="228"/>
      <c r="BD102" s="228"/>
      <c r="BE102" s="228"/>
      <c r="BF102" s="228"/>
      <c r="BG102" s="228"/>
      <c r="BH102" s="228"/>
      <c r="BI102" s="250">
        <f t="shared" si="46"/>
        <v>8875434.0211273897</v>
      </c>
      <c r="BM102" s="203" t="s">
        <v>538</v>
      </c>
      <c r="BN102" s="242"/>
      <c r="BO102" s="242"/>
      <c r="BP102" s="250">
        <f t="shared" si="49"/>
        <v>0</v>
      </c>
    </row>
    <row r="103" spans="35:73" ht="16">
      <c r="AI103" s="251"/>
      <c r="AJ103" s="251"/>
      <c r="AS103" s="203" t="s">
        <v>544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Ore_to_PI!CA42</f>
        <v>88965.799815334409</v>
      </c>
      <c r="BH103" s="228"/>
      <c r="BI103" s="250">
        <f t="shared" si="46"/>
        <v>88965.799815334409</v>
      </c>
      <c r="BM103" s="203" t="s">
        <v>544</v>
      </c>
      <c r="BN103" s="242"/>
      <c r="BO103" s="242"/>
      <c r="BP103" s="250">
        <f t="shared" si="49"/>
        <v>0</v>
      </c>
    </row>
    <row r="104" spans="35:73">
      <c r="AI104" s="204"/>
      <c r="AJ104" s="204"/>
      <c r="AS104" s="204" t="s">
        <v>543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543</v>
      </c>
      <c r="BN104" s="242"/>
      <c r="BO104" s="242">
        <f>Ore_to_PI!CA55</f>
        <v>21743.416787545681</v>
      </c>
      <c r="BP104" s="250">
        <f t="shared" si="49"/>
        <v>21743.416787545681</v>
      </c>
    </row>
    <row r="105" spans="35:73">
      <c r="AI105" s="204"/>
      <c r="AJ105" s="204"/>
      <c r="AS105" s="204" t="s">
        <v>528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Ore_to_PI!$CB$126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528</v>
      </c>
      <c r="BN105" s="242"/>
      <c r="BO105" s="242"/>
      <c r="BP105" s="250">
        <f t="shared" si="49"/>
        <v>0</v>
      </c>
    </row>
    <row r="106" spans="35:73">
      <c r="AI106" s="204"/>
      <c r="AJ106" s="204"/>
      <c r="AS106" s="204" t="s">
        <v>562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Ore_to_PI!$CB$206</f>
        <v>8877539.600112142</v>
      </c>
      <c r="BE106" s="228"/>
      <c r="BF106" s="228"/>
      <c r="BG106" s="228"/>
      <c r="BH106" s="228"/>
      <c r="BI106" s="250">
        <f t="shared" si="46"/>
        <v>8877539.600112142</v>
      </c>
      <c r="BM106" s="204" t="s">
        <v>562</v>
      </c>
      <c r="BN106" s="242"/>
      <c r="BO106" s="242"/>
      <c r="BP106" s="250">
        <f t="shared" si="49"/>
        <v>0</v>
      </c>
    </row>
    <row r="107" spans="35:73">
      <c r="AI107" s="204"/>
      <c r="AJ107" s="204"/>
      <c r="AS107" s="204" t="s">
        <v>529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Ore_to_PI!$CW$126</f>
        <v>242016.07607977447</v>
      </c>
      <c r="BH107" s="228"/>
      <c r="BI107" s="250">
        <f t="shared" si="46"/>
        <v>242016.07607977447</v>
      </c>
      <c r="BM107" s="204" t="s">
        <v>529</v>
      </c>
      <c r="BN107" s="242"/>
      <c r="BO107" s="242"/>
      <c r="BP107" s="250">
        <f t="shared" si="49"/>
        <v>0</v>
      </c>
    </row>
    <row r="108" spans="35:73">
      <c r="AI108" s="204"/>
      <c r="AJ108" s="204"/>
      <c r="AS108" s="204" t="s">
        <v>531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531</v>
      </c>
      <c r="BN108" s="242"/>
      <c r="BO108" s="242">
        <f>Ore_to_PI!CW114</f>
        <v>7739.2511800711582</v>
      </c>
      <c r="BP108" s="250">
        <f t="shared" si="49"/>
        <v>7739.2511800711582</v>
      </c>
    </row>
    <row r="109" spans="35:73">
      <c r="AI109" s="204"/>
      <c r="AJ109" s="204"/>
      <c r="AS109" s="204" t="s">
        <v>530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530</v>
      </c>
      <c r="BN109" s="242"/>
      <c r="BO109" s="242">
        <f>Ore_to_PI!CW138</f>
        <v>33179125.659109436</v>
      </c>
      <c r="BP109" s="250">
        <f t="shared" si="49"/>
        <v>33179125.659109436</v>
      </c>
    </row>
    <row r="110" spans="35:73">
      <c r="AI110" s="204"/>
      <c r="AJ110" s="204"/>
      <c r="AS110" s="204" t="s">
        <v>627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Ore_to_PI!$CW$206</f>
        <v>6423206.7384708319</v>
      </c>
      <c r="BH110" s="228"/>
      <c r="BI110" s="250">
        <f t="shared" si="46"/>
        <v>6423206.7384708319</v>
      </c>
      <c r="BM110" s="204" t="s">
        <v>627</v>
      </c>
      <c r="BN110" s="242"/>
      <c r="BO110" s="242"/>
      <c r="BP110" s="250">
        <f t="shared" si="49"/>
        <v>0</v>
      </c>
    </row>
    <row r="111" spans="35:73" ht="16">
      <c r="AI111" s="204"/>
      <c r="AJ111" s="204"/>
      <c r="AS111" s="251" t="s">
        <v>526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>
        <f>Ore_to_PI!$CW$231</f>
        <v>4034917.433091775</v>
      </c>
      <c r="BF111" s="228"/>
      <c r="BG111" s="228"/>
      <c r="BH111" s="228"/>
      <c r="BI111" s="250">
        <f t="shared" si="46"/>
        <v>4034917.433091775</v>
      </c>
      <c r="BM111" s="251" t="s">
        <v>526</v>
      </c>
      <c r="BN111" s="242"/>
      <c r="BO111" s="242"/>
      <c r="BP111" s="250">
        <f t="shared" si="49"/>
        <v>0</v>
      </c>
    </row>
    <row r="112" spans="35:73">
      <c r="AI112" s="204"/>
      <c r="AJ112" s="204"/>
      <c r="AS112" s="204" t="s">
        <v>525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525</v>
      </c>
      <c r="BN112" s="242"/>
      <c r="BO112" s="242">
        <f>Ore_to_PI!CW215</f>
        <v>9096.5158881408915</v>
      </c>
      <c r="BP112" s="250">
        <f t="shared" si="49"/>
        <v>9096.5158881408915</v>
      </c>
    </row>
    <row r="113" spans="5:68">
      <c r="AI113" s="204"/>
      <c r="AJ113" s="204"/>
      <c r="AS113" s="202" t="s">
        <v>527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527</v>
      </c>
      <c r="BN113" s="242"/>
      <c r="BO113" s="242">
        <f>Ore_to_PI!CW248</f>
        <v>20439.369686997401</v>
      </c>
      <c r="BP113" s="250">
        <f t="shared" si="49"/>
        <v>20439.369686997401</v>
      </c>
    </row>
    <row r="114" spans="5:68">
      <c r="AI114" s="204"/>
      <c r="AJ114" s="204"/>
      <c r="AS114" s="204" t="s">
        <v>666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Ore_to_PI!$DQ$233</f>
        <v>3946098.143008593</v>
      </c>
      <c r="BG114" s="228"/>
      <c r="BH114" s="241"/>
      <c r="BI114" s="250">
        <f t="shared" si="46"/>
        <v>3946098.143008593</v>
      </c>
      <c r="BM114" s="204" t="s">
        <v>666</v>
      </c>
      <c r="BN114" s="242"/>
      <c r="BO114" s="242"/>
      <c r="BP114" s="250">
        <f t="shared" si="49"/>
        <v>0</v>
      </c>
    </row>
    <row r="115" spans="5:68">
      <c r="AI115" s="204"/>
      <c r="AJ115" s="204"/>
      <c r="AS115" s="204" t="s">
        <v>669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Ore_to_PI!$CB$225</f>
        <v>0</v>
      </c>
      <c r="BE115" s="228"/>
      <c r="BF115" s="228"/>
      <c r="BG115" s="228"/>
      <c r="BH115" s="241">
        <f>Ore_to_PI!$EM$152</f>
        <v>2762268.7001060145</v>
      </c>
      <c r="BI115" s="250">
        <f t="shared" si="46"/>
        <v>2762268.7001060145</v>
      </c>
      <c r="BM115" s="204" t="s">
        <v>667</v>
      </c>
      <c r="BN115" s="242" t="e">
        <f>Ore_to_PI!$FG$233</f>
        <v>#REF!</v>
      </c>
      <c r="BO115" s="242"/>
      <c r="BP115" s="250" t="e">
        <f t="shared" si="49"/>
        <v>#REF!</v>
      </c>
    </row>
    <row r="116" spans="5:68">
      <c r="AI116" s="204"/>
      <c r="AJ116" s="204"/>
      <c r="AS116" s="204" t="s">
        <v>550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Ore_to_PI!EM126</f>
        <v>7072531.8830895294</v>
      </c>
      <c r="BI116" s="250">
        <f t="shared" si="46"/>
        <v>7072531.8830895294</v>
      </c>
      <c r="BM116" s="204" t="s">
        <v>550</v>
      </c>
      <c r="BN116" s="242"/>
      <c r="BO116" s="242"/>
      <c r="BP116" s="250">
        <f t="shared" si="49"/>
        <v>0</v>
      </c>
    </row>
    <row r="117" spans="5:68">
      <c r="AI117" s="204"/>
      <c r="AJ117" s="204"/>
      <c r="AS117" s="204" t="s">
        <v>551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551</v>
      </c>
      <c r="BN117" s="242">
        <f>Ore_to_PI!FM126</f>
        <v>4157895.2984628798</v>
      </c>
      <c r="BO117" s="242"/>
      <c r="BP117" s="250">
        <f t="shared" si="49"/>
        <v>4157895.2984628798</v>
      </c>
    </row>
    <row r="118" spans="5:68">
      <c r="AI118" s="204"/>
      <c r="AJ118" s="204"/>
      <c r="AS118" s="204" t="s">
        <v>552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552</v>
      </c>
      <c r="BN118" s="242"/>
      <c r="BO118" s="242">
        <f>Ore_to_PI!FM141</f>
        <v>400497.80232519103</v>
      </c>
      <c r="BP118" s="250">
        <f t="shared" si="49"/>
        <v>400497.80232519103</v>
      </c>
    </row>
    <row r="119" spans="5:68">
      <c r="AI119" s="204"/>
      <c r="AJ119" s="204"/>
      <c r="AS119" s="204" t="s">
        <v>563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563</v>
      </c>
      <c r="BN119" s="242"/>
      <c r="BO119" s="242">
        <f>Ore_to_PI!FM104</f>
        <v>67875.356217847453</v>
      </c>
      <c r="BP119" s="250">
        <f t="shared" si="49"/>
        <v>67875.356217847453</v>
      </c>
    </row>
    <row r="120" spans="5:68">
      <c r="AI120" s="204"/>
      <c r="AJ120" s="204"/>
      <c r="AS120" s="204"/>
      <c r="AT120" s="396" t="s">
        <v>415</v>
      </c>
      <c r="AU120" s="396"/>
      <c r="AV120" s="396"/>
      <c r="AW120" s="396"/>
      <c r="AX120" s="396"/>
      <c r="AY120" s="396"/>
      <c r="AZ120" s="396"/>
      <c r="BA120" s="396"/>
      <c r="BB120" s="396"/>
      <c r="BC120" s="396"/>
      <c r="BD120" s="396"/>
      <c r="BE120" s="396"/>
      <c r="BF120" s="396"/>
      <c r="BG120" s="396"/>
      <c r="BH120" s="396"/>
      <c r="BI120" s="25" t="s">
        <v>465</v>
      </c>
      <c r="BN120" s="396" t="s">
        <v>417</v>
      </c>
      <c r="BO120" s="396"/>
      <c r="BP120" s="25" t="s">
        <v>480</v>
      </c>
    </row>
    <row r="121" spans="5:68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>
        <f t="shared" si="50"/>
        <v>9797163.8475456443</v>
      </c>
      <c r="BE121" s="250">
        <f t="shared" si="50"/>
        <v>4068174.3455729256</v>
      </c>
      <c r="BF121" s="250">
        <f t="shared" si="50"/>
        <v>3946098.143008593</v>
      </c>
      <c r="BG121" s="250">
        <f t="shared" si="50"/>
        <v>6754188.6143659409</v>
      </c>
      <c r="BH121" s="250">
        <f t="shared" si="50"/>
        <v>12701417.910360921</v>
      </c>
      <c r="BN121" s="25"/>
      <c r="BO121" s="25"/>
    </row>
    <row r="122" spans="5:68" ht="13" customHeight="1">
      <c r="F122" s="397"/>
      <c r="G122" s="397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6" t="s">
        <v>464</v>
      </c>
      <c r="AU122" s="396"/>
      <c r="AV122" s="396"/>
      <c r="AW122" s="396"/>
      <c r="AX122" s="396"/>
      <c r="AY122" s="396"/>
      <c r="AZ122" s="396"/>
      <c r="BA122" s="396"/>
      <c r="BB122" s="396"/>
      <c r="BC122" s="396"/>
      <c r="BD122" s="396"/>
      <c r="BE122" s="396"/>
      <c r="BF122" s="396"/>
      <c r="BG122" s="396"/>
      <c r="BH122" s="396"/>
      <c r="BN122" s="25"/>
      <c r="BO122" s="25"/>
    </row>
    <row r="123" spans="5:68" ht="236">
      <c r="E123" s="238"/>
      <c r="F123" s="205" t="s">
        <v>420</v>
      </c>
      <c r="G123" s="205" t="s">
        <v>422</v>
      </c>
      <c r="H123" s="205" t="s">
        <v>423</v>
      </c>
      <c r="I123" s="205" t="s">
        <v>443</v>
      </c>
      <c r="J123" s="205" t="s">
        <v>473</v>
      </c>
      <c r="K123" s="205" t="s">
        <v>572</v>
      </c>
      <c r="L123" s="205" t="s">
        <v>573</v>
      </c>
      <c r="M123" s="205" t="s">
        <v>515</v>
      </c>
      <c r="N123" s="205" t="s">
        <v>565</v>
      </c>
      <c r="O123" s="207" t="s">
        <v>547</v>
      </c>
      <c r="P123" s="205" t="s">
        <v>513</v>
      </c>
      <c r="Q123" s="207" t="s">
        <v>516</v>
      </c>
      <c r="R123" s="205" t="s">
        <v>542</v>
      </c>
      <c r="S123" s="208" t="s">
        <v>534</v>
      </c>
      <c r="T123" s="205" t="s">
        <v>520</v>
      </c>
      <c r="U123" s="207" t="s">
        <v>546</v>
      </c>
      <c r="V123" s="207" t="s">
        <v>541</v>
      </c>
      <c r="W123" s="207" t="s">
        <v>538</v>
      </c>
      <c r="X123" s="207" t="s">
        <v>544</v>
      </c>
      <c r="Y123" s="208" t="s">
        <v>543</v>
      </c>
      <c r="Z123" s="208" t="s">
        <v>528</v>
      </c>
      <c r="AA123" s="208" t="s">
        <v>562</v>
      </c>
      <c r="AB123" s="208" t="s">
        <v>529</v>
      </c>
      <c r="AC123" s="208" t="s">
        <v>531</v>
      </c>
      <c r="AD123" s="208" t="s">
        <v>530</v>
      </c>
      <c r="AE123" s="208" t="s">
        <v>627</v>
      </c>
      <c r="AF123" s="230" t="s">
        <v>526</v>
      </c>
      <c r="AG123" s="208" t="s">
        <v>525</v>
      </c>
      <c r="AH123" s="205" t="s">
        <v>527</v>
      </c>
      <c r="AI123" s="208" t="s">
        <v>666</v>
      </c>
      <c r="AJ123" s="208" t="s">
        <v>669</v>
      </c>
      <c r="AK123" s="208" t="s">
        <v>550</v>
      </c>
      <c r="AL123" s="208" t="s">
        <v>551</v>
      </c>
      <c r="AM123" s="208" t="s">
        <v>552</v>
      </c>
      <c r="AN123" s="208" t="s">
        <v>563</v>
      </c>
    </row>
    <row r="124" spans="5:68">
      <c r="E124" s="202" t="s">
        <v>412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Ore_to_PI!AO42</f>
        <v>109233.7126431732</v>
      </c>
      <c r="P124" s="228">
        <f>Ore_to_PI!AO63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>
      <c r="E125" s="202" t="s">
        <v>413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Ore_to_PI!AP126</f>
        <v>25394.240916408646</v>
      </c>
      <c r="R125" s="228">
        <f>Ore_to_PI!AP142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>
      <c r="E126" s="202" t="s">
        <v>414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>
        <f>Ore_to_PI!AP206</f>
        <v>8875434.0211273897</v>
      </c>
      <c r="T126" s="228" t="e">
        <f>Ore_to_PI!AP227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>
      <c r="E127" s="202" t="s">
        <v>561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>
      <c r="E128" s="202" t="s">
        <v>540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Ore_to_PI!BI126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>
      <c r="E129" s="202" t="s">
        <v>539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>
        <f>Ore_to_PI!BI206</f>
        <v>8875434.0211273897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>
        <f t="shared" si="51"/>
        <v>8875434.0211273897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>
      <c r="E130" s="202" t="s">
        <v>439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Ore_to_PI!CA42</f>
        <v>88965.799815334409</v>
      </c>
      <c r="Y130" s="228">
        <f>Ore_to_PI!CA55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>
      <c r="E131" s="202" t="s">
        <v>436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Ore_to_PI!CB126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>
      <c r="E132" s="202" t="s">
        <v>454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>
        <f>Ore_to_PI!CB206</f>
        <v>8877539.600112142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>
        <f t="shared" si="51"/>
        <v>8877539.600112142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>
      <c r="E133" s="202" t="s">
        <v>437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Ore_to_PI!CW126</f>
        <v>242016.07607977447</v>
      </c>
      <c r="AC133" s="228">
        <f>Ore_to_PI!CW114</f>
        <v>7739.2511800711582</v>
      </c>
      <c r="AD133" s="228">
        <f>Ore_to_PI!CW138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>
      <c r="E134" s="202" t="s">
        <v>432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Ore_to_PI!CW206</f>
        <v>6423206.7384708319</v>
      </c>
      <c r="AF134" s="228">
        <f>Ore_to_PI!CW231</f>
        <v>4034917.433091775</v>
      </c>
      <c r="AG134" s="228">
        <f>Ore_to_PI!CW215</f>
        <v>9096.5158881408915</v>
      </c>
      <c r="AH134" s="228">
        <f>Ore_to_PI!CW248</f>
        <v>20439.369686997401</v>
      </c>
      <c r="AI134" s="228"/>
      <c r="AJ134" s="228"/>
      <c r="AK134" s="228"/>
      <c r="AL134" s="228"/>
      <c r="AM134" s="228"/>
      <c r="AN134" s="228"/>
      <c r="AO134" s="250">
        <f t="shared" si="51"/>
        <v>10487660.057137745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>
      <c r="E135" s="202" t="s">
        <v>665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Ore_to_PI!DQ233</f>
        <v>3946098.143008593</v>
      </c>
      <c r="AJ135" s="228"/>
      <c r="AK135" s="228"/>
      <c r="AL135" s="228"/>
      <c r="AM135" s="228"/>
      <c r="AN135" s="228"/>
      <c r="AO135" s="250">
        <f t="shared" si="51"/>
        <v>3946098.143008593</v>
      </c>
    </row>
    <row r="136" spans="5:67">
      <c r="E136" s="202" t="s">
        <v>668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Ore_to_PI!$EL$233</f>
        <v>3946098.143008593</v>
      </c>
      <c r="AK136" s="228"/>
      <c r="AL136" s="228"/>
      <c r="AM136" s="228"/>
      <c r="AN136" s="228"/>
      <c r="AO136" s="250">
        <f t="shared" si="51"/>
        <v>3946098.143008593</v>
      </c>
    </row>
    <row r="137" spans="5:67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Ore_to_PI!EM126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>
      <c r="E138" s="202" t="s">
        <v>424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Ore_to_PI!FM126</f>
        <v>4157895.2984628798</v>
      </c>
      <c r="AM138" s="228">
        <f>Ore_to_PI!FM141</f>
        <v>400497.80232519103</v>
      </c>
      <c r="AN138" s="228">
        <f>Ore_to_PI!FM104</f>
        <v>67875.356217847453</v>
      </c>
      <c r="AO138" s="250">
        <f t="shared" si="51"/>
        <v>4626268.457005918</v>
      </c>
    </row>
    <row r="139" spans="5:67">
      <c r="E139" s="202"/>
      <c r="F139" s="396" t="s">
        <v>416</v>
      </c>
      <c r="G139" s="396"/>
      <c r="H139" s="396"/>
      <c r="I139" s="396"/>
      <c r="J139" s="396"/>
      <c r="K139" s="396"/>
      <c r="L139" s="396"/>
      <c r="M139" s="396"/>
      <c r="N139" s="396"/>
      <c r="O139" s="396"/>
      <c r="P139" s="396"/>
      <c r="Q139" s="396"/>
      <c r="R139" s="396"/>
      <c r="S139" s="396"/>
      <c r="T139" s="396"/>
      <c r="U139" s="396"/>
      <c r="V139" s="396"/>
      <c r="W139" s="396"/>
      <c r="X139" s="396"/>
      <c r="Y139" s="396"/>
      <c r="Z139" s="396"/>
      <c r="AA139" s="396"/>
      <c r="AB139" s="396"/>
      <c r="AC139" s="396"/>
      <c r="AD139" s="396"/>
      <c r="AE139" s="396"/>
      <c r="AF139" s="396"/>
      <c r="AG139" s="396"/>
      <c r="AH139" s="396"/>
      <c r="AI139" s="396"/>
      <c r="AJ139" s="396"/>
      <c r="AK139" s="396"/>
      <c r="AL139" s="396"/>
      <c r="AM139" s="396"/>
      <c r="AN139" s="396"/>
      <c r="AO139" s="25" t="s">
        <v>461</v>
      </c>
      <c r="AP139" s="25"/>
    </row>
    <row r="140" spans="5:67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>
        <f t="shared" si="52"/>
        <v>8875434.0211273897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>
        <f t="shared" si="52"/>
        <v>8875434.0211273897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>
        <f t="shared" si="52"/>
        <v>8877539.600112142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6423206.7384708319</v>
      </c>
      <c r="AF140" s="250">
        <f t="shared" si="52"/>
        <v>4034917.433091775</v>
      </c>
      <c r="AG140" s="250">
        <f t="shared" si="52"/>
        <v>9096.5158881408915</v>
      </c>
      <c r="AH140" s="250">
        <f t="shared" si="52"/>
        <v>20439.369686997401</v>
      </c>
      <c r="AI140" s="250">
        <f t="shared" si="52"/>
        <v>3946098.143008593</v>
      </c>
      <c r="AJ140" s="250">
        <f t="shared" si="52"/>
        <v>3946098.143008593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400497.80232519103</v>
      </c>
      <c r="AN140" s="250">
        <f t="shared" si="52"/>
        <v>67875.356217847453</v>
      </c>
    </row>
    <row r="141" spans="5:67">
      <c r="E141" s="202"/>
      <c r="F141" s="396" t="s">
        <v>462</v>
      </c>
      <c r="G141" s="396"/>
      <c r="H141" s="396"/>
      <c r="I141" s="396"/>
      <c r="J141" s="396"/>
      <c r="K141" s="396"/>
      <c r="L141" s="396"/>
      <c r="M141" s="396"/>
      <c r="N141" s="396"/>
      <c r="O141" s="396"/>
      <c r="P141" s="396"/>
      <c r="Q141" s="396"/>
      <c r="R141" s="396"/>
      <c r="S141" s="396"/>
      <c r="T141" s="396"/>
      <c r="U141" s="396"/>
      <c r="V141" s="396"/>
      <c r="W141" s="396"/>
      <c r="X141" s="396"/>
      <c r="Y141" s="396"/>
      <c r="Z141" s="396"/>
      <c r="AA141" s="396"/>
      <c r="AB141" s="396"/>
      <c r="AC141" s="396"/>
      <c r="AD141" s="396"/>
      <c r="AE141" s="396"/>
      <c r="AF141" s="396"/>
      <c r="AG141" s="396"/>
      <c r="AH141" s="396"/>
      <c r="AI141" s="396"/>
      <c r="AJ141" s="396"/>
      <c r="AK141" s="396"/>
      <c r="AL141" s="396"/>
      <c r="AM141" s="396"/>
      <c r="AN141" s="396"/>
    </row>
    <row r="142" spans="5:67">
      <c r="E142" s="202"/>
    </row>
    <row r="143" spans="5:67">
      <c r="E143" s="202"/>
    </row>
    <row r="144" spans="5:67">
      <c r="E144" s="202"/>
    </row>
    <row r="145" spans="5:46">
      <c r="E145" s="202"/>
    </row>
    <row r="146" spans="5:46">
      <c r="E146" s="202"/>
    </row>
    <row r="147" spans="5:46">
      <c r="E147" s="202"/>
    </row>
    <row r="148" spans="5:46">
      <c r="E148" s="202"/>
    </row>
    <row r="149" spans="5:46">
      <c r="E149" s="202"/>
    </row>
    <row r="150" spans="5:46">
      <c r="E150" s="202"/>
    </row>
    <row r="151" spans="5:46">
      <c r="E151" s="202"/>
    </row>
    <row r="152" spans="5:46" ht="236">
      <c r="E152" s="202"/>
      <c r="F152" s="205" t="s">
        <v>420</v>
      </c>
      <c r="G152" s="205" t="s">
        <v>422</v>
      </c>
      <c r="H152" s="205" t="s">
        <v>423</v>
      </c>
      <c r="I152" s="205" t="s">
        <v>443</v>
      </c>
      <c r="J152" s="205" t="s">
        <v>473</v>
      </c>
      <c r="K152" s="205" t="s">
        <v>572</v>
      </c>
      <c r="L152" s="205" t="s">
        <v>573</v>
      </c>
      <c r="M152" s="205" t="s">
        <v>515</v>
      </c>
      <c r="N152" s="205" t="s">
        <v>565</v>
      </c>
      <c r="O152" s="207" t="s">
        <v>547</v>
      </c>
      <c r="P152" s="205" t="s">
        <v>513</v>
      </c>
      <c r="Q152" s="207" t="s">
        <v>516</v>
      </c>
      <c r="R152" s="205" t="s">
        <v>542</v>
      </c>
      <c r="S152" s="208" t="s">
        <v>534</v>
      </c>
      <c r="T152" s="205" t="s">
        <v>520</v>
      </c>
      <c r="U152" s="207" t="s">
        <v>546</v>
      </c>
      <c r="V152" s="207" t="s">
        <v>541</v>
      </c>
      <c r="W152" s="207" t="s">
        <v>538</v>
      </c>
      <c r="X152" s="207" t="s">
        <v>544</v>
      </c>
      <c r="Y152" s="208" t="s">
        <v>543</v>
      </c>
      <c r="Z152" s="208" t="s">
        <v>528</v>
      </c>
      <c r="AA152" s="208" t="s">
        <v>562</v>
      </c>
      <c r="AB152" s="208" t="s">
        <v>529</v>
      </c>
      <c r="AC152" s="208" t="s">
        <v>531</v>
      </c>
      <c r="AD152" s="208" t="s">
        <v>530</v>
      </c>
      <c r="AE152" s="208" t="s">
        <v>627</v>
      </c>
      <c r="AF152" s="230" t="s">
        <v>526</v>
      </c>
      <c r="AG152" s="208" t="s">
        <v>525</v>
      </c>
      <c r="AH152" s="205" t="s">
        <v>527</v>
      </c>
      <c r="AI152" s="208" t="s">
        <v>666</v>
      </c>
      <c r="AJ152" s="208" t="s">
        <v>669</v>
      </c>
      <c r="AK152" s="208" t="s">
        <v>550</v>
      </c>
      <c r="AL152" s="208" t="s">
        <v>551</v>
      </c>
      <c r="AM152" s="208" t="s">
        <v>552</v>
      </c>
      <c r="AN152" s="208" t="s">
        <v>563</v>
      </c>
      <c r="AO152" s="208"/>
      <c r="AP152" s="208"/>
    </row>
    <row r="153" spans="5:46">
      <c r="E153" s="202" t="s">
        <v>419</v>
      </c>
      <c r="F153" s="242">
        <f>Ore_to_PI!V42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>
      <c r="E154" s="203" t="s">
        <v>421</v>
      </c>
      <c r="F154" s="242"/>
      <c r="G154" s="242">
        <f>Ore_to_PI!V126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>
      <c r="E155" s="204" t="s">
        <v>444</v>
      </c>
      <c r="F155" s="242"/>
      <c r="G155" s="242"/>
      <c r="H155" s="242">
        <f>Ore_to_PI!V206</f>
        <v>8875434.0211273897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>
      <c r="E156" s="202" t="s">
        <v>479</v>
      </c>
      <c r="F156" s="242"/>
      <c r="G156" s="242"/>
      <c r="H156" s="242"/>
      <c r="I156" s="248" t="e">
        <f>Ore_to_PI!V236+Ore_to_PI!V163+Ore_to_PI!V72+Ore_to_PI!CB232+Ore_to_PI!CB140+Ore_to_PI!EM140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>
      <c r="E157" s="202" t="s">
        <v>472</v>
      </c>
      <c r="F157" s="242"/>
      <c r="G157" s="242"/>
      <c r="H157" s="242"/>
      <c r="I157" s="242"/>
      <c r="J157" s="242">
        <f>Ore_to_PI!EM114+Ore_to_PI!CB152+Ore_to_PI!CB244</f>
        <v>1081609351.3874507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>
      <c r="E158" s="202" t="s">
        <v>575</v>
      </c>
      <c r="F158" s="242"/>
      <c r="G158" s="242"/>
      <c r="H158" s="242"/>
      <c r="I158" s="242"/>
      <c r="J158" s="242"/>
      <c r="K158" s="242" t="e">
        <f>Ore_to_PI!V59+Ore_to_PI!V140+Ore_to_PI!V222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>
      <c r="E159" s="202" t="s">
        <v>574</v>
      </c>
      <c r="F159" s="242"/>
      <c r="G159" s="242"/>
      <c r="H159" s="242"/>
      <c r="I159" s="242"/>
      <c r="J159" s="242"/>
      <c r="K159" s="242"/>
      <c r="L159" s="242">
        <f>Ore_to_PI!V151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>
      <c r="E160" s="202" t="s">
        <v>514</v>
      </c>
      <c r="F160" s="242"/>
      <c r="G160" s="242"/>
      <c r="H160" s="242"/>
      <c r="I160" s="242"/>
      <c r="J160" s="242"/>
      <c r="K160" s="242"/>
      <c r="L160" s="242"/>
      <c r="M160" s="242">
        <f>Ore_to_PI!EM101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>
      <c r="E161" s="202" t="s">
        <v>564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Ore_to_PI!EU117+Ore_to_PI!BM116+Ore_to_PI!AU113+Ore_to_PI!AC195+Ore_to_PI!AU190+Ore_to_PI!BM195+Ore_to_PI!DD229+Ore_to_PI!BN35+Ore_to_PI!AU28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>
      <c r="F162" s="396" t="s">
        <v>57</v>
      </c>
      <c r="G162" s="396"/>
      <c r="H162" s="396"/>
      <c r="I162" s="396"/>
      <c r="J162" s="396"/>
      <c r="K162" s="396"/>
      <c r="L162" s="396"/>
      <c r="M162" s="396"/>
      <c r="N162" s="396"/>
      <c r="O162" s="396"/>
      <c r="P162" s="396"/>
      <c r="Q162" s="396"/>
      <c r="R162" s="396"/>
      <c r="S162" s="396"/>
      <c r="T162" s="396"/>
      <c r="U162" s="396"/>
      <c r="V162" s="396"/>
      <c r="W162" s="396"/>
      <c r="X162" s="396"/>
      <c r="Y162" s="396"/>
      <c r="Z162" s="396"/>
      <c r="AA162" s="396"/>
      <c r="AB162" s="396"/>
      <c r="AC162" s="396"/>
      <c r="AD162" s="396"/>
      <c r="AE162" s="396"/>
      <c r="AF162" s="396"/>
      <c r="AG162" s="396"/>
      <c r="AH162" s="396"/>
      <c r="AI162" s="396"/>
      <c r="AJ162" s="396"/>
      <c r="AK162" s="396"/>
      <c r="AL162" s="396"/>
      <c r="AM162" s="396"/>
      <c r="AN162" s="396"/>
      <c r="AO162" s="25"/>
      <c r="AP162" s="25"/>
    </row>
    <row r="163" spans="5:42">
      <c r="F163" s="250">
        <f t="shared" ref="F163:AN163" si="53">SUM(F153:F161)</f>
        <v>109233.7126431732</v>
      </c>
      <c r="G163" s="250">
        <f t="shared" si="53"/>
        <v>25394.240916408646</v>
      </c>
      <c r="H163" s="250">
        <f t="shared" si="53"/>
        <v>8875434.0211273897</v>
      </c>
      <c r="I163" s="250" t="e">
        <f t="shared" si="53"/>
        <v>#REF!</v>
      </c>
      <c r="J163" s="250">
        <f t="shared" si="53"/>
        <v>1081609351.3874507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>
      <c r="F164" s="396" t="s">
        <v>463</v>
      </c>
      <c r="G164" s="396"/>
      <c r="H164" s="396"/>
      <c r="I164" s="396"/>
      <c r="J164" s="396"/>
      <c r="K164" s="396"/>
      <c r="L164" s="396"/>
      <c r="M164" s="396"/>
      <c r="N164" s="396"/>
      <c r="O164" s="396"/>
      <c r="P164" s="396"/>
      <c r="Q164" s="396"/>
      <c r="R164" s="396"/>
      <c r="S164" s="396"/>
      <c r="T164" s="396"/>
      <c r="U164" s="396"/>
      <c r="V164" s="396"/>
      <c r="W164" s="396"/>
      <c r="X164" s="396"/>
      <c r="Y164" s="396"/>
      <c r="Z164" s="396"/>
      <c r="AA164" s="396"/>
      <c r="AB164" s="396"/>
      <c r="AC164" s="396"/>
      <c r="AD164" s="396"/>
      <c r="AE164" s="396"/>
      <c r="AF164" s="396"/>
      <c r="AG164" s="396"/>
      <c r="AH164" s="396"/>
      <c r="AI164" s="396"/>
      <c r="AJ164" s="396"/>
      <c r="AK164" s="396"/>
      <c r="AL164" s="396"/>
      <c r="AM164" s="396"/>
      <c r="AN164" s="396"/>
      <c r="AO164" s="25"/>
      <c r="AP164" s="25"/>
    </row>
    <row r="168" spans="5:42">
      <c r="F168" s="396" t="s">
        <v>567</v>
      </c>
      <c r="G168" s="396"/>
      <c r="H168" s="396"/>
      <c r="I168" s="396"/>
      <c r="J168" s="396"/>
      <c r="K168" s="396"/>
      <c r="L168" s="396"/>
      <c r="M168" s="396"/>
      <c r="N168" s="396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>
      <c r="E171" s="202" t="s">
        <v>420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>
      <c r="E172" s="202" t="s">
        <v>422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>
      <c r="E173" s="202" t="s">
        <v>423</v>
      </c>
      <c r="F173" s="250">
        <v>8875434.0211273897</v>
      </c>
      <c r="H173" s="250">
        <v>0</v>
      </c>
      <c r="J173" s="250">
        <f t="shared" si="54"/>
        <v>8875434.0211273897</v>
      </c>
      <c r="L173" s="250">
        <v>0</v>
      </c>
      <c r="N173" s="297">
        <f>F173+H173-J173-L173</f>
        <v>0</v>
      </c>
    </row>
    <row r="174" spans="5:42">
      <c r="E174" s="202" t="s">
        <v>443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>
      <c r="E175" s="202" t="s">
        <v>473</v>
      </c>
      <c r="F175" s="250">
        <v>1081609351.3874507</v>
      </c>
      <c r="H175" s="250">
        <v>0</v>
      </c>
      <c r="J175" s="250">
        <f t="shared" si="54"/>
        <v>1081609351.3874507</v>
      </c>
      <c r="L175" s="250">
        <v>0</v>
      </c>
      <c r="N175" s="297">
        <f t="shared" ref="N175:N190" si="55">F175+H175-J175-L175</f>
        <v>0</v>
      </c>
    </row>
    <row r="176" spans="5:42">
      <c r="E176" s="202" t="s">
        <v>572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>
      <c r="E177" s="202" t="s">
        <v>573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>
      <c r="E178" s="202" t="s">
        <v>515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>
      <c r="E179" s="202" t="s">
        <v>565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>
      <c r="E180" s="203" t="s">
        <v>547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>
      <c r="E181" s="202" t="s">
        <v>513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>
      <c r="E182" s="203" t="s">
        <v>516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>
      <c r="E183" s="202" t="s">
        <v>542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>
      <c r="E184" s="204" t="s">
        <v>534</v>
      </c>
      <c r="F184" s="250">
        <v>0</v>
      </c>
      <c r="G184" s="257" t="s">
        <v>467</v>
      </c>
      <c r="H184" s="250">
        <v>8875434.0211273897</v>
      </c>
      <c r="I184" s="169" t="s">
        <v>469</v>
      </c>
      <c r="J184" s="250">
        <f t="shared" si="54"/>
        <v>8875434.0211273897</v>
      </c>
      <c r="K184" s="169" t="s">
        <v>469</v>
      </c>
      <c r="L184" s="250">
        <v>0</v>
      </c>
      <c r="M184" s="257" t="s">
        <v>470</v>
      </c>
      <c r="N184" s="297">
        <f t="shared" si="55"/>
        <v>0</v>
      </c>
    </row>
    <row r="185" spans="5:21">
      <c r="E185" s="202" t="s">
        <v>520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>
      <c r="E186" s="203" t="s">
        <v>546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>
      <c r="E187" s="203" t="s">
        <v>541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>
      <c r="E188" s="203" t="s">
        <v>538</v>
      </c>
      <c r="F188" s="250">
        <v>0</v>
      </c>
      <c r="H188" s="250">
        <v>8875434.0211273897</v>
      </c>
      <c r="J188" s="250">
        <f t="shared" si="54"/>
        <v>8875434.0211273897</v>
      </c>
      <c r="L188" s="250">
        <v>0</v>
      </c>
      <c r="N188" s="297">
        <f t="shared" si="55"/>
        <v>0</v>
      </c>
    </row>
    <row r="189" spans="5:21" ht="16">
      <c r="E189" s="203" t="s">
        <v>544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>
      <c r="E190" s="204" t="s">
        <v>543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>
      <c r="E191" s="204" t="s">
        <v>528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>
      <c r="E192" s="204" t="s">
        <v>562</v>
      </c>
      <c r="F192" s="250">
        <v>0</v>
      </c>
      <c r="H192" s="250">
        <v>8877539.600112142</v>
      </c>
      <c r="J192" s="250">
        <f t="shared" si="54"/>
        <v>8877539.600112142</v>
      </c>
      <c r="L192" s="250">
        <v>0</v>
      </c>
      <c r="N192" s="297">
        <f t="shared" si="56"/>
        <v>0</v>
      </c>
      <c r="Q192" s="25"/>
      <c r="S192" s="25"/>
      <c r="T192" s="25"/>
      <c r="U192" s="25"/>
    </row>
    <row r="193" spans="5:22">
      <c r="E193" s="204" t="s">
        <v>529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>
      <c r="E194" s="204" t="s">
        <v>531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>
      <c r="E195" s="204" t="s">
        <v>530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>
      <c r="E196" s="204" t="s">
        <v>627</v>
      </c>
      <c r="F196" s="250">
        <v>0</v>
      </c>
      <c r="H196" s="250">
        <v>6423206.7384708319</v>
      </c>
      <c r="J196" s="250">
        <f t="shared" si="54"/>
        <v>6423206.7384708319</v>
      </c>
      <c r="L196" s="250">
        <v>0</v>
      </c>
      <c r="N196" s="297">
        <f t="shared" si="56"/>
        <v>0</v>
      </c>
    </row>
    <row r="197" spans="5:22" ht="16">
      <c r="E197" s="251" t="s">
        <v>526</v>
      </c>
      <c r="F197" s="250">
        <v>0</v>
      </c>
      <c r="H197" s="250">
        <v>4034917.433091775</v>
      </c>
      <c r="J197" s="250">
        <f t="shared" si="54"/>
        <v>4034917.433091775</v>
      </c>
      <c r="L197" s="250">
        <v>0</v>
      </c>
      <c r="N197" s="297">
        <f t="shared" si="56"/>
        <v>0</v>
      </c>
    </row>
    <row r="198" spans="5:22">
      <c r="E198" s="204" t="s">
        <v>525</v>
      </c>
      <c r="F198" s="250">
        <v>0</v>
      </c>
      <c r="H198" s="250">
        <v>9096.5158881408915</v>
      </c>
      <c r="J198" s="250">
        <f t="shared" si="54"/>
        <v>0</v>
      </c>
      <c r="L198" s="250">
        <v>9096.5158881408915</v>
      </c>
      <c r="N198" s="297">
        <f t="shared" ref="N198:N205" si="57">F198+H198-J198-L198</f>
        <v>0</v>
      </c>
      <c r="O198" s="25"/>
    </row>
    <row r="199" spans="5:22">
      <c r="E199" s="202" t="s">
        <v>527</v>
      </c>
      <c r="F199" s="250">
        <v>0</v>
      </c>
      <c r="H199" s="250">
        <v>20439.369686997401</v>
      </c>
      <c r="J199" s="250">
        <f t="shared" si="54"/>
        <v>0</v>
      </c>
      <c r="L199" s="250">
        <v>20439.369686997401</v>
      </c>
      <c r="N199" s="297">
        <f t="shared" si="57"/>
        <v>0</v>
      </c>
    </row>
    <row r="200" spans="5:22">
      <c r="E200" s="204" t="s">
        <v>666</v>
      </c>
      <c r="F200" s="250">
        <v>0</v>
      </c>
      <c r="H200" s="250">
        <v>3946098.143008593</v>
      </c>
      <c r="J200" s="250">
        <f t="shared" si="54"/>
        <v>3946098.143008593</v>
      </c>
      <c r="L200" s="250">
        <v>0</v>
      </c>
      <c r="N200" s="297">
        <f t="shared" si="57"/>
        <v>0</v>
      </c>
    </row>
    <row r="201" spans="5:22">
      <c r="E201" s="204" t="s">
        <v>669</v>
      </c>
      <c r="F201" s="250">
        <v>0</v>
      </c>
      <c r="H201" s="250">
        <v>3946098.143008593</v>
      </c>
      <c r="J201" s="250">
        <f t="shared" ref="J201:J205" si="58">BI115</f>
        <v>2762268.7001060145</v>
      </c>
      <c r="L201" s="250" t="e">
        <v>#REF!</v>
      </c>
      <c r="N201" s="297" t="e">
        <f t="shared" si="57"/>
        <v>#REF!</v>
      </c>
    </row>
    <row r="202" spans="5:22">
      <c r="E202" s="204" t="s">
        <v>550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>
      <c r="E203" s="204" t="s">
        <v>551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>
      <c r="E204" s="204" t="s">
        <v>552</v>
      </c>
      <c r="F204" s="250">
        <v>0</v>
      </c>
      <c r="H204" s="250">
        <v>400497.80232519103</v>
      </c>
      <c r="J204" s="250">
        <f t="shared" si="58"/>
        <v>0</v>
      </c>
      <c r="L204" s="250">
        <v>400497.80232519103</v>
      </c>
      <c r="N204" s="297">
        <f t="shared" si="57"/>
        <v>0</v>
      </c>
    </row>
    <row r="205" spans="5:22">
      <c r="E205" s="204" t="s">
        <v>563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>
      <c r="E206" s="204"/>
      <c r="F206" s="3" t="s">
        <v>466</v>
      </c>
      <c r="H206" s="3" t="s">
        <v>468</v>
      </c>
      <c r="J206" s="25" t="s">
        <v>465</v>
      </c>
      <c r="L206" s="25" t="s">
        <v>39</v>
      </c>
      <c r="N206" s="25">
        <v>0</v>
      </c>
    </row>
    <row r="207" spans="5:22">
      <c r="E207" s="204"/>
      <c r="J207" s="25"/>
      <c r="L207" s="25"/>
    </row>
    <row r="208" spans="5:22">
      <c r="E208" s="204"/>
    </row>
    <row r="209" spans="5:18">
      <c r="F209" s="396" t="s">
        <v>633</v>
      </c>
      <c r="G209" s="396"/>
      <c r="H209" s="396"/>
      <c r="I209" s="396"/>
      <c r="J209" s="396"/>
      <c r="O209" s="243"/>
      <c r="P209" s="243"/>
    </row>
    <row r="212" spans="5:18">
      <c r="E212" s="202" t="s">
        <v>412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>
      <c r="E213" s="202" t="s">
        <v>413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>
      <c r="E214" s="202" t="s">
        <v>414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>
      <c r="E215" s="202" t="s">
        <v>561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>
      <c r="E216" s="202" t="s">
        <v>540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>
      <c r="E217" s="202" t="s">
        <v>539</v>
      </c>
      <c r="F217" s="250" t="e">
        <v>#REF!</v>
      </c>
      <c r="H217" s="250">
        <f t="shared" si="59"/>
        <v>8875434.0211273897</v>
      </c>
      <c r="J217" s="250" t="e">
        <f t="shared" si="60"/>
        <v>#REF!</v>
      </c>
    </row>
    <row r="218" spans="5:18">
      <c r="E218" s="202" t="s">
        <v>439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>
      <c r="E219" s="202" t="s">
        <v>436</v>
      </c>
      <c r="F219" s="250">
        <v>25428.919011572762</v>
      </c>
      <c r="G219" s="169" t="s">
        <v>474</v>
      </c>
      <c r="H219" s="250">
        <f t="shared" si="59"/>
        <v>25394.240916408646</v>
      </c>
      <c r="I219" s="169" t="s">
        <v>470</v>
      </c>
      <c r="J219" s="250">
        <f t="shared" si="60"/>
        <v>34.678095164115803</v>
      </c>
    </row>
    <row r="220" spans="5:18">
      <c r="E220" s="202" t="s">
        <v>454</v>
      </c>
      <c r="F220" s="250" t="e">
        <v>#REF!</v>
      </c>
      <c r="H220" s="250">
        <f t="shared" si="59"/>
        <v>8877539.600112142</v>
      </c>
      <c r="J220" s="250" t="e">
        <f t="shared" si="60"/>
        <v>#REF!</v>
      </c>
    </row>
    <row r="221" spans="5:18">
      <c r="E221" s="202" t="s">
        <v>437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>
      <c r="E222" s="202" t="s">
        <v>432</v>
      </c>
      <c r="F222" s="250">
        <v>9797163.8475456443</v>
      </c>
      <c r="H222" s="250">
        <f t="shared" si="59"/>
        <v>10487660.057137745</v>
      </c>
      <c r="J222" s="250">
        <f t="shared" si="60"/>
        <v>-690496.20959210023</v>
      </c>
    </row>
    <row r="223" spans="5:18">
      <c r="E223" s="202" t="s">
        <v>665</v>
      </c>
      <c r="F223" s="250">
        <v>4068174.3455729256</v>
      </c>
      <c r="H223" s="250">
        <f t="shared" si="59"/>
        <v>3946098.143008593</v>
      </c>
      <c r="J223" s="250">
        <f t="shared" si="60"/>
        <v>122076.20256433263</v>
      </c>
    </row>
    <row r="224" spans="5:18">
      <c r="E224" s="202" t="s">
        <v>668</v>
      </c>
      <c r="F224" s="250">
        <v>3946098.143008593</v>
      </c>
      <c r="H224" s="250">
        <f t="shared" si="59"/>
        <v>3946098.143008593</v>
      </c>
      <c r="J224" s="250">
        <f t="shared" si="60"/>
        <v>0</v>
      </c>
    </row>
    <row r="225" spans="5:14">
      <c r="E225" s="202" t="s">
        <v>81</v>
      </c>
      <c r="F225" s="250">
        <v>6754188.6143659409</v>
      </c>
      <c r="H225" s="250">
        <f t="shared" si="59"/>
        <v>7072531.8830895294</v>
      </c>
      <c r="J225" s="250">
        <f t="shared" si="60"/>
        <v>-318343.26872358844</v>
      </c>
    </row>
    <row r="226" spans="5:14">
      <c r="E226" s="202" t="s">
        <v>424</v>
      </c>
      <c r="F226" s="250">
        <v>12701417.910360921</v>
      </c>
      <c r="G226" s="169"/>
      <c r="H226" s="250">
        <f t="shared" si="59"/>
        <v>4626268.457005918</v>
      </c>
      <c r="J226" s="250">
        <f t="shared" si="60"/>
        <v>8075149.4533550031</v>
      </c>
    </row>
    <row r="227" spans="5:14">
      <c r="E227" s="204"/>
      <c r="F227" s="169" t="s">
        <v>464</v>
      </c>
      <c r="G227" s="169"/>
      <c r="H227" s="169" t="s">
        <v>461</v>
      </c>
      <c r="I227" s="169"/>
      <c r="J227" s="169" t="s">
        <v>475</v>
      </c>
    </row>
    <row r="228" spans="5:14">
      <c r="E228" s="204"/>
    </row>
    <row r="229" spans="5:14">
      <c r="E229" s="204"/>
    </row>
    <row r="234" spans="5:14">
      <c r="K234" s="169"/>
      <c r="L234" s="169"/>
      <c r="M234" s="169"/>
      <c r="N234" s="169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>
      <c r="C1" s="205" t="s">
        <v>584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452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668</v>
      </c>
      <c r="BW1" s="205" t="s">
        <v>81</v>
      </c>
      <c r="BX1" s="205" t="s">
        <v>424</v>
      </c>
    </row>
    <row r="2" spans="2:76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>
      <c r="B32" s="204" t="s">
        <v>550</v>
      </c>
      <c r="C32" s="282">
        <v>1</v>
      </c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>
      <c r="B33" s="204" t="s">
        <v>551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>
      <c r="B34" s="204" t="s">
        <v>552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>
      <c r="B35" s="204" t="s">
        <v>563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>
      <c r="C36" s="169" t="s">
        <v>579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>
      <c r="AP37" s="204"/>
      <c r="AQ37" s="396" t="s">
        <v>576</v>
      </c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J37" s="204"/>
      <c r="BK37" s="396" t="s">
        <v>577</v>
      </c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</row>
    <row r="38" spans="2:76">
      <c r="AP38" s="204"/>
      <c r="BJ38" s="204"/>
    </row>
    <row r="39" spans="2:76">
      <c r="AP39" s="204"/>
    </row>
    <row r="40" spans="2:76" ht="11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6">
      <c r="AP41" s="202" t="s">
        <v>420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>
      <c r="AP42" s="202" t="s">
        <v>422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>
      <c r="AP44" s="202" t="s">
        <v>443</v>
      </c>
      <c r="AQ44" s="282">
        <f t="shared" si="1"/>
        <v>0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>
        <f t="shared" si="6"/>
        <v>276.42498466842022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2452.6764338424537</v>
      </c>
    </row>
    <row r="45" spans="2:76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>
        <f t="shared" si="8"/>
        <v>17.691781672574304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>
      <c r="AP46" s="202" t="s">
        <v>572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>
      <c r="AP47" s="202" t="s">
        <v>573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>
      <c r="AP58" s="203" t="s">
        <v>538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>
      <c r="AP59" s="203" t="s">
        <v>544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>
      <c r="AP60" s="204" t="s">
        <v>543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>
      <c r="AP61" s="204" t="s">
        <v>528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>
      <c r="AP62" s="204" t="s">
        <v>562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>
        <f t="shared" si="42"/>
        <v>299.20013327481234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>
      <c r="AP63" s="204" t="s">
        <v>529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>
      <c r="AP64" s="204" t="s">
        <v>531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>
      <c r="AP65" s="204" t="s">
        <v>530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>
      <c r="AP66" s="204" t="s">
        <v>627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203.67821093694866</v>
      </c>
      <c r="BE66" s="282">
        <f t="shared" si="52"/>
        <v>0</v>
      </c>
    </row>
    <row r="67" spans="32:64" ht="16">
      <c r="AP67" s="251" t="s">
        <v>526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>
        <f t="shared" si="53"/>
        <v>46.190156223820267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>
      <c r="AP68" s="204" t="s">
        <v>525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>
      <c r="AP69" s="202" t="s">
        <v>527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>
      <c r="AP70" s="204" t="s">
        <v>666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>
      <c r="AP71" s="204" t="s">
        <v>669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0</v>
      </c>
      <c r="BB71" s="282">
        <f t="shared" si="61"/>
        <v>0</v>
      </c>
      <c r="BC71" s="282">
        <f t="shared" ref="BC71" si="62">BC110</f>
        <v>46.190156223820267</v>
      </c>
      <c r="BD71" s="282">
        <f t="shared" ref="BD71:BE71" si="63">BD111</f>
        <v>0</v>
      </c>
      <c r="BE71" s="282">
        <f t="shared" si="63"/>
        <v>32.333109356674186</v>
      </c>
    </row>
    <row r="72" spans="32:64">
      <c r="AP72" s="204" t="s">
        <v>550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>
      <c r="AP73" s="204" t="s">
        <v>551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>
      <c r="AP74" s="204" t="s">
        <v>552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>
      <c r="AP75" s="204" t="s">
        <v>563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>
      <c r="AP76" s="204"/>
      <c r="AQ76" s="396" t="s">
        <v>578</v>
      </c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</row>
    <row r="80" spans="32:64" ht="112">
      <c r="AF80" s="202"/>
      <c r="AG80" s="202"/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>
      <c r="AF81" s="202"/>
      <c r="AG81" s="202"/>
      <c r="AP81" s="202" t="s">
        <v>420</v>
      </c>
      <c r="AQ81" s="228">
        <f>Ore_to_PI!AN42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420</v>
      </c>
      <c r="BK81" s="242"/>
      <c r="BL81" s="242"/>
      <c r="BM81" s="250">
        <f>SUM(BK81:BL81)</f>
        <v>0</v>
      </c>
    </row>
    <row r="82" spans="32:70">
      <c r="AF82" s="202"/>
      <c r="AG82" s="202"/>
      <c r="AP82" s="202" t="s">
        <v>422</v>
      </c>
      <c r="AQ82" s="228"/>
      <c r="AR82" s="228">
        <f>Ore_to_PI!U126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422</v>
      </c>
      <c r="BK82" s="242"/>
      <c r="BL82" s="242"/>
      <c r="BM82" s="250">
        <f>SUM(BK82:BL82)</f>
        <v>0</v>
      </c>
    </row>
    <row r="83" spans="32:70">
      <c r="AF83" s="202"/>
      <c r="AG83" s="202"/>
      <c r="AP83" s="202" t="s">
        <v>423</v>
      </c>
      <c r="AQ83" s="228"/>
      <c r="AR83" s="228"/>
      <c r="AS83" s="228" t="e">
        <f>Ore_to_PI!U206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423</v>
      </c>
      <c r="BK83" s="242"/>
      <c r="BL83" s="242"/>
      <c r="BM83" s="250">
        <f>SUM(BK83:BL83)</f>
        <v>0</v>
      </c>
    </row>
    <row r="84" spans="32:70">
      <c r="AF84" s="202"/>
      <c r="AG84" s="202"/>
      <c r="AP84" s="202" t="s">
        <v>443</v>
      </c>
      <c r="AQ84" s="228">
        <f>Ore_to_PI!U72</f>
        <v>0</v>
      </c>
      <c r="AR84" s="228">
        <f>Ore_to_PI!U163</f>
        <v>9.0394269236644703E-2</v>
      </c>
      <c r="AS84" s="228" t="e">
        <f>Ore_to_PI!U236</f>
        <v>#REF!</v>
      </c>
      <c r="AT84" s="228"/>
      <c r="AU84" s="228"/>
      <c r="AV84" s="228"/>
      <c r="AW84" s="228"/>
      <c r="AX84" s="228"/>
      <c r="AY84" s="228"/>
      <c r="AZ84" s="228">
        <f>Ore_to_PI!CA140</f>
        <v>356076.147280448</v>
      </c>
      <c r="BA84" s="228">
        <f>Ore_to_PI!CA232</f>
        <v>276.42498466842022</v>
      </c>
      <c r="BB84" s="228"/>
      <c r="BC84" s="228"/>
      <c r="BD84" s="228"/>
      <c r="BE84" s="241">
        <f>Ore_to_PI!EL140</f>
        <v>2452.6764338424537</v>
      </c>
      <c r="BF84" s="250" t="e">
        <f t="shared" si="76"/>
        <v>#REF!</v>
      </c>
      <c r="BJ84" s="202" t="s">
        <v>443</v>
      </c>
      <c r="BK84" s="242"/>
      <c r="BL84" s="242"/>
      <c r="BM84" s="250">
        <f t="shared" ref="BM84:BM88" si="77">SUM(BK84:BL84)</f>
        <v>0</v>
      </c>
    </row>
    <row r="85" spans="32:70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Ore_to_PI!CA152</f>
        <v>20798.316475388398</v>
      </c>
      <c r="BA85" s="228">
        <f>Ore_to_PI!CA244</f>
        <v>17.691781672574304</v>
      </c>
      <c r="BB85" s="228"/>
      <c r="BC85" s="228"/>
      <c r="BD85" s="228"/>
      <c r="BE85" s="228">
        <f>Ore_to_PI!EL114</f>
        <v>44.774669200794314</v>
      </c>
      <c r="BF85" s="250">
        <f t="shared" si="76"/>
        <v>20860.782926261763</v>
      </c>
      <c r="BJ85" s="202" t="s">
        <v>473</v>
      </c>
      <c r="BK85" s="242"/>
      <c r="BL85" s="242"/>
      <c r="BM85" s="250">
        <f t="shared" si="77"/>
        <v>0</v>
      </c>
    </row>
    <row r="86" spans="32:70">
      <c r="AF86" s="202"/>
      <c r="AG86" s="202"/>
      <c r="AP86" s="202" t="s">
        <v>572</v>
      </c>
      <c r="AQ86" s="228">
        <f>Ore_to_PI!U59</f>
        <v>2.0694989883749622</v>
      </c>
      <c r="AR86" s="228">
        <f>Ore_to_PI!U140</f>
        <v>5.671161105764883E-3</v>
      </c>
      <c r="AS86" s="228" t="e">
        <f>Ore_to_PI!U222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572</v>
      </c>
      <c r="BK86" s="242"/>
      <c r="BL86" s="242"/>
      <c r="BM86" s="250">
        <f t="shared" si="77"/>
        <v>0</v>
      </c>
    </row>
    <row r="87" spans="32:70">
      <c r="AF87" s="202"/>
      <c r="AG87" s="202"/>
      <c r="AP87" s="202" t="s">
        <v>573</v>
      </c>
      <c r="AQ87" s="228"/>
      <c r="AR87" s="228">
        <f>Ore_to_PI!U151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573</v>
      </c>
      <c r="BK87" s="242"/>
      <c r="BL87" s="242"/>
      <c r="BM87" s="250">
        <f t="shared" si="77"/>
        <v>0</v>
      </c>
    </row>
    <row r="88" spans="32:70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Ore_to_PI!EL101</f>
        <v>4.8979947555174279</v>
      </c>
      <c r="BF88" s="250">
        <f t="shared" si="76"/>
        <v>4.8979947555174279</v>
      </c>
      <c r="BJ88" s="202" t="s">
        <v>515</v>
      </c>
      <c r="BK88" s="242"/>
      <c r="BL88" s="242"/>
      <c r="BM88" s="250">
        <f t="shared" si="77"/>
        <v>0</v>
      </c>
    </row>
    <row r="89" spans="32:70">
      <c r="AF89" s="244"/>
      <c r="AG89" s="244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565</v>
      </c>
      <c r="BK89" s="242"/>
      <c r="BL89" s="242"/>
      <c r="BM89" s="250">
        <f t="shared" ref="BM89:BM95" si="78">SUM(BK89:BL89)</f>
        <v>0</v>
      </c>
    </row>
    <row r="90" spans="32:70" ht="16">
      <c r="AF90" s="203"/>
      <c r="AG90" s="203"/>
      <c r="AP90" s="203" t="s">
        <v>547</v>
      </c>
      <c r="AQ90" s="228"/>
      <c r="AR90" s="228"/>
      <c r="AS90" s="228"/>
      <c r="AT90" s="228">
        <f>Ore_to_PI!AN42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547</v>
      </c>
      <c r="BK90" s="242"/>
      <c r="BL90" s="242"/>
      <c r="BM90" s="250">
        <f t="shared" si="78"/>
        <v>0</v>
      </c>
    </row>
    <row r="91" spans="32:70">
      <c r="AF91" s="204"/>
      <c r="AG91" s="204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513</v>
      </c>
      <c r="BK91" s="242"/>
      <c r="BL91" s="242">
        <f>Ore_to_PI!AN63</f>
        <v>32.219926549044033</v>
      </c>
      <c r="BM91" s="250">
        <f t="shared" si="78"/>
        <v>32.219926549044033</v>
      </c>
    </row>
    <row r="92" spans="32:70" ht="16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516</v>
      </c>
      <c r="BK92" s="242"/>
      <c r="BL92" s="246"/>
      <c r="BM92" s="250">
        <f t="shared" si="78"/>
        <v>0</v>
      </c>
    </row>
    <row r="93" spans="32:70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542</v>
      </c>
      <c r="BK93" s="242"/>
      <c r="BL93" s="242">
        <f>Ore_to_PI!AO142</f>
        <v>9.658257192857822E-2</v>
      </c>
      <c r="BM93" s="250">
        <f t="shared" si="78"/>
        <v>9.658257192857822E-2</v>
      </c>
    </row>
    <row r="94" spans="32:70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534</v>
      </c>
      <c r="BK94" s="242"/>
      <c r="BL94" s="242"/>
      <c r="BM94" s="250">
        <f t="shared" si="78"/>
        <v>0</v>
      </c>
    </row>
    <row r="95" spans="32:70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520</v>
      </c>
      <c r="BK95" s="242"/>
      <c r="BL95" s="242" t="e">
        <f>Ore_to_PI!AO227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546</v>
      </c>
      <c r="BK96" s="242"/>
      <c r="BL96" s="242"/>
      <c r="BM96" s="250">
        <f t="shared" ref="BM96:BM115" si="79">SUM(BK96:BL96)</f>
        <v>0</v>
      </c>
    </row>
    <row r="97" spans="32:65" ht="16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541</v>
      </c>
      <c r="BK97" s="242"/>
      <c r="BL97" s="242"/>
      <c r="BM97" s="250">
        <f t="shared" si="79"/>
        <v>0</v>
      </c>
    </row>
    <row r="98" spans="32:65" ht="16">
      <c r="AF98" s="251"/>
      <c r="AG98" s="251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538</v>
      </c>
      <c r="BK98" s="242"/>
      <c r="BL98" s="242"/>
      <c r="BM98" s="250">
        <f t="shared" si="79"/>
        <v>0</v>
      </c>
    </row>
    <row r="99" spans="32:65" ht="16">
      <c r="AF99" s="204"/>
      <c r="AG99" s="204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544</v>
      </c>
      <c r="BK99" s="242"/>
      <c r="BL99" s="242"/>
      <c r="BM99" s="250">
        <f t="shared" si="79"/>
        <v>0</v>
      </c>
    </row>
    <row r="100" spans="32:65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543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528</v>
      </c>
      <c r="BK101" s="242"/>
      <c r="BL101" s="242"/>
      <c r="BM101" s="250">
        <f t="shared" si="79"/>
        <v>0</v>
      </c>
    </row>
    <row r="102" spans="32:65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Ore_to_PI!CA206</f>
        <v>299.20013327481234</v>
      </c>
      <c r="BB102" s="228"/>
      <c r="BC102" s="228"/>
      <c r="BD102" s="228"/>
      <c r="BE102" s="228"/>
      <c r="BF102" s="250">
        <f t="shared" si="76"/>
        <v>299.20013327481234</v>
      </c>
      <c r="BJ102" s="204" t="s">
        <v>562</v>
      </c>
      <c r="BK102" s="242"/>
      <c r="BL102" s="242"/>
      <c r="BM102" s="250">
        <f t="shared" si="79"/>
        <v>0</v>
      </c>
    </row>
    <row r="103" spans="32:65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Ore_to_PI!CV126</f>
        <v>111.00813284002646</v>
      </c>
      <c r="BE103" s="228"/>
      <c r="BF103" s="250">
        <f t="shared" si="76"/>
        <v>111.00813284002646</v>
      </c>
      <c r="BJ103" s="204" t="s">
        <v>529</v>
      </c>
      <c r="BK103" s="242"/>
      <c r="BL103" s="242"/>
      <c r="BM103" s="250">
        <f t="shared" si="79"/>
        <v>0</v>
      </c>
    </row>
    <row r="104" spans="32:65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531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530</v>
      </c>
      <c r="BK105" s="242"/>
      <c r="BL105" s="242">
        <f>Ore_to_PI!CV138</f>
        <v>376967.02647382859</v>
      </c>
      <c r="BM105" s="250">
        <f t="shared" si="79"/>
        <v>376967.02647382859</v>
      </c>
    </row>
    <row r="106" spans="32:65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Ore_to_PI!CV206</f>
        <v>203.67821093694866</v>
      </c>
      <c r="BE106" s="228"/>
      <c r="BF106" s="250">
        <f t="shared" si="76"/>
        <v>203.67821093694866</v>
      </c>
      <c r="BJ106" s="204" t="s">
        <v>627</v>
      </c>
      <c r="BK106" s="242"/>
      <c r="BL106" s="242"/>
      <c r="BM106" s="250">
        <f t="shared" si="79"/>
        <v>0</v>
      </c>
    </row>
    <row r="107" spans="32:65" ht="16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Ore_to_PI!CV231</f>
        <v>46.190156223820267</v>
      </c>
      <c r="BC107" s="228"/>
      <c r="BD107" s="228"/>
      <c r="BE107" s="228"/>
      <c r="BF107" s="250">
        <f t="shared" si="76"/>
        <v>46.190156223820267</v>
      </c>
      <c r="BJ107" s="251" t="s">
        <v>526</v>
      </c>
      <c r="BK107" s="242"/>
      <c r="BL107" s="242"/>
      <c r="BM107" s="250">
        <f t="shared" si="79"/>
        <v>0</v>
      </c>
    </row>
    <row r="108" spans="32:65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525</v>
      </c>
      <c r="BK108" s="242"/>
      <c r="BL108" s="242">
        <f>Beneficiation_CoalWaste</f>
        <v>25.30269587260743</v>
      </c>
      <c r="BM108" s="250">
        <f t="shared" si="79"/>
        <v>25.30269587260743</v>
      </c>
    </row>
    <row r="109" spans="32:65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527</v>
      </c>
      <c r="BK109" s="242"/>
      <c r="BL109" s="242">
        <f>Ore_to_PI!CV248</f>
        <v>298.07604476107082</v>
      </c>
      <c r="BM109" s="250">
        <f t="shared" si="79"/>
        <v>298.07604476107082</v>
      </c>
    </row>
    <row r="110" spans="32:65">
      <c r="AF110" s="204"/>
      <c r="AG110" s="204"/>
      <c r="AP110" s="204" t="s">
        <v>523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Ore_to_PI!$DP$233</f>
        <v>46.190156223820267</v>
      </c>
      <c r="BD110" s="228"/>
      <c r="BE110" s="241"/>
      <c r="BF110" s="250">
        <f t="shared" si="76"/>
        <v>46.190156223820267</v>
      </c>
      <c r="BJ110" s="204" t="s">
        <v>666</v>
      </c>
      <c r="BK110" s="242"/>
      <c r="BL110" s="242"/>
      <c r="BM110" s="250">
        <f t="shared" si="79"/>
        <v>0</v>
      </c>
    </row>
    <row r="111" spans="32:65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Ore_to_PI!$CA$225</f>
        <v>0</v>
      </c>
      <c r="BB111" s="228"/>
      <c r="BC111" s="228"/>
      <c r="BD111" s="228"/>
      <c r="BE111" s="241">
        <f>Ore_to_PI!$EL$152</f>
        <v>32.333109356674186</v>
      </c>
      <c r="BF111" s="250">
        <f t="shared" si="76"/>
        <v>32.333109356674186</v>
      </c>
      <c r="BJ111" s="204" t="s">
        <v>669</v>
      </c>
      <c r="BK111" s="242">
        <f>Ore_to_PI!$FF$233</f>
        <v>6.9285234335730408</v>
      </c>
      <c r="BL111" s="242"/>
      <c r="BM111" s="250">
        <f t="shared" si="79"/>
        <v>6.9285234335730408</v>
      </c>
    </row>
    <row r="112" spans="32:65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Ore_to_PI!EL126</f>
        <v>1309.8157778632656</v>
      </c>
      <c r="BF112" s="250">
        <f t="shared" si="76"/>
        <v>1309.8157778632656</v>
      </c>
      <c r="BJ112" s="204" t="s">
        <v>550</v>
      </c>
      <c r="BK112" s="242"/>
      <c r="BL112" s="242"/>
      <c r="BM112" s="250">
        <f t="shared" si="79"/>
        <v>0</v>
      </c>
    </row>
    <row r="113" spans="2:65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551</v>
      </c>
      <c r="BK113" s="242">
        <f>Ore_to_PI!FL126</f>
        <v>616.23583583508366</v>
      </c>
      <c r="BL113" s="242"/>
      <c r="BM113" s="250">
        <f t="shared" si="79"/>
        <v>616.23583583508366</v>
      </c>
    </row>
    <row r="114" spans="2:65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552</v>
      </c>
      <c r="BK114" s="242"/>
      <c r="BL114" s="242">
        <f>Ore_to_PI!FL141</f>
        <v>2998.3140163435951</v>
      </c>
      <c r="BM114" s="250">
        <f t="shared" si="79"/>
        <v>2998.3140163435951</v>
      </c>
    </row>
    <row r="115" spans="2:65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563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>
      <c r="AF116" s="204"/>
      <c r="AG116" s="204"/>
      <c r="AP116" s="204"/>
      <c r="AQ116" s="396" t="s">
        <v>415</v>
      </c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  <c r="BB116" s="396"/>
      <c r="BC116" s="396"/>
      <c r="BD116" s="396"/>
      <c r="BE116" s="396"/>
      <c r="BF116" s="25" t="s">
        <v>465</v>
      </c>
      <c r="BK116" s="396" t="s">
        <v>417</v>
      </c>
      <c r="BL116" s="396"/>
      <c r="BM116" s="25" t="s">
        <v>480</v>
      </c>
    </row>
    <row r="117" spans="2:65">
      <c r="AF117" s="204"/>
      <c r="AG117" s="204"/>
      <c r="AP117" s="204"/>
      <c r="AQ117" s="250">
        <f t="shared" ref="AQ117:BE117" si="80">SUM(AQ81:AQ115)</f>
        <v>1013.8369649902802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>
        <f t="shared" si="80"/>
        <v>593.31689961580685</v>
      </c>
      <c r="BB117" s="250">
        <f t="shared" si="80"/>
        <v>46.190156223820267</v>
      </c>
      <c r="BC117" s="250">
        <f t="shared" si="80"/>
        <v>46.190156223820267</v>
      </c>
      <c r="BD117" s="250">
        <f t="shared" si="80"/>
        <v>1314.6863437769753</v>
      </c>
      <c r="BE117" s="250">
        <f t="shared" si="80"/>
        <v>3844.4979850187055</v>
      </c>
      <c r="BF117" s="25"/>
      <c r="BK117" s="25"/>
      <c r="BL117" s="25"/>
      <c r="BM117" s="25"/>
    </row>
    <row r="118" spans="2:65">
      <c r="AF118" s="204"/>
      <c r="AG118" s="204"/>
      <c r="AP118" s="204"/>
      <c r="AQ118" s="396" t="s">
        <v>464</v>
      </c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396"/>
      <c r="BD118" s="396"/>
      <c r="BE118" s="396"/>
      <c r="BF118" s="25"/>
      <c r="BK118" s="25"/>
      <c r="BL118" s="25"/>
      <c r="BM118" s="25"/>
    </row>
    <row r="119" spans="2:65" ht="13" customHeight="1">
      <c r="C119" s="397"/>
      <c r="D119" s="397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>
      <c r="B120" s="238"/>
      <c r="C120" s="205" t="s">
        <v>420</v>
      </c>
      <c r="D120" s="205" t="s">
        <v>422</v>
      </c>
      <c r="E120" s="205" t="s">
        <v>423</v>
      </c>
      <c r="F120" s="205" t="s">
        <v>443</v>
      </c>
      <c r="G120" s="205" t="s">
        <v>473</v>
      </c>
      <c r="H120" s="205" t="s">
        <v>511</v>
      </c>
      <c r="I120" s="205" t="s">
        <v>572</v>
      </c>
      <c r="J120" s="205" t="s">
        <v>573</v>
      </c>
      <c r="K120" s="205" t="s">
        <v>565</v>
      </c>
      <c r="L120" s="207" t="s">
        <v>547</v>
      </c>
      <c r="M120" s="205" t="s">
        <v>513</v>
      </c>
      <c r="N120" s="207" t="s">
        <v>516</v>
      </c>
      <c r="O120" s="205" t="s">
        <v>542</v>
      </c>
      <c r="P120" s="208" t="s">
        <v>534</v>
      </c>
      <c r="Q120" s="205" t="s">
        <v>520</v>
      </c>
      <c r="R120" s="207" t="s">
        <v>546</v>
      </c>
      <c r="S120" s="207" t="s">
        <v>541</v>
      </c>
      <c r="T120" s="207" t="s">
        <v>538</v>
      </c>
      <c r="U120" s="207" t="s">
        <v>544</v>
      </c>
      <c r="V120" s="208" t="s">
        <v>543</v>
      </c>
      <c r="W120" s="208" t="s">
        <v>528</v>
      </c>
      <c r="X120" s="208" t="s">
        <v>562</v>
      </c>
      <c r="Y120" s="208" t="s">
        <v>529</v>
      </c>
      <c r="Z120" s="208" t="s">
        <v>531</v>
      </c>
      <c r="AA120" s="208" t="s">
        <v>530</v>
      </c>
      <c r="AB120" s="208" t="s">
        <v>627</v>
      </c>
      <c r="AC120" s="230" t="s">
        <v>526</v>
      </c>
      <c r="AD120" s="208" t="s">
        <v>525</v>
      </c>
      <c r="AE120" s="205" t="s">
        <v>527</v>
      </c>
      <c r="AF120" s="208" t="s">
        <v>666</v>
      </c>
      <c r="AG120" s="208" t="s">
        <v>669</v>
      </c>
      <c r="AH120" s="208" t="s">
        <v>550</v>
      </c>
      <c r="AI120" s="208" t="s">
        <v>551</v>
      </c>
      <c r="AJ120" s="208" t="s">
        <v>552</v>
      </c>
      <c r="AK120" s="208" t="s">
        <v>563</v>
      </c>
      <c r="AP120" s="204"/>
      <c r="BK120" s="25"/>
      <c r="BL120" s="25"/>
    </row>
    <row r="121" spans="2:65">
      <c r="B121" s="202" t="s">
        <v>412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Ore_to_PI!U42</f>
        <v>1011.7674660019052</v>
      </c>
      <c r="M121" s="228">
        <f>Ore_to_PI!$AN$63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>
      <c r="B122" s="202" t="s">
        <v>413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Ore_to_PI!AO126</f>
        <v>208.55560337725498</v>
      </c>
      <c r="O122" s="228">
        <f>Ore_to_PI!$AO$142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>
      <c r="B123" s="202" t="s">
        <v>414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Ore_to_PI!$AO$206</f>
        <v>#REF!</v>
      </c>
      <c r="Q123" s="228" t="e">
        <f>Ore_to_PI!$AO$227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>
      <c r="B124" s="202" t="s">
        <v>561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Ore_to_PI!$BG$42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>
      <c r="B125" s="202" t="s">
        <v>540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Ore_to_PI!$BH$126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>
      <c r="B126" s="202" t="s">
        <v>539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Ore_to_PI!$BH$206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>
      <c r="B127" s="202" t="s">
        <v>439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Ore_to_PI!$BZ$42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>
      <c r="B128" s="202" t="s">
        <v>436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Ore_to_PI!$CA$126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>
      <c r="B129" s="202" t="s">
        <v>454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>
        <f>Ore_to_PI!$CA$206</f>
        <v>299.20013327481234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81"/>
        <v>299.20013327481234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>
      <c r="B130" s="202" t="s">
        <v>437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Ore_to_PI!$CV$126</f>
        <v>111.00813284002646</v>
      </c>
      <c r="Z130" s="228">
        <f>Kiln_SolidWaste</f>
        <v>4.9847525450981189</v>
      </c>
      <c r="AA130" s="228">
        <f>Ore_to_PI!$CV$138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>
      <c r="B131" s="202" t="s">
        <v>432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Ore_to_PI!$CV$206</f>
        <v>203.67821093694866</v>
      </c>
      <c r="AC131" s="228">
        <f>Ore_to_PI!$CV$231</f>
        <v>46.190156223820267</v>
      </c>
      <c r="AD131" s="228">
        <f>Beneficiation_CoalWaste</f>
        <v>25.30269587260743</v>
      </c>
      <c r="AE131" s="228">
        <f>Ore_to_PI!$CV$248</f>
        <v>298.07604476107082</v>
      </c>
      <c r="AF131" s="228"/>
      <c r="AG131" s="228"/>
      <c r="AH131" s="228"/>
      <c r="AI131" s="228"/>
      <c r="AJ131" s="228"/>
      <c r="AK131" s="228"/>
      <c r="AL131" s="250">
        <f t="shared" si="81"/>
        <v>573.24710779444717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>
      <c r="B132" s="202" t="s">
        <v>665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Ore_to_PI!$DP$233</f>
        <v>46.190156223820267</v>
      </c>
      <c r="AG132" s="228"/>
      <c r="AH132" s="228"/>
      <c r="AI132" s="228"/>
      <c r="AJ132" s="228"/>
      <c r="AK132" s="228"/>
      <c r="AL132" s="250">
        <f t="shared" si="81"/>
        <v>46.190156223820267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>
      <c r="B133" s="202" t="s">
        <v>668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Ore_to_PI!$EK$233</f>
        <v>46.190156223820267</v>
      </c>
      <c r="AH133" s="228"/>
      <c r="AI133" s="228"/>
      <c r="AJ133" s="228"/>
      <c r="AK133" s="228"/>
      <c r="AL133" s="250">
        <f t="shared" si="81"/>
        <v>46.190156223820267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Ore_to_PI!$EL$126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>
      <c r="B135" s="202" t="s">
        <v>424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Ore_to_PI!$FL$126</f>
        <v>616.23583583508366</v>
      </c>
      <c r="AJ135" s="228">
        <f>Ore_to_PI!$FL$141</f>
        <v>2998.3140163435951</v>
      </c>
      <c r="AK135" s="228">
        <f>BF_SolidWaste</f>
        <v>229.94813284002646</v>
      </c>
      <c r="AL135" s="250">
        <f t="shared" si="81"/>
        <v>3844.4979850187051</v>
      </c>
    </row>
    <row r="136" spans="2:64">
      <c r="B136" s="202"/>
      <c r="C136" s="396" t="s">
        <v>416</v>
      </c>
      <c r="D136" s="396"/>
      <c r="E136" s="396"/>
      <c r="F136" s="396"/>
      <c r="G136" s="396"/>
      <c r="H136" s="396"/>
      <c r="I136" s="396"/>
      <c r="J136" s="396"/>
      <c r="K136" s="396"/>
      <c r="L136" s="396"/>
      <c r="M136" s="396"/>
      <c r="N136" s="396"/>
      <c r="O136" s="396"/>
      <c r="P136" s="396"/>
      <c r="Q136" s="396"/>
      <c r="R136" s="396"/>
      <c r="S136" s="396"/>
      <c r="T136" s="396"/>
      <c r="U136" s="396"/>
      <c r="V136" s="396"/>
      <c r="W136" s="396"/>
      <c r="X136" s="396"/>
      <c r="Y136" s="396"/>
      <c r="Z136" s="396"/>
      <c r="AA136" s="396"/>
      <c r="AB136" s="396"/>
      <c r="AC136" s="396"/>
      <c r="AD136" s="396"/>
      <c r="AE136" s="396"/>
      <c r="AF136" s="396"/>
      <c r="AG136" s="396"/>
      <c r="AH136" s="396"/>
      <c r="AI136" s="396"/>
      <c r="AJ136" s="396"/>
      <c r="AK136" s="396"/>
      <c r="AL136" s="25" t="s">
        <v>461</v>
      </c>
      <c r="AM136" s="25"/>
    </row>
    <row r="137" spans="2:64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>
        <f t="shared" si="82"/>
        <v>299.20013327481234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203.67821093694866</v>
      </c>
      <c r="AC137" s="250">
        <f t="shared" si="82"/>
        <v>46.190156223820267</v>
      </c>
      <c r="AD137" s="250">
        <f t="shared" si="82"/>
        <v>25.30269587260743</v>
      </c>
      <c r="AE137" s="250">
        <f t="shared" si="82"/>
        <v>298.07604476107082</v>
      </c>
      <c r="AF137" s="250">
        <f t="shared" si="82"/>
        <v>46.190156223820267</v>
      </c>
      <c r="AG137" s="250">
        <f t="shared" si="82"/>
        <v>46.190156223820267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2998.3140163435951</v>
      </c>
      <c r="AK137" s="250">
        <f t="shared" si="82"/>
        <v>229.94813284002646</v>
      </c>
    </row>
    <row r="138" spans="2:64">
      <c r="B138" s="202"/>
      <c r="C138" s="396" t="s">
        <v>462</v>
      </c>
      <c r="D138" s="396"/>
      <c r="E138" s="396"/>
      <c r="F138" s="396"/>
      <c r="G138" s="396"/>
      <c r="H138" s="396"/>
      <c r="I138" s="396"/>
      <c r="J138" s="396"/>
      <c r="K138" s="396"/>
      <c r="L138" s="396"/>
      <c r="M138" s="396"/>
      <c r="N138" s="396"/>
      <c r="O138" s="396"/>
      <c r="P138" s="396"/>
      <c r="Q138" s="396"/>
      <c r="R138" s="396"/>
      <c r="S138" s="396"/>
      <c r="T138" s="396"/>
      <c r="U138" s="396"/>
      <c r="V138" s="396"/>
      <c r="W138" s="396"/>
      <c r="X138" s="396"/>
      <c r="Y138" s="396"/>
      <c r="Z138" s="396"/>
      <c r="AA138" s="396"/>
      <c r="AB138" s="396"/>
      <c r="AC138" s="396"/>
      <c r="AD138" s="396"/>
      <c r="AE138" s="396"/>
      <c r="AF138" s="396"/>
      <c r="AG138" s="396"/>
      <c r="AH138" s="396"/>
      <c r="AI138" s="396"/>
      <c r="AJ138" s="396"/>
      <c r="AK138" s="396"/>
    </row>
    <row r="139" spans="2:64">
      <c r="B139" s="202"/>
    </row>
    <row r="140" spans="2:64">
      <c r="B140" s="202"/>
    </row>
    <row r="141" spans="2:64">
      <c r="B141" s="202"/>
    </row>
    <row r="142" spans="2:64">
      <c r="B142" s="202"/>
    </row>
    <row r="143" spans="2:64">
      <c r="B143" s="202"/>
    </row>
    <row r="144" spans="2:64">
      <c r="B144" s="202"/>
    </row>
    <row r="145" spans="2:43">
      <c r="B145" s="202"/>
    </row>
    <row r="146" spans="2:43">
      <c r="B146" s="202"/>
    </row>
    <row r="147" spans="2:43">
      <c r="B147" s="202"/>
    </row>
    <row r="148" spans="2:43">
      <c r="B148" s="202"/>
    </row>
    <row r="149" spans="2:43" ht="236">
      <c r="B149" s="202"/>
      <c r="C149" s="205" t="s">
        <v>420</v>
      </c>
      <c r="D149" s="205" t="s">
        <v>422</v>
      </c>
      <c r="E149" s="205" t="s">
        <v>423</v>
      </c>
      <c r="F149" s="205" t="s">
        <v>443</v>
      </c>
      <c r="G149" s="205" t="s">
        <v>473</v>
      </c>
      <c r="H149" s="205" t="s">
        <v>511</v>
      </c>
      <c r="I149" s="205" t="s">
        <v>572</v>
      </c>
      <c r="J149" s="205" t="s">
        <v>573</v>
      </c>
      <c r="K149" s="205" t="s">
        <v>565</v>
      </c>
      <c r="L149" s="207" t="s">
        <v>547</v>
      </c>
      <c r="M149" s="205" t="s">
        <v>513</v>
      </c>
      <c r="N149" s="207" t="s">
        <v>516</v>
      </c>
      <c r="O149" s="205" t="s">
        <v>542</v>
      </c>
      <c r="P149" s="208" t="s">
        <v>534</v>
      </c>
      <c r="Q149" s="205" t="s">
        <v>520</v>
      </c>
      <c r="R149" s="207" t="s">
        <v>546</v>
      </c>
      <c r="S149" s="207" t="s">
        <v>541</v>
      </c>
      <c r="T149" s="207" t="s">
        <v>538</v>
      </c>
      <c r="U149" s="207" t="s">
        <v>544</v>
      </c>
      <c r="V149" s="208" t="s">
        <v>543</v>
      </c>
      <c r="W149" s="208" t="s">
        <v>528</v>
      </c>
      <c r="X149" s="208" t="s">
        <v>562</v>
      </c>
      <c r="Y149" s="208" t="s">
        <v>529</v>
      </c>
      <c r="Z149" s="208" t="s">
        <v>531</v>
      </c>
      <c r="AA149" s="208" t="s">
        <v>530</v>
      </c>
      <c r="AB149" s="208" t="s">
        <v>627</v>
      </c>
      <c r="AC149" s="230" t="s">
        <v>526</v>
      </c>
      <c r="AD149" s="208" t="s">
        <v>525</v>
      </c>
      <c r="AE149" s="205" t="s">
        <v>527</v>
      </c>
      <c r="AF149" s="208" t="s">
        <v>666</v>
      </c>
      <c r="AG149" s="208" t="s">
        <v>669</v>
      </c>
      <c r="AH149" s="208" t="s">
        <v>550</v>
      </c>
      <c r="AI149" s="208" t="s">
        <v>551</v>
      </c>
      <c r="AJ149" s="208" t="s">
        <v>552</v>
      </c>
      <c r="AK149" s="208" t="s">
        <v>563</v>
      </c>
      <c r="AL149" s="208"/>
      <c r="AM149" s="208"/>
    </row>
    <row r="150" spans="2:43">
      <c r="B150" s="202" t="s">
        <v>419</v>
      </c>
      <c r="C150" s="242">
        <f>Ore_to_PI!U42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>
      <c r="B151" s="203" t="s">
        <v>421</v>
      </c>
      <c r="C151" s="242"/>
      <c r="D151" s="242">
        <f>Ore_to_PI!U126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>
      <c r="B152" s="204" t="s">
        <v>444</v>
      </c>
      <c r="C152" s="242"/>
      <c r="D152" s="242"/>
      <c r="E152" s="242" t="e">
        <f>Ore_to_PI!U206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>
      <c r="B153" s="202" t="s">
        <v>479</v>
      </c>
      <c r="C153" s="242"/>
      <c r="D153" s="242"/>
      <c r="E153" s="242"/>
      <c r="F153" s="248" t="e">
        <f>Ore_to_PI!EL140+Ore_to_PI!CA140+Ore_to_PI!U163+Ore_to_PI!U72+Ore_to_PI!CA232+Ore_to_PI!U236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>
      <c r="B154" s="202" t="s">
        <v>472</v>
      </c>
      <c r="C154" s="242"/>
      <c r="D154" s="242"/>
      <c r="E154" s="242"/>
      <c r="F154" s="242"/>
      <c r="G154" s="242">
        <f>Ore_to_PI!EL114+Ore_to_PI!CA152+Ore_to_PI!CA244</f>
        <v>20860.782926261763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>
      <c r="B155" s="202" t="s">
        <v>575</v>
      </c>
      <c r="C155" s="242"/>
      <c r="D155" s="242"/>
      <c r="E155" s="242"/>
      <c r="F155" s="242"/>
      <c r="G155" s="242"/>
      <c r="H155" s="242" t="e">
        <f>Ore_to_PI!U222+Ore_to_PI!U140+Ore_to_PI!U59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>
      <c r="B156" s="202" t="s">
        <v>574</v>
      </c>
      <c r="C156" s="242"/>
      <c r="D156" s="242"/>
      <c r="E156" s="242"/>
      <c r="F156" s="242"/>
      <c r="G156" s="242"/>
      <c r="H156" s="242"/>
      <c r="I156" s="242">
        <f>Ore_to_PI!U151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>
      <c r="B157" s="202" t="s">
        <v>514</v>
      </c>
      <c r="C157" s="242"/>
      <c r="D157" s="242"/>
      <c r="E157" s="242"/>
      <c r="F157" s="242"/>
      <c r="G157" s="242"/>
      <c r="H157" s="242"/>
      <c r="I157" s="242"/>
      <c r="J157" s="242">
        <f>Ore_to_PI!$EL$101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>
      <c r="B158" s="202" t="s">
        <v>564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>
      <c r="C159" s="396" t="s">
        <v>57</v>
      </c>
      <c r="D159" s="396"/>
      <c r="E159" s="396"/>
      <c r="F159" s="396"/>
      <c r="G159" s="396"/>
      <c r="H159" s="396"/>
      <c r="I159" s="396"/>
      <c r="J159" s="396"/>
      <c r="K159" s="396"/>
      <c r="L159" s="396"/>
      <c r="M159" s="396"/>
      <c r="N159" s="396"/>
      <c r="O159" s="396"/>
      <c r="P159" s="396"/>
      <c r="Q159" s="396"/>
      <c r="R159" s="396"/>
      <c r="S159" s="396"/>
      <c r="T159" s="396"/>
      <c r="U159" s="396"/>
      <c r="V159" s="396"/>
      <c r="W159" s="396"/>
      <c r="X159" s="396"/>
      <c r="Y159" s="396"/>
      <c r="Z159" s="396"/>
      <c r="AA159" s="396"/>
      <c r="AB159" s="396"/>
      <c r="AC159" s="396"/>
      <c r="AD159" s="396"/>
      <c r="AE159" s="396"/>
      <c r="AF159" s="396"/>
      <c r="AG159" s="396"/>
      <c r="AH159" s="396"/>
      <c r="AI159" s="396"/>
      <c r="AJ159" s="396"/>
      <c r="AK159" s="396"/>
      <c r="AL159" s="25"/>
      <c r="AM159" s="25"/>
    </row>
    <row r="160" spans="2:43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>
        <f t="shared" si="83"/>
        <v>20860.782926261763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>
      <c r="C161" s="396" t="s">
        <v>463</v>
      </c>
      <c r="D161" s="396"/>
      <c r="E161" s="396"/>
      <c r="F161" s="396"/>
      <c r="G161" s="396"/>
      <c r="H161" s="396"/>
      <c r="I161" s="396"/>
      <c r="J161" s="396"/>
      <c r="K161" s="396"/>
      <c r="L161" s="396"/>
      <c r="M161" s="396"/>
      <c r="N161" s="396"/>
      <c r="O161" s="396"/>
      <c r="P161" s="396"/>
      <c r="Q161" s="396"/>
      <c r="R161" s="396"/>
      <c r="S161" s="396"/>
      <c r="T161" s="396"/>
      <c r="U161" s="396"/>
      <c r="V161" s="396"/>
      <c r="W161" s="396"/>
      <c r="X161" s="396"/>
      <c r="Y161" s="396"/>
      <c r="Z161" s="396"/>
      <c r="AA161" s="396"/>
      <c r="AB161" s="396"/>
      <c r="AC161" s="396"/>
      <c r="AD161" s="396"/>
      <c r="AE161" s="396"/>
      <c r="AF161" s="396"/>
      <c r="AG161" s="396"/>
      <c r="AH161" s="396"/>
      <c r="AI161" s="396"/>
      <c r="AJ161" s="396"/>
      <c r="AK161" s="396"/>
      <c r="AL161" s="25"/>
      <c r="AM161" s="25"/>
    </row>
    <row r="165" spans="2:39">
      <c r="C165" s="396" t="s">
        <v>460</v>
      </c>
      <c r="D165" s="396"/>
      <c r="E165" s="396"/>
      <c r="F165" s="396"/>
      <c r="G165" s="396"/>
      <c r="H165" s="396"/>
      <c r="I165" s="396"/>
      <c r="J165" s="396"/>
      <c r="K165" s="396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>
      <c r="B168" s="202" t="s">
        <v>420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>
      <c r="B169" s="202" t="s">
        <v>422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>
      <c r="B170" s="202" t="s">
        <v>423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>
      <c r="B171" s="202" t="s">
        <v>443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>
      <c r="B172" s="202" t="s">
        <v>473</v>
      </c>
      <c r="C172" s="250">
        <v>20860.782926261763</v>
      </c>
      <c r="E172" s="250">
        <v>0</v>
      </c>
      <c r="G172" s="250">
        <f t="shared" si="84"/>
        <v>20860.782926261763</v>
      </c>
      <c r="I172" s="250">
        <v>0</v>
      </c>
      <c r="K172" s="297">
        <f t="shared" ref="K172:K187" si="85">C172+E172-G172-I172</f>
        <v>0</v>
      </c>
    </row>
    <row r="173" spans="2:39">
      <c r="B173" s="202" t="s">
        <v>511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>
      <c r="B174" s="202" t="s">
        <v>512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>
      <c r="B175" s="202" t="s">
        <v>515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>
      <c r="B176" s="202" t="s">
        <v>565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>
      <c r="B177" s="203" t="s">
        <v>547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>
      <c r="B178" s="202" t="s">
        <v>513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>
      <c r="B179" s="203" t="s">
        <v>516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>
      <c r="B180" s="202" t="s">
        <v>542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>
      <c r="B181" s="204" t="s">
        <v>534</v>
      </c>
      <c r="C181" s="250">
        <v>0</v>
      </c>
      <c r="D181" s="257" t="s">
        <v>467</v>
      </c>
      <c r="E181" s="250" t="e">
        <v>#REF!</v>
      </c>
      <c r="F181" s="169" t="s">
        <v>469</v>
      </c>
      <c r="G181" s="250" t="e">
        <f t="shared" si="84"/>
        <v>#REF!</v>
      </c>
      <c r="H181" s="169" t="s">
        <v>469</v>
      </c>
      <c r="I181" s="250">
        <v>0</v>
      </c>
      <c r="J181" s="257" t="s">
        <v>470</v>
      </c>
      <c r="K181" s="297" t="e">
        <f t="shared" si="85"/>
        <v>#REF!</v>
      </c>
    </row>
    <row r="182" spans="2:18">
      <c r="B182" s="202" t="s">
        <v>520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>
      <c r="B183" s="203" t="s">
        <v>546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>
      <c r="B184" s="203" t="s">
        <v>541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>
      <c r="B185" s="203" t="s">
        <v>538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>
      <c r="B186" s="203" t="s">
        <v>544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>
      <c r="B187" s="204" t="s">
        <v>543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>
      <c r="B188" s="204" t="s">
        <v>528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>
      <c r="B189" s="204" t="s">
        <v>562</v>
      </c>
      <c r="C189" s="250">
        <v>0</v>
      </c>
      <c r="E189" s="250">
        <v>299.20013327481234</v>
      </c>
      <c r="G189" s="250">
        <f t="shared" si="84"/>
        <v>299.20013327481234</v>
      </c>
      <c r="I189" s="250">
        <v>0</v>
      </c>
      <c r="K189" s="297">
        <f t="shared" si="86"/>
        <v>0</v>
      </c>
      <c r="N189" s="25"/>
      <c r="P189" s="25"/>
      <c r="Q189" s="25"/>
      <c r="R189" s="25"/>
    </row>
    <row r="190" spans="2:18">
      <c r="B190" s="204" t="s">
        <v>529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>
      <c r="B191" s="204" t="s">
        <v>531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>
      <c r="B192" s="204" t="s">
        <v>530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>
      <c r="B193" s="204" t="s">
        <v>627</v>
      </c>
      <c r="C193" s="250">
        <v>0</v>
      </c>
      <c r="E193" s="250">
        <v>203.67821093694866</v>
      </c>
      <c r="G193" s="250">
        <f t="shared" si="84"/>
        <v>203.67821093694866</v>
      </c>
      <c r="I193" s="250">
        <v>0</v>
      </c>
      <c r="K193" s="297">
        <f t="shared" si="86"/>
        <v>0</v>
      </c>
    </row>
    <row r="194" spans="2:19" ht="16">
      <c r="B194" s="251" t="s">
        <v>526</v>
      </c>
      <c r="C194" s="250">
        <v>0</v>
      </c>
      <c r="E194" s="250">
        <v>46.190156223820267</v>
      </c>
      <c r="G194" s="250">
        <f t="shared" si="84"/>
        <v>46.190156223820267</v>
      </c>
      <c r="I194" s="250">
        <v>0</v>
      </c>
      <c r="K194" s="297">
        <f t="shared" si="86"/>
        <v>0</v>
      </c>
    </row>
    <row r="195" spans="2:19">
      <c r="B195" s="204" t="s">
        <v>525</v>
      </c>
      <c r="C195" s="250">
        <v>0</v>
      </c>
      <c r="E195" s="250">
        <v>25.30269587260743</v>
      </c>
      <c r="G195" s="250">
        <f t="shared" si="84"/>
        <v>0</v>
      </c>
      <c r="I195" s="250">
        <v>25.30269587260743</v>
      </c>
      <c r="K195" s="297">
        <f t="shared" ref="K195:K202" si="87">C195+E195-G195-I195</f>
        <v>0</v>
      </c>
      <c r="L195" s="25"/>
    </row>
    <row r="196" spans="2:19">
      <c r="B196" s="202" t="s">
        <v>527</v>
      </c>
      <c r="C196" s="250">
        <v>0</v>
      </c>
      <c r="E196" s="250">
        <v>298.07604476107082</v>
      </c>
      <c r="G196" s="250">
        <f t="shared" si="84"/>
        <v>0</v>
      </c>
      <c r="I196" s="250">
        <v>298.07604476107082</v>
      </c>
      <c r="K196" s="297">
        <f t="shared" si="87"/>
        <v>0</v>
      </c>
    </row>
    <row r="197" spans="2:19">
      <c r="B197" s="204" t="s">
        <v>666</v>
      </c>
      <c r="C197" s="250">
        <v>0</v>
      </c>
      <c r="E197" s="250">
        <v>46.190156223820267</v>
      </c>
      <c r="G197" s="250">
        <f t="shared" si="84"/>
        <v>46.190156223820267</v>
      </c>
      <c r="I197" s="250">
        <v>0</v>
      </c>
      <c r="K197" s="297">
        <f t="shared" si="87"/>
        <v>0</v>
      </c>
    </row>
    <row r="198" spans="2:19">
      <c r="B198" s="204" t="s">
        <v>669</v>
      </c>
      <c r="C198" s="250">
        <v>0</v>
      </c>
      <c r="E198" s="250">
        <v>46.190156223820267</v>
      </c>
      <c r="G198" s="250">
        <f t="shared" si="84"/>
        <v>32.333109356674186</v>
      </c>
      <c r="I198" s="250">
        <v>6.9285234335730408</v>
      </c>
      <c r="K198" s="297"/>
    </row>
    <row r="199" spans="2:19">
      <c r="B199" s="204" t="s">
        <v>550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>
      <c r="B200" s="204" t="s">
        <v>551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>
      <c r="B201" s="204" t="s">
        <v>552</v>
      </c>
      <c r="C201" s="250">
        <v>0</v>
      </c>
      <c r="E201" s="250">
        <v>2998.3140163435951</v>
      </c>
      <c r="G201" s="250">
        <f t="shared" si="84"/>
        <v>0</v>
      </c>
      <c r="I201" s="250">
        <v>2998.3140163435951</v>
      </c>
      <c r="K201" s="297">
        <f t="shared" si="87"/>
        <v>0</v>
      </c>
    </row>
    <row r="202" spans="2:19">
      <c r="B202" s="204" t="s">
        <v>563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>
      <c r="B203" s="204"/>
      <c r="C203" s="3" t="s">
        <v>466</v>
      </c>
      <c r="E203" s="3" t="s">
        <v>468</v>
      </c>
      <c r="G203" s="25" t="s">
        <v>465</v>
      </c>
      <c r="I203" s="25" t="s">
        <v>39</v>
      </c>
      <c r="K203" s="25" t="e">
        <f>SUM(K168:K202)</f>
        <v>#REF!</v>
      </c>
    </row>
    <row r="204" spans="2:19">
      <c r="B204" s="204"/>
      <c r="G204" s="25"/>
      <c r="I204" s="25"/>
    </row>
    <row r="205" spans="2:19">
      <c r="B205" s="204"/>
    </row>
    <row r="206" spans="2:19">
      <c r="C206" s="396" t="s">
        <v>471</v>
      </c>
      <c r="D206" s="396"/>
      <c r="E206" s="396"/>
      <c r="F206" s="396"/>
      <c r="G206" s="396"/>
      <c r="L206" s="243"/>
      <c r="M206" s="243"/>
    </row>
    <row r="209" spans="2:15">
      <c r="B209" s="202" t="s">
        <v>412</v>
      </c>
      <c r="C209" s="250" cm="1">
        <f t="array" ref="C209:C223">TRANSPOSE((AQ117:BE117))</f>
        <v>1013.8369649902802</v>
      </c>
      <c r="E209" s="250">
        <f>AL121</f>
        <v>1043.9873925509492</v>
      </c>
      <c r="G209" s="297">
        <f>C209-E209</f>
        <v>-30.150427560668959</v>
      </c>
    </row>
    <row r="210" spans="2:15">
      <c r="B210" s="202" t="s">
        <v>413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>
      <c r="B211" s="202" t="s">
        <v>414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>
      <c r="B212" s="202" t="s">
        <v>561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>
      <c r="B213" s="202" t="s">
        <v>540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>
      <c r="B214" s="202" t="s">
        <v>539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>
      <c r="B215" s="202" t="s">
        <v>439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>
      <c r="B216" s="202" t="s">
        <v>436</v>
      </c>
      <c r="C216" s="250">
        <v>208.55560337725498</v>
      </c>
      <c r="D216" s="169" t="s">
        <v>474</v>
      </c>
      <c r="E216" s="250">
        <f t="shared" si="88"/>
        <v>208.55560337725498</v>
      </c>
      <c r="F216" s="169" t="s">
        <v>470</v>
      </c>
      <c r="G216" s="297">
        <f t="shared" si="89"/>
        <v>0</v>
      </c>
    </row>
    <row r="217" spans="2:15">
      <c r="B217" s="202" t="s">
        <v>454</v>
      </c>
      <c r="C217" s="250" t="e">
        <v>#REF!</v>
      </c>
      <c r="E217" s="250">
        <f t="shared" si="88"/>
        <v>299.20013327481234</v>
      </c>
      <c r="G217" s="297" t="e">
        <f t="shared" si="89"/>
        <v>#REF!</v>
      </c>
    </row>
    <row r="218" spans="2:15">
      <c r="B218" s="202" t="s">
        <v>437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>
      <c r="B219" s="202" t="s">
        <v>432</v>
      </c>
      <c r="C219" s="250">
        <v>593.31689961580685</v>
      </c>
      <c r="E219" s="250">
        <f t="shared" si="88"/>
        <v>573.24710779444717</v>
      </c>
      <c r="G219" s="297">
        <f t="shared" si="89"/>
        <v>20.069791821359672</v>
      </c>
    </row>
    <row r="220" spans="2:15">
      <c r="B220" s="202" t="s">
        <v>665</v>
      </c>
      <c r="C220" s="250">
        <v>46.190156223820267</v>
      </c>
      <c r="E220" s="250">
        <f t="shared" si="88"/>
        <v>46.190156223820267</v>
      </c>
      <c r="G220" s="297">
        <f t="shared" si="89"/>
        <v>0</v>
      </c>
    </row>
    <row r="221" spans="2:15">
      <c r="B221" s="202" t="s">
        <v>668</v>
      </c>
      <c r="C221" s="250">
        <v>46.190156223820267</v>
      </c>
      <c r="E221" s="250">
        <f t="shared" si="88"/>
        <v>46.190156223820267</v>
      </c>
      <c r="G221" s="297"/>
    </row>
    <row r="222" spans="2:15">
      <c r="B222" s="202" t="s">
        <v>81</v>
      </c>
      <c r="C222" s="250">
        <v>1314.6863437769753</v>
      </c>
      <c r="E222" s="250">
        <f t="shared" si="88"/>
        <v>1309.8157778632656</v>
      </c>
      <c r="G222" s="297">
        <f t="shared" si="89"/>
        <v>4.8705659137096973</v>
      </c>
    </row>
    <row r="223" spans="2:15">
      <c r="B223" s="202" t="s">
        <v>424</v>
      </c>
      <c r="C223" s="250">
        <v>3844.4979850187055</v>
      </c>
      <c r="D223" s="169"/>
      <c r="E223" s="250">
        <f t="shared" si="88"/>
        <v>3844.4979850187051</v>
      </c>
      <c r="G223" s="297">
        <f t="shared" si="89"/>
        <v>0</v>
      </c>
    </row>
    <row r="224" spans="2:15">
      <c r="B224" s="204"/>
      <c r="C224" s="169" t="s">
        <v>464</v>
      </c>
      <c r="D224" s="169"/>
      <c r="E224" s="169" t="s">
        <v>461</v>
      </c>
      <c r="F224" s="169"/>
      <c r="G224" s="169">
        <v>0</v>
      </c>
    </row>
    <row r="225" spans="2:11">
      <c r="B225" s="204"/>
    </row>
    <row r="226" spans="2:11">
      <c r="B226" s="204"/>
    </row>
    <row r="231" spans="2:11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>
      <c r="C1" s="205" t="s">
        <v>660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665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665</v>
      </c>
      <c r="BW1" s="205" t="s">
        <v>668</v>
      </c>
      <c r="BX1" s="205" t="s">
        <v>81</v>
      </c>
      <c r="BY1" s="205" t="s">
        <v>424</v>
      </c>
    </row>
    <row r="2" spans="2:77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>
      <c r="B32" s="204"/>
      <c r="C32" s="282"/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>
      <c r="B33" s="204" t="s">
        <v>550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>
      <c r="B34" s="204" t="s">
        <v>551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>
      <c r="B35" s="204" t="s">
        <v>552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>
      <c r="B36" s="204" t="s">
        <v>563</v>
      </c>
      <c r="C36" s="282">
        <v>1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>
      <c r="C37" s="169" t="s">
        <v>579</v>
      </c>
      <c r="AP37" s="204"/>
      <c r="AQ37" s="396" t="s">
        <v>576</v>
      </c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J37" s="204"/>
      <c r="BK37" s="396" t="s">
        <v>577</v>
      </c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</row>
    <row r="38" spans="2:77">
      <c r="AP38" s="204"/>
      <c r="BJ38" s="204"/>
    </row>
    <row r="39" spans="2:77">
      <c r="AP39" s="204"/>
    </row>
    <row r="40" spans="2:77" ht="11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7">
      <c r="AP41" s="202" t="s">
        <v>420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>
      <c r="AP42" s="202" t="s">
        <v>422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>
      <c r="AP44" s="202" t="s">
        <v>443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>
      <c r="AP46" s="202" t="s">
        <v>572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>
      <c r="AP47" s="202" t="s">
        <v>573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>
      <c r="AP58" s="203" t="s">
        <v>538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>
      <c r="AP59" s="203" t="s">
        <v>544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>
      <c r="AP60" s="204" t="s">
        <v>543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>
      <c r="AP61" s="204" t="s">
        <v>528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>
      <c r="AP62" s="204" t="s">
        <v>562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>
        <f t="shared" si="2"/>
        <v>-3024.5445666482651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>
      <c r="AP63" s="204" t="s">
        <v>529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>
      <c r="AP64" s="204" t="s">
        <v>531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>
      <c r="AP65" s="204" t="s">
        <v>530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>
      <c r="AP66" s="204" t="s">
        <v>627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 t="e">
        <f t="shared" si="2"/>
        <v>#REF!</v>
      </c>
      <c r="BE66" s="282">
        <f t="shared" si="2"/>
        <v>0</v>
      </c>
    </row>
    <row r="67" spans="42:64" ht="16">
      <c r="AP67" s="251" t="s">
        <v>526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>
        <f t="shared" si="2"/>
        <v>-470.4661016309467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>
      <c r="AP68" s="204" t="s">
        <v>525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>
      <c r="AP69" s="202" t="s">
        <v>527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>
      <c r="AP70" s="204" t="s">
        <v>666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6.1564271489094454E-3</v>
      </c>
      <c r="BD70" s="282">
        <f t="shared" si="2"/>
        <v>0</v>
      </c>
      <c r="BE70" s="282">
        <f t="shared" si="2"/>
        <v>0</v>
      </c>
    </row>
    <row r="71" spans="42:64">
      <c r="AP71" s="204" t="s">
        <v>669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 t="e">
        <f t="shared" si="2"/>
        <v>#REF!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6.1564271489094446E-3</v>
      </c>
    </row>
    <row r="72" spans="42:64">
      <c r="AP72" s="204" t="s">
        <v>550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>
      <c r="AP73" s="204" t="s">
        <v>551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>
      <c r="AP74" s="204" t="s">
        <v>552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>
      <c r="AP75" s="204" t="s">
        <v>563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>
      <c r="AP76" s="204"/>
      <c r="AQ76" s="396" t="s">
        <v>578</v>
      </c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</row>
    <row r="80" spans="42:64" ht="112"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>
      <c r="AF81" s="202"/>
      <c r="AG81" s="202"/>
      <c r="AP81" s="202" t="s">
        <v>420</v>
      </c>
      <c r="AQ81" s="228">
        <f>Ore_to_PI!O52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420</v>
      </c>
      <c r="BK81" s="242"/>
      <c r="BL81" s="242"/>
      <c r="BM81" s="250">
        <f>SUM(BK81:BL81)</f>
        <v>0</v>
      </c>
    </row>
    <row r="82" spans="32:70">
      <c r="AF82" s="202"/>
      <c r="AG82" s="202"/>
      <c r="AP82" s="202" t="s">
        <v>422</v>
      </c>
      <c r="AQ82" s="228"/>
      <c r="AR82" s="228">
        <f>Ore_to_PI!O132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422</v>
      </c>
      <c r="BK82" s="242"/>
      <c r="BL82" s="242"/>
      <c r="BM82" s="250">
        <f>SUM(BK82:BL82)</f>
        <v>0</v>
      </c>
    </row>
    <row r="83" spans="32:70">
      <c r="AF83" s="202"/>
      <c r="AG83" s="202"/>
      <c r="AP83" s="202" t="s">
        <v>423</v>
      </c>
      <c r="AQ83" s="228"/>
      <c r="AR83" s="228"/>
      <c r="AS83" s="228" t="e">
        <f>Ore_to_PI!O217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423</v>
      </c>
      <c r="BK83" s="242"/>
      <c r="BL83" s="242"/>
      <c r="BM83" s="250">
        <f>SUM(BK83:BL83)</f>
        <v>0</v>
      </c>
    </row>
    <row r="84" spans="32:70">
      <c r="AF84" s="202"/>
      <c r="AG84" s="202"/>
      <c r="AP84" s="202" t="s">
        <v>443</v>
      </c>
      <c r="AQ84" s="228">
        <f>Ore_to_PI!O78</f>
        <v>0</v>
      </c>
      <c r="AR84" s="228">
        <f>Ore_to_PI!O169</f>
        <v>0</v>
      </c>
      <c r="AS84" s="228">
        <f>Ore_to_PI!O242</f>
        <v>0</v>
      </c>
      <c r="AT84" s="228"/>
      <c r="AU84" s="228"/>
      <c r="AV84" s="228"/>
      <c r="AW84" s="228"/>
      <c r="AX84" s="228"/>
      <c r="AY84" s="228"/>
      <c r="AZ84" s="228">
        <f>Ore_to_PI!BU146</f>
        <v>0</v>
      </c>
      <c r="BA84" s="228">
        <f>Ore_to_PI!BU238</f>
        <v>0</v>
      </c>
      <c r="BB84" s="228"/>
      <c r="BC84" s="228"/>
      <c r="BD84" s="228"/>
      <c r="BE84" s="241">
        <f>Ore_to_PI!EF146</f>
        <v>0</v>
      </c>
      <c r="BF84" s="250">
        <f t="shared" si="4"/>
        <v>0</v>
      </c>
      <c r="BJ84" s="202" t="s">
        <v>443</v>
      </c>
      <c r="BK84" s="242"/>
      <c r="BL84" s="242"/>
      <c r="BM84" s="250">
        <f t="shared" ref="BM84:BM115" si="5">SUM(BK84:BL84)</f>
        <v>0</v>
      </c>
    </row>
    <row r="85" spans="32:70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Ore_to_PI!BU157</f>
        <v>1.604276E-2</v>
      </c>
      <c r="BA85" s="228">
        <f>Ore_to_PI!BU249</f>
        <v>1.604276E-2</v>
      </c>
      <c r="BB85" s="228"/>
      <c r="BC85" s="228"/>
      <c r="BD85" s="228"/>
      <c r="BE85" s="228">
        <f>Ore_to_PI!EF119</f>
        <v>1.604276E-2</v>
      </c>
      <c r="BF85" s="250">
        <f t="shared" si="4"/>
        <v>4.8128279999999996E-2</v>
      </c>
      <c r="BJ85" s="202" t="s">
        <v>473</v>
      </c>
      <c r="BK85" s="242"/>
      <c r="BL85" s="242"/>
      <c r="BM85" s="250">
        <f t="shared" si="5"/>
        <v>0</v>
      </c>
    </row>
    <row r="86" spans="32:70">
      <c r="AF86" s="202"/>
      <c r="AG86" s="202"/>
      <c r="AP86" s="202" t="s">
        <v>572</v>
      </c>
      <c r="AQ86" s="228">
        <f>Ore_to_PI!O64</f>
        <v>42600</v>
      </c>
      <c r="AR86" s="228">
        <f>Ore_to_PI!O145</f>
        <v>42600</v>
      </c>
      <c r="AS86" s="228">
        <f>Ore_to_PI!O227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572</v>
      </c>
      <c r="BK86" s="242"/>
      <c r="BL86" s="242"/>
      <c r="BM86" s="250">
        <f t="shared" si="5"/>
        <v>0</v>
      </c>
    </row>
    <row r="87" spans="32:70">
      <c r="AF87" s="202"/>
      <c r="AG87" s="202"/>
      <c r="AP87" s="202" t="s">
        <v>573</v>
      </c>
      <c r="AQ87" s="228"/>
      <c r="AR87" s="228">
        <f>Ore_to_PI!O156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573</v>
      </c>
      <c r="BK87" s="242"/>
      <c r="BL87" s="242"/>
      <c r="BM87" s="250">
        <f t="shared" si="5"/>
        <v>0</v>
      </c>
    </row>
    <row r="88" spans="32:70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Ore_to_PI!EF106</f>
        <v>39500</v>
      </c>
      <c r="BF88" s="250">
        <f t="shared" si="4"/>
        <v>39500</v>
      </c>
      <c r="BJ88" s="202" t="s">
        <v>515</v>
      </c>
      <c r="BK88" s="242"/>
      <c r="BL88" s="242"/>
      <c r="BM88" s="250">
        <f t="shared" si="5"/>
        <v>0</v>
      </c>
    </row>
    <row r="89" spans="32:70">
      <c r="AF89" s="202"/>
      <c r="AG89" s="202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565</v>
      </c>
      <c r="BK89" s="242"/>
      <c r="BL89" s="242"/>
      <c r="BM89" s="250">
        <f t="shared" si="5"/>
        <v>0</v>
      </c>
    </row>
    <row r="90" spans="32:70" ht="16">
      <c r="AF90" s="244"/>
      <c r="AG90" s="244"/>
      <c r="AP90" s="203" t="s">
        <v>547</v>
      </c>
      <c r="AQ90" s="228"/>
      <c r="AR90" s="228"/>
      <c r="AS90" s="228"/>
      <c r="AT90" s="228">
        <f>Ore_to_PI!AH52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547</v>
      </c>
      <c r="BK90" s="242"/>
      <c r="BL90" s="242"/>
      <c r="BM90" s="250">
        <f t="shared" si="5"/>
        <v>0</v>
      </c>
    </row>
    <row r="91" spans="32:70" ht="16">
      <c r="AF91" s="203"/>
      <c r="AG91" s="203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513</v>
      </c>
      <c r="BK91" s="242"/>
      <c r="BL91" s="242">
        <f>Ore_to_PI!AH70</f>
        <v>-2880.21138188847</v>
      </c>
      <c r="BM91" s="250">
        <f t="shared" si="5"/>
        <v>-2880.21138188847</v>
      </c>
    </row>
    <row r="92" spans="32:70" ht="16">
      <c r="AF92" s="204"/>
      <c r="AG92" s="204"/>
      <c r="AP92" s="203" t="s">
        <v>516</v>
      </c>
      <c r="AQ92" s="228"/>
      <c r="AR92" s="228"/>
      <c r="AS92" s="228"/>
      <c r="AT92" s="228"/>
      <c r="AU92" s="228">
        <f>Ore_to_PI!AI132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516</v>
      </c>
      <c r="BK92" s="242"/>
      <c r="BL92" s="246"/>
      <c r="BM92" s="250">
        <f t="shared" si="5"/>
        <v>0</v>
      </c>
    </row>
    <row r="93" spans="32:70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542</v>
      </c>
      <c r="BK93" s="242"/>
      <c r="BL93" s="242">
        <f>Ore_to_PI!AI149</f>
        <v>-2882.6003576350172</v>
      </c>
      <c r="BM93" s="250">
        <f t="shared" si="5"/>
        <v>-2882.6003576350172</v>
      </c>
    </row>
    <row r="94" spans="32:70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Ore_to_PI!AI217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534</v>
      </c>
      <c r="BK94" s="242"/>
      <c r="BL94" s="242"/>
      <c r="BM94" s="250">
        <f t="shared" si="5"/>
        <v>0</v>
      </c>
    </row>
    <row r="95" spans="32:70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520</v>
      </c>
      <c r="BK95" s="242"/>
      <c r="BL95" s="242" t="e">
        <f>Ore_to_PI!AI234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Ore_to_PI!BA52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546</v>
      </c>
      <c r="BK96" s="242"/>
      <c r="BL96" s="242"/>
      <c r="BM96" s="250">
        <f t="shared" si="5"/>
        <v>0</v>
      </c>
    </row>
    <row r="97" spans="32:65" ht="16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Ore_to_PI!BB132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541</v>
      </c>
      <c r="BK97" s="242"/>
      <c r="BL97" s="242"/>
      <c r="BM97" s="250">
        <f t="shared" si="5"/>
        <v>0</v>
      </c>
    </row>
    <row r="98" spans="32:65" ht="16">
      <c r="AF98" s="204"/>
      <c r="AG98" s="204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Ore_to_PI!BB217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538</v>
      </c>
      <c r="BK98" s="242"/>
      <c r="BL98" s="242"/>
      <c r="BM98" s="250">
        <f t="shared" si="5"/>
        <v>0</v>
      </c>
    </row>
    <row r="99" spans="32:65" ht="16">
      <c r="AF99" s="251"/>
      <c r="AG99" s="251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Ore_to_PI!BT48</f>
        <v>-6350.2001773318216</v>
      </c>
      <c r="BE99" s="228"/>
      <c r="BF99" s="250">
        <f t="shared" si="4"/>
        <v>-6350.2001773318216</v>
      </c>
      <c r="BJ99" s="203" t="s">
        <v>544</v>
      </c>
      <c r="BK99" s="242"/>
      <c r="BL99" s="242"/>
      <c r="BM99" s="250">
        <f t="shared" si="5"/>
        <v>0</v>
      </c>
    </row>
    <row r="100" spans="32:65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543</v>
      </c>
      <c r="BK100" s="242"/>
      <c r="BL100" s="242">
        <f>Ore_to_PI!BT63</f>
        <v>-14287.000845881314</v>
      </c>
      <c r="BM100" s="250">
        <f t="shared" si="5"/>
        <v>-14287.000845881314</v>
      </c>
    </row>
    <row r="101" spans="32:65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Ore_to_PI!BU132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528</v>
      </c>
      <c r="BK101" s="242"/>
      <c r="BL101" s="242"/>
      <c r="BM101" s="250">
        <f t="shared" si="5"/>
        <v>0</v>
      </c>
    </row>
    <row r="102" spans="32:65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>
        <f>Ore_to_PI!BU217</f>
        <v>-3024.5445666482651</v>
      </c>
      <c r="BB102" s="228"/>
      <c r="BC102" s="228"/>
      <c r="BD102" s="228"/>
      <c r="BE102" s="228"/>
      <c r="BF102" s="250">
        <f t="shared" si="4"/>
        <v>-3024.5445666482651</v>
      </c>
      <c r="BJ102" s="204" t="s">
        <v>562</v>
      </c>
      <c r="BK102" s="242"/>
      <c r="BL102" s="242"/>
      <c r="BM102" s="250">
        <f t="shared" si="5"/>
        <v>0</v>
      </c>
    </row>
    <row r="103" spans="32:65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Ore_to_PI!CP131</f>
        <v>-11321.85158370395</v>
      </c>
      <c r="BE103" s="228"/>
      <c r="BF103" s="250">
        <f t="shared" si="4"/>
        <v>-11321.85158370395</v>
      </c>
      <c r="BJ103" s="204" t="s">
        <v>529</v>
      </c>
      <c r="BK103" s="242"/>
      <c r="BL103" s="242"/>
      <c r="BM103" s="250">
        <f t="shared" si="5"/>
        <v>0</v>
      </c>
    </row>
    <row r="104" spans="32:65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531</v>
      </c>
      <c r="BK104" s="242"/>
      <c r="BL104" s="242">
        <f>Ore_to_PI!CP119</f>
        <v>-14926.410019749705</v>
      </c>
      <c r="BM104" s="250">
        <f t="shared" si="5"/>
        <v>-14926.410019749705</v>
      </c>
    </row>
    <row r="105" spans="32:65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530</v>
      </c>
      <c r="BK105" s="242"/>
      <c r="BL105" s="242">
        <f>Ore_to_PI!CP145</f>
        <v>-3018.6365269927733</v>
      </c>
      <c r="BM105" s="250">
        <f t="shared" si="5"/>
        <v>-3018.6365269927733</v>
      </c>
    </row>
    <row r="106" spans="32:65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Ore_to_PI!#REF!</f>
        <v>#REF!</v>
      </c>
      <c r="BE106" s="228"/>
      <c r="BF106" s="250" t="e">
        <f t="shared" si="4"/>
        <v>#REF!</v>
      </c>
      <c r="BJ106" s="204" t="s">
        <v>627</v>
      </c>
      <c r="BK106" s="242"/>
      <c r="BL106" s="242"/>
      <c r="BM106" s="250">
        <f t="shared" si="5"/>
        <v>0</v>
      </c>
    </row>
    <row r="107" spans="32:65" ht="16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>
        <f>Ore_to_PI!CP240</f>
        <v>-470.4661016309467</v>
      </c>
      <c r="BC107" s="228"/>
      <c r="BD107" s="228"/>
      <c r="BE107" s="228"/>
      <c r="BF107" s="250">
        <f t="shared" si="4"/>
        <v>-470.4661016309467</v>
      </c>
      <c r="BJ107" s="251" t="s">
        <v>526</v>
      </c>
      <c r="BK107" s="242"/>
      <c r="BL107" s="242"/>
      <c r="BM107" s="250">
        <f t="shared" si="5"/>
        <v>0</v>
      </c>
    </row>
    <row r="108" spans="32:65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525</v>
      </c>
      <c r="BK108" s="242"/>
      <c r="BL108" s="242">
        <f>Ore_to_PI!CP225</f>
        <v>-3024.5445666482651</v>
      </c>
      <c r="BM108" s="250">
        <f t="shared" si="5"/>
        <v>-3024.5445666482651</v>
      </c>
    </row>
    <row r="109" spans="32:65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527</v>
      </c>
      <c r="BK109" s="242"/>
      <c r="BL109" s="242">
        <f>Ore_to_PI!CP255</f>
        <v>-2121.9115945078211</v>
      </c>
      <c r="BM109" s="250">
        <f t="shared" si="5"/>
        <v>-2121.9115945078211</v>
      </c>
    </row>
    <row r="110" spans="32:65">
      <c r="AF110" s="204"/>
      <c r="AG110" s="204"/>
      <c r="AP110" s="204" t="s">
        <v>666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Ore_to_PI!DJ241</f>
        <v>6.1564271489094454E-3</v>
      </c>
      <c r="BD110" s="228"/>
      <c r="BE110" s="241"/>
      <c r="BF110" s="250">
        <f t="shared" si="4"/>
        <v>6.1564271489094454E-3</v>
      </c>
      <c r="BJ110" s="204" t="s">
        <v>666</v>
      </c>
      <c r="BK110" s="242"/>
      <c r="BL110" s="242"/>
      <c r="BM110" s="250">
        <f t="shared" si="5"/>
        <v>0</v>
      </c>
    </row>
    <row r="111" spans="32:65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 t="e">
        <f>Ore_to_PI!#REF!</f>
        <v>#REF!</v>
      </c>
      <c r="BB111" s="228"/>
      <c r="BC111" s="228"/>
      <c r="BD111" s="228"/>
      <c r="BE111" s="241">
        <f>Ore_to_PI!EF160</f>
        <v>6.1564271489094446E-3</v>
      </c>
      <c r="BF111" s="250" t="e">
        <f t="shared" si="4"/>
        <v>#REF!</v>
      </c>
      <c r="BJ111" s="204" t="s">
        <v>669</v>
      </c>
      <c r="BK111" s="242">
        <f>Ore_to_PI!EZ241</f>
        <v>6.1564271489094446E-3</v>
      </c>
      <c r="BL111" s="242"/>
      <c r="BM111" s="250">
        <f t="shared" si="5"/>
        <v>6.1564271489094446E-3</v>
      </c>
    </row>
    <row r="112" spans="32:65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Ore_to_PI!EF134</f>
        <v>-5807.700525901595</v>
      </c>
      <c r="BF112" s="250">
        <f t="shared" si="4"/>
        <v>-5807.700525901595</v>
      </c>
      <c r="BJ112" s="204" t="s">
        <v>550</v>
      </c>
      <c r="BK112" s="242"/>
      <c r="BL112" s="242"/>
      <c r="BM112" s="250">
        <f t="shared" si="5"/>
        <v>0</v>
      </c>
    </row>
    <row r="113" spans="2:65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551</v>
      </c>
      <c r="BK113" s="242">
        <f>Ore_to_PI!FF131</f>
        <v>0</v>
      </c>
      <c r="BL113" s="242"/>
      <c r="BM113" s="250">
        <f t="shared" si="5"/>
        <v>0</v>
      </c>
    </row>
    <row r="114" spans="2:65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552</v>
      </c>
      <c r="BK114" s="242"/>
      <c r="BL114" s="242">
        <f>Ore_to_PI!FF148</f>
        <v>-4015.108337809671</v>
      </c>
      <c r="BM114" s="250">
        <f t="shared" si="5"/>
        <v>-4015.108337809671</v>
      </c>
    </row>
    <row r="115" spans="2:65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563</v>
      </c>
      <c r="BK115" s="242"/>
      <c r="BL115" s="242">
        <f>Ore_to_PI!FF109</f>
        <v>-771.42466062394067</v>
      </c>
      <c r="BM115" s="250">
        <f t="shared" si="5"/>
        <v>-771.42466062394067</v>
      </c>
    </row>
    <row r="116" spans="2:65">
      <c r="AF116" s="204"/>
      <c r="AG116" s="204"/>
      <c r="AP116" s="204"/>
      <c r="AQ116" s="396" t="s">
        <v>415</v>
      </c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  <c r="BB116" s="396"/>
      <c r="BC116" s="396"/>
      <c r="BD116" s="396"/>
      <c r="BE116" s="396"/>
      <c r="BF116" s="25" t="s">
        <v>465</v>
      </c>
      <c r="BK116" s="396" t="s">
        <v>417</v>
      </c>
      <c r="BL116" s="396"/>
      <c r="BM116" s="25" t="s">
        <v>480</v>
      </c>
    </row>
    <row r="117" spans="2:65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>
        <f t="shared" si="6"/>
        <v>-470.4661016309467</v>
      </c>
      <c r="BC117" s="250">
        <f t="shared" si="6"/>
        <v>6.1564271489094454E-3</v>
      </c>
      <c r="BD117" s="250" t="e">
        <f t="shared" si="6"/>
        <v>#REF!</v>
      </c>
      <c r="BE117" s="250">
        <f t="shared" si="6"/>
        <v>33692.321673285551</v>
      </c>
      <c r="BK117" s="25"/>
      <c r="BL117" s="25"/>
    </row>
    <row r="118" spans="2:65" ht="13" customHeight="1">
      <c r="C118" s="397"/>
      <c r="D118" s="397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6" t="s">
        <v>464</v>
      </c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396"/>
      <c r="BD118" s="396"/>
      <c r="BE118" s="396"/>
      <c r="BK118" s="25"/>
      <c r="BL118" s="25"/>
    </row>
    <row r="119" spans="2:65" ht="236">
      <c r="B119" s="238"/>
      <c r="C119" s="205" t="s">
        <v>420</v>
      </c>
      <c r="D119" s="205" t="s">
        <v>422</v>
      </c>
      <c r="E119" s="205" t="s">
        <v>423</v>
      </c>
      <c r="F119" s="205" t="s">
        <v>443</v>
      </c>
      <c r="G119" s="205" t="s">
        <v>473</v>
      </c>
      <c r="H119" s="205" t="s">
        <v>511</v>
      </c>
      <c r="I119" s="205" t="s">
        <v>572</v>
      </c>
      <c r="J119" s="205" t="s">
        <v>573</v>
      </c>
      <c r="K119" s="205" t="s">
        <v>565</v>
      </c>
      <c r="L119" s="207" t="s">
        <v>547</v>
      </c>
      <c r="M119" s="205" t="s">
        <v>513</v>
      </c>
      <c r="N119" s="207" t="s">
        <v>516</v>
      </c>
      <c r="O119" s="205" t="s">
        <v>542</v>
      </c>
      <c r="P119" s="208" t="s">
        <v>534</v>
      </c>
      <c r="Q119" s="205" t="s">
        <v>520</v>
      </c>
      <c r="R119" s="207" t="s">
        <v>546</v>
      </c>
      <c r="S119" s="207" t="s">
        <v>541</v>
      </c>
      <c r="T119" s="207" t="s">
        <v>538</v>
      </c>
      <c r="U119" s="207" t="s">
        <v>544</v>
      </c>
      <c r="V119" s="208" t="s">
        <v>543</v>
      </c>
      <c r="W119" s="208" t="s">
        <v>528</v>
      </c>
      <c r="X119" s="208" t="s">
        <v>562</v>
      </c>
      <c r="Y119" s="208" t="s">
        <v>529</v>
      </c>
      <c r="Z119" s="208" t="s">
        <v>531</v>
      </c>
      <c r="AA119" s="208" t="s">
        <v>530</v>
      </c>
      <c r="AB119" s="208" t="s">
        <v>627</v>
      </c>
      <c r="AC119" s="230" t="s">
        <v>526</v>
      </c>
      <c r="AD119" s="208" t="s">
        <v>525</v>
      </c>
      <c r="AE119" s="205" t="s">
        <v>527</v>
      </c>
      <c r="AF119" s="208" t="s">
        <v>666</v>
      </c>
      <c r="AG119" s="208" t="s">
        <v>669</v>
      </c>
      <c r="AH119" s="208" t="s">
        <v>550</v>
      </c>
      <c r="AI119" s="208" t="s">
        <v>551</v>
      </c>
      <c r="AJ119" s="208" t="s">
        <v>552</v>
      </c>
      <c r="AK119" s="208" t="s">
        <v>563</v>
      </c>
    </row>
    <row r="120" spans="2:65">
      <c r="B120" s="202" t="s">
        <v>412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Ore_to_PI!AH52</f>
        <v>-6442.5099571670216</v>
      </c>
      <c r="M120" s="228">
        <f>Ore_to_PI!AH70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>
      <c r="B121" s="202" t="s">
        <v>413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Ore_to_PI!AI132</f>
        <v>-12112.03618380849</v>
      </c>
      <c r="O121" s="228">
        <f>Ore_to_PI!AI149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>
      <c r="B122" s="202" t="s">
        <v>414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Ore_to_PI!AI217</f>
        <v>#REF!</v>
      </c>
      <c r="Q122" s="228" t="e">
        <f>Ore_to_PI!AI234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>
      <c r="B123" s="202" t="s">
        <v>561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Ore_to_PI!BA52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>
      <c r="B124" s="202" t="s">
        <v>540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Ore_to_PI!BB132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>
      <c r="B125" s="202" t="s">
        <v>539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Ore_to_PI!BB217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>
      <c r="B126" s="202" t="s">
        <v>439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Ore_to_PI!BT48</f>
        <v>-6350.2001773318216</v>
      </c>
      <c r="V126" s="228">
        <f>Ore_to_PI!BT63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>
      <c r="B127" s="202" t="s">
        <v>436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Ore_to_PI!BU132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>
      <c r="B128" s="202" t="s">
        <v>454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>
        <f>Ore_to_PI!BU217</f>
        <v>-3024.5445666482651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7"/>
        <v>-3024.5445666482651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>
      <c r="B129" s="202" t="s">
        <v>437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Ore_to_PI!CP131</f>
        <v>-11321.85158370395</v>
      </c>
      <c r="Z129" s="228">
        <f>Ore_to_PI!CP119</f>
        <v>-14926.410019749705</v>
      </c>
      <c r="AA129" s="228">
        <f>Ore_to_PI!CP145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>
      <c r="B130" s="202" t="s">
        <v>432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 t="e">
        <f>Ore_to_PI!#REF!</f>
        <v>#REF!</v>
      </c>
      <c r="AC130" s="228">
        <f>Ore_to_PI!CP240</f>
        <v>-470.4661016309467</v>
      </c>
      <c r="AD130" s="228">
        <f>Ore_to_PI!CP225</f>
        <v>-3024.5445666482651</v>
      </c>
      <c r="AE130" s="228">
        <f>Ore_to_PI!CP255</f>
        <v>-2121.9115945078211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>
      <c r="B131" s="202" t="s">
        <v>665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Ore_to_PI!DJ241</f>
        <v>6.1564271489094454E-3</v>
      </c>
      <c r="AG131" s="228"/>
      <c r="AH131" s="228"/>
      <c r="AI131" s="228"/>
      <c r="AJ131" s="228"/>
      <c r="AK131" s="228"/>
      <c r="AL131" s="250">
        <f t="shared" si="7"/>
        <v>6.1564271489094454E-3</v>
      </c>
    </row>
    <row r="132" spans="2:64">
      <c r="B132" s="202" t="s">
        <v>668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Ore_to_PI!$EE$241</f>
        <v>6.1564271489094454E-3</v>
      </c>
      <c r="AH132" s="228"/>
      <c r="AI132" s="228"/>
      <c r="AJ132" s="228"/>
      <c r="AK132" s="228"/>
      <c r="AL132" s="250">
        <f t="shared" si="7"/>
        <v>6.1564271489094454E-3</v>
      </c>
    </row>
    <row r="133" spans="2:64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Ore_to_PI!EF134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>
      <c r="B134" s="202" t="s">
        <v>424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Ore_to_PI!FF131</f>
        <v>0</v>
      </c>
      <c r="AJ134" s="228">
        <f>Ore_to_PI!FF148</f>
        <v>-4015.108337809671</v>
      </c>
      <c r="AK134" s="228">
        <f>Ore_to_PI!FF109</f>
        <v>-771.42466062394067</v>
      </c>
      <c r="AL134" s="250">
        <f t="shared" si="7"/>
        <v>-4786.5329984336113</v>
      </c>
    </row>
    <row r="135" spans="2:64">
      <c r="B135" s="202"/>
      <c r="C135" s="396" t="s">
        <v>416</v>
      </c>
      <c r="D135" s="396"/>
      <c r="E135" s="396"/>
      <c r="F135" s="396"/>
      <c r="G135" s="396"/>
      <c r="H135" s="396"/>
      <c r="I135" s="396"/>
      <c r="J135" s="396"/>
      <c r="K135" s="396"/>
      <c r="L135" s="396"/>
      <c r="M135" s="396"/>
      <c r="N135" s="396"/>
      <c r="O135" s="396"/>
      <c r="P135" s="396"/>
      <c r="Q135" s="396"/>
      <c r="R135" s="396"/>
      <c r="S135" s="396"/>
      <c r="T135" s="396"/>
      <c r="U135" s="396"/>
      <c r="V135" s="396"/>
      <c r="W135" s="396"/>
      <c r="X135" s="396"/>
      <c r="Y135" s="396"/>
      <c r="Z135" s="396"/>
      <c r="AA135" s="396"/>
      <c r="AB135" s="396"/>
      <c r="AC135" s="396"/>
      <c r="AD135" s="396"/>
      <c r="AE135" s="396"/>
      <c r="AF135" s="396"/>
      <c r="AG135" s="396"/>
      <c r="AH135" s="396"/>
      <c r="AI135" s="396"/>
      <c r="AJ135" s="396"/>
      <c r="AK135" s="396"/>
      <c r="AL135" s="25" t="s">
        <v>461</v>
      </c>
      <c r="AM135" s="25"/>
    </row>
    <row r="136" spans="2:64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>
        <f t="shared" si="8"/>
        <v>-3024.5445666482651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 t="e">
        <f t="shared" si="8"/>
        <v>#REF!</v>
      </c>
      <c r="AC136" s="250">
        <f t="shared" si="8"/>
        <v>-470.4661016309467</v>
      </c>
      <c r="AD136" s="250">
        <f t="shared" si="8"/>
        <v>-3024.5445666482651</v>
      </c>
      <c r="AE136" s="250">
        <f t="shared" si="8"/>
        <v>-2121.9115945078211</v>
      </c>
      <c r="AF136" s="250">
        <f t="shared" si="8"/>
        <v>6.1564271489094454E-3</v>
      </c>
      <c r="AG136" s="250">
        <f t="shared" si="8"/>
        <v>6.1564271489094454E-3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-4015.108337809671</v>
      </c>
      <c r="AK136" s="250">
        <f t="shared" si="8"/>
        <v>-771.42466062394067</v>
      </c>
    </row>
    <row r="137" spans="2:64">
      <c r="B137" s="202"/>
      <c r="C137" s="396" t="s">
        <v>462</v>
      </c>
      <c r="D137" s="396"/>
      <c r="E137" s="396"/>
      <c r="F137" s="396"/>
      <c r="G137" s="396"/>
      <c r="H137" s="396"/>
      <c r="I137" s="396"/>
      <c r="J137" s="396"/>
      <c r="K137" s="396"/>
      <c r="L137" s="396"/>
      <c r="M137" s="396"/>
      <c r="N137" s="396"/>
      <c r="O137" s="396"/>
      <c r="P137" s="396"/>
      <c r="Q137" s="396"/>
      <c r="R137" s="396"/>
      <c r="S137" s="396"/>
      <c r="T137" s="396"/>
      <c r="U137" s="396"/>
      <c r="V137" s="396"/>
      <c r="W137" s="396"/>
      <c r="X137" s="396"/>
      <c r="Y137" s="396"/>
      <c r="Z137" s="396"/>
      <c r="AA137" s="396"/>
      <c r="AB137" s="396"/>
      <c r="AC137" s="396"/>
      <c r="AD137" s="396"/>
      <c r="AE137" s="396"/>
      <c r="AF137" s="396"/>
      <c r="AG137" s="396"/>
      <c r="AH137" s="396"/>
      <c r="AI137" s="396"/>
      <c r="AJ137" s="396"/>
      <c r="AK137" s="396"/>
    </row>
    <row r="138" spans="2:64">
      <c r="B138" s="202"/>
    </row>
    <row r="139" spans="2:64">
      <c r="B139" s="202"/>
    </row>
    <row r="140" spans="2:64">
      <c r="B140" s="202"/>
    </row>
    <row r="141" spans="2:64">
      <c r="B141" s="202"/>
    </row>
    <row r="142" spans="2:64">
      <c r="B142" s="202"/>
    </row>
    <row r="143" spans="2:64">
      <c r="B143" s="202"/>
    </row>
    <row r="144" spans="2:64">
      <c r="B144" s="202"/>
    </row>
    <row r="145" spans="2:43">
      <c r="B145" s="202"/>
    </row>
    <row r="146" spans="2:43">
      <c r="B146" s="202"/>
    </row>
    <row r="147" spans="2:43">
      <c r="B147" s="202"/>
    </row>
    <row r="148" spans="2:43" ht="236">
      <c r="B148" s="202"/>
      <c r="C148" s="205" t="s">
        <v>420</v>
      </c>
      <c r="D148" s="205" t="s">
        <v>422</v>
      </c>
      <c r="E148" s="205" t="s">
        <v>423</v>
      </c>
      <c r="F148" s="205" t="s">
        <v>443</v>
      </c>
      <c r="G148" s="205" t="s">
        <v>473</v>
      </c>
      <c r="H148" s="205" t="s">
        <v>511</v>
      </c>
      <c r="I148" s="205" t="s">
        <v>572</v>
      </c>
      <c r="J148" s="205" t="s">
        <v>573</v>
      </c>
      <c r="K148" s="205" t="s">
        <v>565</v>
      </c>
      <c r="L148" s="207" t="s">
        <v>547</v>
      </c>
      <c r="M148" s="205" t="s">
        <v>513</v>
      </c>
      <c r="N148" s="207" t="s">
        <v>516</v>
      </c>
      <c r="O148" s="205" t="s">
        <v>542</v>
      </c>
      <c r="P148" s="208" t="s">
        <v>534</v>
      </c>
      <c r="Q148" s="205" t="s">
        <v>520</v>
      </c>
      <c r="R148" s="207" t="s">
        <v>546</v>
      </c>
      <c r="S148" s="207" t="s">
        <v>541</v>
      </c>
      <c r="T148" s="207" t="s">
        <v>538</v>
      </c>
      <c r="U148" s="207" t="s">
        <v>544</v>
      </c>
      <c r="V148" s="208" t="s">
        <v>543</v>
      </c>
      <c r="W148" s="208" t="s">
        <v>528</v>
      </c>
      <c r="X148" s="208" t="s">
        <v>562</v>
      </c>
      <c r="Y148" s="208" t="s">
        <v>529</v>
      </c>
      <c r="Z148" s="208" t="s">
        <v>531</v>
      </c>
      <c r="AA148" s="208" t="s">
        <v>530</v>
      </c>
      <c r="AB148" s="208" t="s">
        <v>627</v>
      </c>
      <c r="AC148" s="230" t="s">
        <v>526</v>
      </c>
      <c r="AD148" s="208" t="s">
        <v>525</v>
      </c>
      <c r="AE148" s="205" t="s">
        <v>527</v>
      </c>
      <c r="AF148" s="208" t="s">
        <v>666</v>
      </c>
      <c r="AG148" s="208" t="s">
        <v>669</v>
      </c>
      <c r="AH148" s="208" t="s">
        <v>550</v>
      </c>
      <c r="AI148" s="208" t="s">
        <v>551</v>
      </c>
      <c r="AJ148" s="208" t="s">
        <v>552</v>
      </c>
      <c r="AK148" s="208" t="s">
        <v>563</v>
      </c>
      <c r="AL148" s="208"/>
      <c r="AM148" s="208"/>
    </row>
    <row r="149" spans="2:43">
      <c r="B149" s="202" t="s">
        <v>419</v>
      </c>
      <c r="C149" s="242">
        <f>Ore_to_PI!O52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>
      <c r="B150" s="203" t="s">
        <v>421</v>
      </c>
      <c r="C150" s="242"/>
      <c r="D150" s="242">
        <f>Ore_to_PI!O132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>
      <c r="B151" s="204" t="s">
        <v>444</v>
      </c>
      <c r="C151" s="242"/>
      <c r="D151" s="242"/>
      <c r="E151" s="242" t="e">
        <f>Ore_to_PI!O217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>
      <c r="B152" s="202" t="s">
        <v>479</v>
      </c>
      <c r="C152" s="242"/>
      <c r="D152" s="242"/>
      <c r="E152" s="242"/>
      <c r="F152" s="248">
        <f>Ore_to_PI!O242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>
      <c r="B153" s="202" t="s">
        <v>472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>
      <c r="B154" s="202" t="s">
        <v>575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>
      <c r="B155" s="202" t="s">
        <v>574</v>
      </c>
      <c r="C155" s="242"/>
      <c r="D155" s="242"/>
      <c r="E155" s="242"/>
      <c r="F155" s="242"/>
      <c r="G155" s="242"/>
      <c r="H155" s="242"/>
      <c r="I155" s="242">
        <f>Ore_to_PI!O156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>
      <c r="B156" s="202" t="s">
        <v>514</v>
      </c>
      <c r="C156" s="242"/>
      <c r="D156" s="242"/>
      <c r="E156" s="242"/>
      <c r="F156" s="242"/>
      <c r="G156" s="242"/>
      <c r="H156" s="242"/>
      <c r="I156" s="242"/>
      <c r="J156" s="242">
        <f>Ore_to_PI!EF106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>
      <c r="B157" s="202" t="s">
        <v>564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>
      <c r="C158" s="396" t="s">
        <v>57</v>
      </c>
      <c r="D158" s="396"/>
      <c r="E158" s="396"/>
      <c r="F158" s="396"/>
      <c r="G158" s="396"/>
      <c r="H158" s="396"/>
      <c r="I158" s="396"/>
      <c r="J158" s="396"/>
      <c r="K158" s="396"/>
      <c r="L158" s="396"/>
      <c r="M158" s="396"/>
      <c r="N158" s="396"/>
      <c r="O158" s="396"/>
      <c r="P158" s="396"/>
      <c r="Q158" s="396"/>
      <c r="R158" s="396"/>
      <c r="S158" s="396"/>
      <c r="T158" s="396"/>
      <c r="U158" s="396"/>
      <c r="V158" s="396"/>
      <c r="W158" s="396"/>
      <c r="X158" s="396"/>
      <c r="Y158" s="396"/>
      <c r="Z158" s="396"/>
      <c r="AA158" s="396"/>
      <c r="AB158" s="396"/>
      <c r="AC158" s="396"/>
      <c r="AD158" s="396"/>
      <c r="AE158" s="396"/>
      <c r="AF158" s="396"/>
      <c r="AG158" s="396"/>
      <c r="AH158" s="396"/>
      <c r="AI158" s="396"/>
      <c r="AJ158" s="396"/>
      <c r="AK158" s="396"/>
      <c r="AL158" s="25"/>
      <c r="AM158" s="25"/>
    </row>
    <row r="159" spans="2:43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>
      <c r="C160" s="396" t="s">
        <v>463</v>
      </c>
      <c r="D160" s="396"/>
      <c r="E160" s="396"/>
      <c r="F160" s="396"/>
      <c r="G160" s="396"/>
      <c r="H160" s="396"/>
      <c r="I160" s="396"/>
      <c r="J160" s="396"/>
      <c r="K160" s="396"/>
      <c r="L160" s="396"/>
      <c r="M160" s="396"/>
      <c r="N160" s="396"/>
      <c r="O160" s="396"/>
      <c r="P160" s="396"/>
      <c r="Q160" s="396"/>
      <c r="R160" s="396"/>
      <c r="S160" s="396"/>
      <c r="T160" s="396"/>
      <c r="U160" s="396"/>
      <c r="V160" s="396"/>
      <c r="W160" s="396"/>
      <c r="X160" s="396"/>
      <c r="Y160" s="396"/>
      <c r="Z160" s="396"/>
      <c r="AA160" s="396"/>
      <c r="AB160" s="396"/>
      <c r="AC160" s="396"/>
      <c r="AD160" s="396"/>
      <c r="AE160" s="396"/>
      <c r="AF160" s="396"/>
      <c r="AG160" s="396"/>
      <c r="AH160" s="396"/>
      <c r="AI160" s="396"/>
      <c r="AJ160" s="396"/>
      <c r="AK160" s="396"/>
      <c r="AL160" s="25"/>
      <c r="AM160" s="25"/>
    </row>
    <row r="164" spans="2:22">
      <c r="C164" s="396" t="s">
        <v>663</v>
      </c>
      <c r="D164" s="396"/>
      <c r="E164" s="396"/>
      <c r="F164" s="396"/>
      <c r="G164" s="396"/>
      <c r="H164" s="396"/>
      <c r="I164" s="396"/>
      <c r="J164" s="396"/>
      <c r="K164" s="396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>
      <c r="B167" s="202" t="s">
        <v>420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>
      <c r="B168" s="202" t="s">
        <v>422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>
      <c r="B169" s="202" t="s">
        <v>423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>
      <c r="B170" s="202" t="s">
        <v>443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>
      <c r="B171" s="202" t="s">
        <v>473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670</v>
      </c>
    </row>
    <row r="172" spans="2:22">
      <c r="B172" s="202" t="s">
        <v>511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670</v>
      </c>
    </row>
    <row r="173" spans="2:22">
      <c r="B173" s="202" t="s">
        <v>512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>
      <c r="B174" s="202" t="s">
        <v>515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>
      <c r="B175" s="202" t="s">
        <v>565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>
      <c r="B176" s="203" t="s">
        <v>547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>
      <c r="B177" s="202" t="s">
        <v>513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>
      <c r="B178" s="203" t="s">
        <v>516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>
      <c r="B179" s="202" t="s">
        <v>542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>
      <c r="B180" s="204" t="s">
        <v>534</v>
      </c>
      <c r="C180" s="250">
        <v>0</v>
      </c>
      <c r="D180" s="257" t="s">
        <v>467</v>
      </c>
      <c r="E180" s="250" t="e">
        <v>#REF!</v>
      </c>
      <c r="F180" s="169" t="s">
        <v>469</v>
      </c>
      <c r="G180" s="250" t="e">
        <f t="shared" si="10"/>
        <v>#REF!</v>
      </c>
      <c r="H180" s="169" t="s">
        <v>469</v>
      </c>
      <c r="I180" s="250">
        <v>0</v>
      </c>
      <c r="J180" s="257" t="s">
        <v>470</v>
      </c>
      <c r="K180" s="297" t="e">
        <f t="shared" si="11"/>
        <v>#REF!</v>
      </c>
    </row>
    <row r="181" spans="2:18">
      <c r="B181" s="202" t="s">
        <v>520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>
      <c r="B182" s="203" t="s">
        <v>546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>
      <c r="B183" s="203" t="s">
        <v>541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>
      <c r="B184" s="203" t="s">
        <v>538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>
      <c r="B185" s="203" t="s">
        <v>544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>
      <c r="B186" s="204" t="s">
        <v>543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>
      <c r="B187" s="204" t="s">
        <v>528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>
      <c r="B188" s="204" t="s">
        <v>562</v>
      </c>
      <c r="C188" s="250">
        <v>0</v>
      </c>
      <c r="E188" s="250">
        <v>-3024.5445666482651</v>
      </c>
      <c r="G188" s="250">
        <f t="shared" si="10"/>
        <v>-3024.5445666482651</v>
      </c>
      <c r="I188" s="250">
        <v>0</v>
      </c>
      <c r="K188" s="297">
        <f t="shared" si="11"/>
        <v>0</v>
      </c>
      <c r="N188" s="25"/>
      <c r="P188" s="25"/>
      <c r="Q188" s="25"/>
      <c r="R188" s="25"/>
    </row>
    <row r="189" spans="2:18">
      <c r="B189" s="204" t="s">
        <v>529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>
      <c r="B190" s="204" t="s">
        <v>531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>
      <c r="B191" s="204" t="s">
        <v>530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>
      <c r="B192" s="204" t="s">
        <v>627</v>
      </c>
      <c r="C192" s="250">
        <v>0</v>
      </c>
      <c r="E192" s="250" t="e">
        <v>#REF!</v>
      </c>
      <c r="G192" s="250" t="e">
        <f t="shared" si="10"/>
        <v>#REF!</v>
      </c>
      <c r="I192" s="250">
        <v>0</v>
      </c>
      <c r="K192" s="297" t="e">
        <f t="shared" si="11"/>
        <v>#REF!</v>
      </c>
    </row>
    <row r="193" spans="2:19" ht="16">
      <c r="B193" s="251" t="s">
        <v>526</v>
      </c>
      <c r="C193" s="250">
        <v>0</v>
      </c>
      <c r="E193" s="250">
        <v>-470.4661016309467</v>
      </c>
      <c r="G193" s="250">
        <f t="shared" si="10"/>
        <v>-470.4661016309467</v>
      </c>
      <c r="I193" s="250">
        <v>0</v>
      </c>
      <c r="K193" s="297">
        <f t="shared" si="11"/>
        <v>0</v>
      </c>
    </row>
    <row r="194" spans="2:19">
      <c r="B194" s="204" t="s">
        <v>525</v>
      </c>
      <c r="C194" s="250">
        <v>0</v>
      </c>
      <c r="E194" s="250">
        <v>-3024.5445666482651</v>
      </c>
      <c r="G194" s="250">
        <f t="shared" si="10"/>
        <v>0</v>
      </c>
      <c r="I194" s="250">
        <v>-3024.5445666482651</v>
      </c>
      <c r="K194" s="297">
        <f t="shared" si="11"/>
        <v>0</v>
      </c>
      <c r="L194" s="25"/>
    </row>
    <row r="195" spans="2:19">
      <c r="B195" s="202" t="s">
        <v>527</v>
      </c>
      <c r="C195" s="250">
        <v>0</v>
      </c>
      <c r="E195" s="250">
        <v>-2121.9115945078211</v>
      </c>
      <c r="G195" s="250">
        <f t="shared" si="10"/>
        <v>0</v>
      </c>
      <c r="I195" s="250">
        <v>-2121.9115945078211</v>
      </c>
      <c r="K195" s="297">
        <f t="shared" si="11"/>
        <v>0</v>
      </c>
    </row>
    <row r="196" spans="2:19">
      <c r="B196" s="204" t="s">
        <v>666</v>
      </c>
      <c r="C196" s="250">
        <v>0</v>
      </c>
      <c r="E196" s="250">
        <v>6.1564271489094454E-3</v>
      </c>
      <c r="G196" s="250">
        <f t="shared" si="10"/>
        <v>6.1564271489094454E-3</v>
      </c>
      <c r="I196" s="250">
        <v>0</v>
      </c>
      <c r="K196" s="297">
        <f t="shared" si="11"/>
        <v>0</v>
      </c>
    </row>
    <row r="197" spans="2:19">
      <c r="B197" s="204" t="s">
        <v>669</v>
      </c>
      <c r="C197" s="250">
        <v>0</v>
      </c>
      <c r="E197" s="250">
        <v>6.1564271489094454E-3</v>
      </c>
      <c r="G197" s="250" t="e">
        <f t="shared" si="10"/>
        <v>#REF!</v>
      </c>
      <c r="I197" s="250">
        <v>6.1564271489094446E-3</v>
      </c>
      <c r="K197" s="297" t="s">
        <v>670</v>
      </c>
    </row>
    <row r="198" spans="2:19">
      <c r="B198" s="204" t="s">
        <v>550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>
      <c r="B199" s="204" t="s">
        <v>551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>
      <c r="B200" s="204" t="s">
        <v>552</v>
      </c>
      <c r="C200" s="250">
        <v>0</v>
      </c>
      <c r="E200" s="250">
        <v>-4015.108337809671</v>
      </c>
      <c r="G200" s="250">
        <f t="shared" si="10"/>
        <v>0</v>
      </c>
      <c r="I200" s="250">
        <v>-4015.108337809671</v>
      </c>
      <c r="K200" s="297">
        <f t="shared" si="11"/>
        <v>0</v>
      </c>
    </row>
    <row r="201" spans="2:19">
      <c r="B201" s="204" t="s">
        <v>563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>
      <c r="B202" s="204"/>
      <c r="C202" s="3" t="s">
        <v>466</v>
      </c>
      <c r="E202" s="3" t="s">
        <v>468</v>
      </c>
      <c r="G202" s="25" t="s">
        <v>465</v>
      </c>
      <c r="I202" s="25" t="s">
        <v>39</v>
      </c>
      <c r="K202" s="25" t="e">
        <f>SUM(K167:K201)</f>
        <v>#REF!</v>
      </c>
    </row>
    <row r="203" spans="2:19">
      <c r="B203" s="204"/>
      <c r="G203" s="25"/>
      <c r="I203" s="25"/>
    </row>
    <row r="204" spans="2:19">
      <c r="B204" s="204"/>
    </row>
    <row r="205" spans="2:19">
      <c r="D205" s="243"/>
      <c r="E205" s="243"/>
      <c r="L205" s="243"/>
      <c r="M205" s="243"/>
    </row>
    <row r="208" spans="2:19">
      <c r="D208" s="243"/>
      <c r="E208" s="243"/>
    </row>
    <row r="209" spans="2:15">
      <c r="B209" s="302" t="s">
        <v>412</v>
      </c>
      <c r="C209" s="303">
        <v>0</v>
      </c>
      <c r="N209" s="243"/>
      <c r="O209" s="243"/>
    </row>
    <row r="210" spans="2:15">
      <c r="B210" s="302" t="s">
        <v>413</v>
      </c>
      <c r="C210" s="303">
        <v>0</v>
      </c>
    </row>
    <row r="211" spans="2:15">
      <c r="B211" s="302" t="s">
        <v>414</v>
      </c>
      <c r="C211" s="303" t="e">
        <f>Ore_to_PI!AA195</f>
        <v>#REF!</v>
      </c>
    </row>
    <row r="212" spans="2:15">
      <c r="B212" s="302" t="s">
        <v>561</v>
      </c>
      <c r="C212" s="303">
        <f>Ore_to_PI!AS28</f>
        <v>609792.2517593482</v>
      </c>
      <c r="F212" s="243"/>
      <c r="G212" s="243"/>
      <c r="I212" s="243"/>
      <c r="J212" s="243"/>
      <c r="K212" s="243"/>
    </row>
    <row r="213" spans="2:15">
      <c r="B213" s="302" t="s">
        <v>540</v>
      </c>
      <c r="C213" s="303">
        <f>Ore_to_PI!AS113</f>
        <v>2824.8856477449194</v>
      </c>
    </row>
    <row r="214" spans="2:15">
      <c r="B214" s="302" t="s">
        <v>539</v>
      </c>
      <c r="C214" s="303" t="e">
        <f>Ore_to_PI!AS190</f>
        <v>#REF!</v>
      </c>
    </row>
    <row r="215" spans="2:15">
      <c r="B215" s="302" t="s">
        <v>439</v>
      </c>
      <c r="C215" s="303">
        <f>Ore_to_PI!BL35</f>
        <v>12479.249680000003</v>
      </c>
    </row>
    <row r="216" spans="2:15">
      <c r="B216" s="302" t="s">
        <v>436</v>
      </c>
      <c r="C216" s="303">
        <f>Ore_to_PI!BK116</f>
        <v>34.678095164114971</v>
      </c>
    </row>
    <row r="217" spans="2:15">
      <c r="B217" s="302" t="s">
        <v>454</v>
      </c>
      <c r="C217" s="303" t="e">
        <f>Ore_to_PI!BK195</f>
        <v>#REF!</v>
      </c>
    </row>
    <row r="218" spans="2:15">
      <c r="B218" s="302" t="s">
        <v>437</v>
      </c>
      <c r="C218" s="303">
        <v>0</v>
      </c>
    </row>
    <row r="219" spans="2:15">
      <c r="B219" s="302" t="s">
        <v>432</v>
      </c>
      <c r="C219" s="303">
        <v>0</v>
      </c>
    </row>
    <row r="220" spans="2:15">
      <c r="B220" s="202" t="s">
        <v>665</v>
      </c>
      <c r="C220" s="303">
        <f>Ore_to_PI!DB229</f>
        <v>33256.912481150597</v>
      </c>
    </row>
    <row r="221" spans="2:15">
      <c r="B221" s="202" t="s">
        <v>668</v>
      </c>
      <c r="C221" s="303">
        <v>0</v>
      </c>
    </row>
    <row r="222" spans="2:15">
      <c r="B222" s="202" t="s">
        <v>81</v>
      </c>
      <c r="C222" s="303">
        <v>0</v>
      </c>
    </row>
    <row r="223" spans="2:15">
      <c r="B223" s="202" t="s">
        <v>424</v>
      </c>
      <c r="C223" s="305">
        <f>Ore_to_PI!ES117</f>
        <v>317844.87395625591</v>
      </c>
    </row>
    <row r="224" spans="2:15">
      <c r="B224" s="204"/>
      <c r="C224" s="304" t="s">
        <v>265</v>
      </c>
    </row>
    <row r="229" spans="8:11">
      <c r="H229" s="169"/>
      <c r="I229" s="169"/>
      <c r="J229" s="169"/>
      <c r="K229" s="169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/>
  <cols>
    <col min="2" max="2" width="17" bestFit="1" customWidth="1"/>
    <col min="28" max="28" width="16" customWidth="1"/>
  </cols>
  <sheetData>
    <row r="41" spans="10:31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6" t="s">
        <v>417</v>
      </c>
      <c r="AD50" s="396"/>
      <c r="AE50" s="396"/>
    </row>
    <row r="51" spans="2:35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>
      <c r="K53" s="396" t="s">
        <v>415</v>
      </c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AD53" s="25"/>
      <c r="AE53" s="25"/>
      <c r="AF53" s="25"/>
      <c r="AG53" s="25"/>
      <c r="AH53" s="25"/>
      <c r="AI53" s="25"/>
    </row>
    <row r="58" spans="2:35">
      <c r="C58" s="397"/>
      <c r="D58" s="397"/>
      <c r="E58" s="232"/>
      <c r="F58" s="232"/>
      <c r="G58" s="232"/>
      <c r="H58" s="232"/>
    </row>
    <row r="59" spans="2:35">
      <c r="C59" s="207"/>
      <c r="D59" s="207"/>
      <c r="E59" s="208"/>
      <c r="F59" s="208"/>
      <c r="G59" s="208"/>
      <c r="H59" s="208"/>
      <c r="I59" s="230"/>
      <c r="J59" s="230"/>
    </row>
    <row r="60" spans="2:35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>
      <c r="C73" s="396" t="s">
        <v>416</v>
      </c>
      <c r="D73" s="396"/>
      <c r="E73" s="396"/>
      <c r="F73" s="396"/>
      <c r="G73" s="396"/>
      <c r="H73" s="396"/>
      <c r="I73" s="396"/>
      <c r="J73" s="396"/>
    </row>
    <row r="86" spans="2:7">
      <c r="C86" s="205"/>
      <c r="D86" s="205"/>
      <c r="E86" s="205"/>
      <c r="F86" s="205"/>
      <c r="G86" s="205"/>
    </row>
    <row r="87" spans="2:7">
      <c r="B87" s="202" t="s">
        <v>278</v>
      </c>
      <c r="C87" s="206"/>
      <c r="D87" s="206"/>
      <c r="E87" s="206"/>
      <c r="F87" s="206"/>
      <c r="G87" s="206"/>
    </row>
    <row r="88" spans="2:7">
      <c r="B88" s="202" t="s">
        <v>430</v>
      </c>
      <c r="C88" s="206"/>
      <c r="D88" s="206"/>
      <c r="E88" s="206"/>
      <c r="F88" s="206"/>
      <c r="G88" s="206"/>
    </row>
    <row r="89" spans="2:7">
      <c r="B89" s="202" t="s">
        <v>431</v>
      </c>
      <c r="C89" s="206"/>
      <c r="D89" s="206"/>
      <c r="E89" s="206"/>
      <c r="F89" s="206"/>
      <c r="G89" s="206"/>
    </row>
    <row r="90" spans="2:7">
      <c r="C90" s="206"/>
      <c r="D90" s="206"/>
      <c r="E90" s="206"/>
      <c r="F90" s="227"/>
      <c r="G90" s="206"/>
    </row>
    <row r="91" spans="2:7">
      <c r="C91" s="206"/>
      <c r="D91" s="206"/>
      <c r="E91" s="206"/>
      <c r="F91" s="206"/>
      <c r="G91" s="206"/>
    </row>
    <row r="92" spans="2:7">
      <c r="C92" s="396" t="s">
        <v>57</v>
      </c>
      <c r="D92" s="396"/>
      <c r="E92" s="396"/>
      <c r="F92" s="396"/>
      <c r="G92" s="39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/>
  <cols>
    <col min="3" max="4" width="8.83203125" customWidth="1"/>
    <col min="7" max="7" width="11.5" bestFit="1" customWidth="1"/>
  </cols>
  <sheetData>
    <row r="2" spans="2:22">
      <c r="B2" s="3"/>
      <c r="C2" s="3"/>
      <c r="D2" s="315" t="s">
        <v>317</v>
      </c>
      <c r="E2" s="315"/>
      <c r="F2" s="315"/>
      <c r="G2" s="315"/>
      <c r="V2" s="164"/>
    </row>
    <row r="3" spans="2:22">
      <c r="B3" s="3"/>
      <c r="C3" s="3"/>
      <c r="D3" s="421" t="s">
        <v>82</v>
      </c>
      <c r="E3" s="421"/>
      <c r="F3" s="421"/>
      <c r="G3" s="421"/>
      <c r="O3" s="164"/>
      <c r="P3" s="164"/>
      <c r="Q3" s="164"/>
      <c r="R3" s="164"/>
      <c r="S3" s="164"/>
      <c r="T3" s="164"/>
      <c r="U3" s="164"/>
      <c r="V3" s="164"/>
    </row>
    <row r="4" spans="2:22">
      <c r="B4" s="401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398" t="s">
        <v>355</v>
      </c>
      <c r="S4" s="398"/>
      <c r="T4" s="398"/>
      <c r="U4" s="398"/>
      <c r="V4" s="164"/>
    </row>
    <row r="5" spans="2:22" ht="14.5" customHeight="1">
      <c r="B5" s="401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398"/>
      <c r="S5" s="398"/>
      <c r="T5" s="398"/>
      <c r="U5" s="398"/>
      <c r="V5" s="164"/>
    </row>
    <row r="6" spans="2:22">
      <c r="B6" s="401"/>
      <c r="C6" s="147" t="s">
        <v>632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398"/>
      <c r="S6" s="398"/>
      <c r="T6" s="398"/>
      <c r="U6" s="398"/>
      <c r="V6" s="164"/>
    </row>
    <row r="7" spans="2:22" ht="16" thickBot="1">
      <c r="B7" s="401"/>
      <c r="C7" s="146" t="s">
        <v>404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399"/>
      <c r="S7" s="399"/>
      <c r="T7" s="399"/>
      <c r="U7" s="399"/>
      <c r="V7" s="164"/>
    </row>
    <row r="8" spans="2:22">
      <c r="C8" s="132" t="s">
        <v>337</v>
      </c>
      <c r="E8" s="17">
        <f>mass_bal_IronExt</f>
        <v>-30.150427560699999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398" t="s">
        <v>354</v>
      </c>
      <c r="Q8" s="414"/>
      <c r="R8" s="416" t="s">
        <v>341</v>
      </c>
      <c r="S8" s="417"/>
      <c r="T8" s="402" t="s">
        <v>404</v>
      </c>
      <c r="U8" s="403"/>
      <c r="V8" s="164"/>
    </row>
    <row r="9" spans="2:22">
      <c r="E9" s="3"/>
      <c r="F9" s="3"/>
      <c r="G9" s="3"/>
      <c r="H9" s="3"/>
      <c r="I9" s="3"/>
      <c r="L9" s="3"/>
      <c r="M9" s="3"/>
      <c r="O9" s="164"/>
      <c r="P9" s="398"/>
      <c r="Q9" s="414"/>
      <c r="R9" s="418"/>
      <c r="S9" s="419"/>
      <c r="T9" s="404"/>
      <c r="U9" s="405"/>
      <c r="V9" s="164"/>
    </row>
    <row r="10" spans="2:22">
      <c r="L10" s="3"/>
      <c r="M10" s="3"/>
      <c r="O10" s="164"/>
      <c r="P10" s="398"/>
      <c r="Q10" s="414"/>
      <c r="R10" s="418"/>
      <c r="S10" s="419"/>
      <c r="T10" s="404"/>
      <c r="U10" s="405"/>
      <c r="V10" s="164"/>
    </row>
    <row r="11" spans="2:22">
      <c r="B11" s="3"/>
      <c r="C11" s="3"/>
      <c r="D11" s="315" t="s">
        <v>317</v>
      </c>
      <c r="E11" s="315"/>
      <c r="F11" s="315"/>
      <c r="G11" s="315"/>
      <c r="H11" s="315"/>
      <c r="L11" s="3"/>
      <c r="M11" s="3"/>
      <c r="O11" s="164"/>
      <c r="P11" s="398"/>
      <c r="Q11" s="414"/>
      <c r="R11" s="418"/>
      <c r="S11" s="419"/>
      <c r="T11" s="404"/>
      <c r="U11" s="405"/>
      <c r="V11" s="164"/>
    </row>
    <row r="12" spans="2:22">
      <c r="B12" s="3"/>
      <c r="C12" s="3"/>
      <c r="D12" s="421" t="s">
        <v>82</v>
      </c>
      <c r="E12" s="421"/>
      <c r="F12" s="421"/>
      <c r="G12" s="421"/>
      <c r="H12" s="421"/>
      <c r="L12" s="3"/>
      <c r="M12" s="3"/>
      <c r="O12" s="164"/>
      <c r="P12" s="415" t="s">
        <v>403</v>
      </c>
      <c r="Q12" s="414"/>
      <c r="R12" s="410" t="s">
        <v>316</v>
      </c>
      <c r="S12" s="411"/>
      <c r="T12" s="406" t="s">
        <v>632</v>
      </c>
      <c r="U12" s="407"/>
      <c r="V12" s="164"/>
    </row>
    <row r="13" spans="2:22" ht="14.5" customHeight="1">
      <c r="B13" s="400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398"/>
      <c r="Q13" s="414"/>
      <c r="R13" s="410"/>
      <c r="S13" s="411"/>
      <c r="T13" s="406"/>
      <c r="U13" s="407"/>
      <c r="V13" s="164"/>
    </row>
    <row r="14" spans="2:22">
      <c r="B14" s="400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398"/>
      <c r="Q14" s="414"/>
      <c r="R14" s="410"/>
      <c r="S14" s="411"/>
      <c r="T14" s="406"/>
      <c r="U14" s="407"/>
      <c r="V14" s="164"/>
    </row>
    <row r="15" spans="2:22" ht="16" thickBot="1">
      <c r="B15" s="400"/>
      <c r="C15" s="147" t="s">
        <v>632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398"/>
      <c r="Q15" s="414"/>
      <c r="R15" s="412"/>
      <c r="S15" s="413"/>
      <c r="T15" s="408"/>
      <c r="U15" s="409"/>
      <c r="V15" s="164"/>
    </row>
    <row r="16" spans="2:22">
      <c r="B16" s="400"/>
      <c r="C16" s="146" t="s">
        <v>404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>
      <c r="L18" s="3"/>
      <c r="M18" s="3"/>
    </row>
    <row r="19" spans="2:13">
      <c r="B19" s="3"/>
      <c r="C19" s="3"/>
      <c r="D19" s="315" t="s">
        <v>317</v>
      </c>
      <c r="E19" s="315"/>
      <c r="F19" s="315"/>
      <c r="G19" s="315"/>
      <c r="L19" s="3"/>
      <c r="M19" s="3"/>
    </row>
    <row r="20" spans="2:13">
      <c r="B20" s="3"/>
      <c r="C20" s="3"/>
      <c r="D20" s="421" t="s">
        <v>82</v>
      </c>
      <c r="E20" s="421"/>
      <c r="F20" s="421"/>
      <c r="G20" s="421"/>
      <c r="K20" s="3"/>
      <c r="L20" s="3"/>
    </row>
    <row r="21" spans="2:13">
      <c r="B21" s="422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377</v>
      </c>
      <c r="I21" s="3"/>
      <c r="K21" s="3"/>
      <c r="L21" s="3"/>
    </row>
    <row r="22" spans="2:13">
      <c r="B22" s="422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>
      <c r="B23" s="422"/>
      <c r="C23" s="147" t="s">
        <v>632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>
        <f>Rational_Cokeoven</f>
        <v>1.1682142312228616</v>
      </c>
      <c r="I23" s="3"/>
      <c r="K23" s="3"/>
      <c r="L23" s="3"/>
    </row>
    <row r="24" spans="2:13">
      <c r="B24" s="422"/>
      <c r="C24" s="146" t="s">
        <v>404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>
        <f>Resource_CokeBeneficiation</f>
        <v>0.65561899733665829</v>
      </c>
      <c r="I24" s="3"/>
    </row>
    <row r="25" spans="2:13">
      <c r="C25" s="132" t="s">
        <v>337</v>
      </c>
      <c r="E25" s="17" t="e">
        <f>mass_bal_CoalExt</f>
        <v>#REF!</v>
      </c>
      <c r="F25" s="17" t="e">
        <f>mass_bal_CoalHaul</f>
        <v>#REF!</v>
      </c>
      <c r="G25" s="17">
        <f>mass_bal_CokeOven</f>
        <v>3.9592784201</v>
      </c>
      <c r="H25" s="3"/>
      <c r="I25" s="3"/>
    </row>
    <row r="30" spans="2:13">
      <c r="B30" s="420" t="s">
        <v>400</v>
      </c>
      <c r="D30" s="193" t="s">
        <v>81</v>
      </c>
      <c r="E30" s="193" t="s">
        <v>352</v>
      </c>
    </row>
    <row r="31" spans="2:13">
      <c r="B31" s="420"/>
      <c r="C31" s="145" t="s">
        <v>341</v>
      </c>
      <c r="D31" s="3" t="s">
        <v>98</v>
      </c>
      <c r="E31" s="3" t="str">
        <f>Bejan_BF</f>
        <v>[-]</v>
      </c>
    </row>
    <row r="32" spans="2:13">
      <c r="B32" s="420"/>
      <c r="C32" s="147" t="s">
        <v>632</v>
      </c>
      <c r="D32" s="3">
        <f>Rational_mixer</f>
        <v>1.0471327182137737</v>
      </c>
      <c r="E32" s="3">
        <f>Rational_BF</f>
        <v>0.36423244157899365</v>
      </c>
    </row>
    <row r="33" spans="2:5">
      <c r="B33" s="420"/>
      <c r="C33" s="146" t="s">
        <v>404</v>
      </c>
      <c r="D33" s="3">
        <f>Resource_Mixer</f>
        <v>1.1301941801747158E-2</v>
      </c>
      <c r="E33" s="3">
        <f>Resource_BF</f>
        <v>0.32735678235350096</v>
      </c>
    </row>
    <row r="34" spans="2:5">
      <c r="C34" s="132" t="s">
        <v>337</v>
      </c>
      <c r="D34" s="3">
        <f>mass_bal_Mixer</f>
        <v>-4.8705659137096973</v>
      </c>
      <c r="E34" s="3">
        <f>mass_bal_BF</f>
        <v>0</v>
      </c>
    </row>
    <row r="37" spans="2:5" ht="17">
      <c r="C37" s="3" t="s">
        <v>631</v>
      </c>
    </row>
    <row r="38" spans="2:5" ht="18">
      <c r="B38" s="296" t="s">
        <v>630</v>
      </c>
      <c r="C38" s="3" t="e">
        <f>E_tot/(Ore_to_PI!FL126/1000)</f>
        <v>#REF!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>
      <c r="E3" s="423" t="s">
        <v>356</v>
      </c>
      <c r="F3" s="423"/>
      <c r="G3" s="423"/>
      <c r="H3"/>
      <c r="I3"/>
      <c r="L3" s="396" t="s">
        <v>442</v>
      </c>
      <c r="M3" s="396"/>
      <c r="N3" s="396"/>
      <c r="P3"/>
      <c r="T3" s="169" t="s">
        <v>441</v>
      </c>
    </row>
    <row r="4" spans="3:20" ht="16" thickBot="1">
      <c r="E4" s="421" t="s">
        <v>11</v>
      </c>
      <c r="F4" s="421"/>
      <c r="G4" s="421"/>
      <c r="H4"/>
      <c r="I4"/>
      <c r="L4" s="421" t="s">
        <v>48</v>
      </c>
      <c r="M4" s="421"/>
      <c r="N4" s="421"/>
      <c r="P4"/>
      <c r="T4" s="3" t="s">
        <v>48</v>
      </c>
    </row>
    <row r="5" spans="3:20" ht="14.5" customHeight="1" thickBot="1">
      <c r="C5" s="401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Ore_to_PI!EP131+Ore_to_PI!DU131+Ore_to_PI!CD130+Ore_to_PI!BK130+Ore_to_PI!AR130+Ore_to_PI!X130+Ore_to_PI!X46+Ore_to_PI!AQ46+Ore_to_PI!BJ46+Ore_to_PI!CE210+Ore_to_PI!AR210+Ore_to_PI!Y210+Ore_to_PI!CZ237+Ore_to_PI!CE210</f>
        <v>#REF!</v>
      </c>
    </row>
    <row r="6" spans="3:20">
      <c r="C6" s="401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>
      <c r="C7" s="401"/>
      <c r="D7" s="153" t="s">
        <v>23</v>
      </c>
      <c r="E7" s="3">
        <f>0</f>
        <v>0</v>
      </c>
      <c r="F7" s="3" t="s">
        <v>98</v>
      </c>
      <c r="G7" s="3">
        <f>BF_CO2Waste</f>
        <v>900.69136363785765</v>
      </c>
    </row>
    <row r="8" spans="3:20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1130.6394964778842</v>
      </c>
    </row>
    <row r="9" spans="3:20" ht="17">
      <c r="L9" s="396" t="s">
        <v>442</v>
      </c>
      <c r="M9" s="396"/>
      <c r="N9" s="396"/>
      <c r="O9" s="396"/>
    </row>
    <row r="10" spans="3:20">
      <c r="E10" s="423" t="s">
        <v>356</v>
      </c>
      <c r="F10" s="423"/>
      <c r="L10" s="421" t="s">
        <v>48</v>
      </c>
      <c r="M10" s="421"/>
      <c r="N10" s="421"/>
      <c r="O10" s="421"/>
    </row>
    <row r="11" spans="3:20">
      <c r="E11" s="421" t="s">
        <v>11</v>
      </c>
      <c r="F11" s="421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>
      <c r="C12" s="400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>
      <c r="C13" s="400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>
      <c r="C14" s="400"/>
      <c r="D14" s="153" t="s">
        <v>23</v>
      </c>
      <c r="E14" s="3" t="s">
        <v>98</v>
      </c>
      <c r="F14" s="3">
        <f>Kiln_H2OWaste</f>
        <v>46711.101435505501</v>
      </c>
      <c r="L14" s="396" t="s">
        <v>442</v>
      </c>
      <c r="M14" s="396"/>
      <c r="N14" s="396"/>
    </row>
    <row r="15" spans="3:20">
      <c r="C15" s="400"/>
      <c r="D15" s="3" t="s">
        <v>19</v>
      </c>
      <c r="E15" s="17">
        <f>SUM(E13:E14)</f>
        <v>0</v>
      </c>
      <c r="F15" s="17">
        <f>SUM(F13:F14)</f>
        <v>46716.086188050598</v>
      </c>
      <c r="L15" s="421" t="s">
        <v>48</v>
      </c>
      <c r="M15" s="421"/>
      <c r="N15" s="421"/>
    </row>
    <row r="16" spans="3:20">
      <c r="L16" s="154" t="s">
        <v>189</v>
      </c>
      <c r="M16" s="154" t="s">
        <v>176</v>
      </c>
      <c r="N16" s="154" t="s">
        <v>377</v>
      </c>
    </row>
    <row r="17" spans="3:16">
      <c r="K17" s="225" t="s">
        <v>353</v>
      </c>
      <c r="L17" s="3" t="e">
        <f>B_lost_coal_ext</f>
        <v>#REF!</v>
      </c>
      <c r="M17" s="3">
        <f>B_lost_coal_haul</f>
        <v>0</v>
      </c>
      <c r="N17" s="3">
        <f>B_lost_coke_oven</f>
        <v>-690496.20959210396</v>
      </c>
    </row>
    <row r="18" spans="3:16">
      <c r="E18" s="169" t="s">
        <v>356</v>
      </c>
    </row>
    <row r="19" spans="3:16" ht="17">
      <c r="E19" s="28" t="s">
        <v>11</v>
      </c>
      <c r="L19" s="396" t="s">
        <v>442</v>
      </c>
      <c r="M19" s="396"/>
    </row>
    <row r="20" spans="3:16">
      <c r="C20" s="422" t="s">
        <v>353</v>
      </c>
      <c r="E20" s="154" t="s">
        <v>350</v>
      </c>
      <c r="L20" s="421" t="s">
        <v>48</v>
      </c>
      <c r="M20" s="421"/>
    </row>
    <row r="21" spans="3:16" ht="14.5" customHeight="1">
      <c r="C21" s="422"/>
      <c r="D21" s="153" t="s">
        <v>357</v>
      </c>
      <c r="E21" s="3">
        <f>Beneficiation_CoalWaste</f>
        <v>25.30269587260743</v>
      </c>
      <c r="L21" s="193" t="s">
        <v>81</v>
      </c>
      <c r="M21" s="193" t="s">
        <v>352</v>
      </c>
      <c r="P21"/>
    </row>
    <row r="22" spans="3:16" ht="17" customHeight="1">
      <c r="C22" s="422"/>
      <c r="D22" s="153" t="s">
        <v>23</v>
      </c>
      <c r="E22" s="3" t="s">
        <v>98</v>
      </c>
      <c r="K22" s="222" t="s">
        <v>400</v>
      </c>
      <c r="L22" s="3">
        <f>B_lost_mixer</f>
        <v>0</v>
      </c>
      <c r="M22" s="3">
        <f>B_lost_blast_furnace</f>
        <v>468373.15854303847</v>
      </c>
    </row>
    <row r="23" spans="3:16">
      <c r="C23" s="422"/>
      <c r="D23" s="3" t="s">
        <v>19</v>
      </c>
      <c r="E23" s="17">
        <f>SUM(E21:E22)</f>
        <v>25.30269587260743</v>
      </c>
    </row>
    <row r="25" spans="3:16">
      <c r="K25"/>
    </row>
    <row r="29" spans="3:16">
      <c r="P29"/>
    </row>
    <row r="30" spans="3:16">
      <c r="P30"/>
    </row>
    <row r="31" spans="3:16">
      <c r="P31"/>
    </row>
    <row r="32" spans="3:16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>
      <c r="H2" s="314" t="s">
        <v>70</v>
      </c>
      <c r="I2" s="314"/>
      <c r="J2" s="314"/>
      <c r="K2" s="314"/>
      <c r="L2" s="314"/>
      <c r="M2" s="314"/>
    </row>
    <row r="3" spans="3:69" ht="18">
      <c r="C3" s="13" t="s">
        <v>65</v>
      </c>
      <c r="D3" s="13" t="s">
        <v>71</v>
      </c>
      <c r="E3" s="20" t="s">
        <v>72</v>
      </c>
      <c r="F3" s="20" t="s">
        <v>73</v>
      </c>
      <c r="H3" s="314" t="s">
        <v>74</v>
      </c>
      <c r="I3" s="314"/>
      <c r="J3" s="314"/>
      <c r="K3" s="13"/>
      <c r="L3" s="319" t="s">
        <v>75</v>
      </c>
      <c r="M3" s="319"/>
      <c r="N3" s="7"/>
      <c r="AN3" s="431" t="s">
        <v>78</v>
      </c>
      <c r="AO3" s="431"/>
      <c r="AP3" s="431"/>
      <c r="AQ3" s="431"/>
      <c r="AR3" s="431"/>
      <c r="AS3" s="431"/>
      <c r="AT3" s="431"/>
      <c r="AU3" s="431"/>
      <c r="AV3" s="431"/>
      <c r="AW3" s="431"/>
      <c r="AX3" s="431"/>
      <c r="AY3" s="431"/>
      <c r="AZ3" s="431"/>
      <c r="BA3" s="431"/>
      <c r="BB3" s="431"/>
      <c r="BC3" s="431"/>
      <c r="BD3" s="431"/>
      <c r="BE3" s="431"/>
      <c r="BF3" s="431"/>
      <c r="BG3" s="431"/>
      <c r="BH3" s="431"/>
      <c r="BI3" s="431"/>
      <c r="BJ3" s="431"/>
      <c r="BK3" s="431"/>
    </row>
    <row r="4" spans="3:69" ht="17">
      <c r="C4" s="13" t="s">
        <v>11</v>
      </c>
      <c r="D4" s="13" t="s">
        <v>76</v>
      </c>
      <c r="E4" s="13"/>
      <c r="F4" s="13"/>
      <c r="AN4" s="431"/>
      <c r="AO4" s="431"/>
      <c r="AP4" s="431"/>
      <c r="AQ4" s="431"/>
      <c r="AR4" s="431"/>
      <c r="AS4" s="431"/>
      <c r="AT4" s="431"/>
      <c r="AU4" s="431"/>
      <c r="AV4" s="431"/>
      <c r="AW4" s="431"/>
      <c r="AX4" s="431"/>
      <c r="AY4" s="431"/>
      <c r="AZ4" s="431"/>
      <c r="BA4" s="431"/>
      <c r="BB4" s="431"/>
      <c r="BC4" s="431"/>
      <c r="BD4" s="431"/>
      <c r="BE4" s="431"/>
      <c r="BF4" s="431"/>
      <c r="BG4" s="431"/>
      <c r="BH4" s="431"/>
      <c r="BI4" s="431"/>
      <c r="BJ4" s="431"/>
      <c r="BK4" s="431"/>
    </row>
    <row r="5" spans="3:69">
      <c r="C5" s="32">
        <v>1</v>
      </c>
      <c r="D5" s="13">
        <f>F12</f>
        <v>62.333413951215377</v>
      </c>
      <c r="E5" s="13">
        <v>2</v>
      </c>
      <c r="F5" s="13">
        <v>3.76</v>
      </c>
      <c r="H5" s="31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4"/>
      <c r="J5" s="314"/>
      <c r="K5" s="314"/>
      <c r="L5" s="314"/>
      <c r="M5" s="314"/>
      <c r="AN5" s="431"/>
      <c r="AO5" s="431"/>
      <c r="AP5" s="431"/>
      <c r="AQ5" s="431"/>
      <c r="AR5" s="431"/>
      <c r="AS5" s="431"/>
      <c r="AT5" s="431"/>
      <c r="AU5" s="431"/>
      <c r="AV5" s="431"/>
      <c r="AW5" s="431"/>
      <c r="AX5" s="431"/>
      <c r="AY5" s="431"/>
      <c r="AZ5" s="431"/>
      <c r="BA5" s="431"/>
      <c r="BB5" s="431"/>
      <c r="BC5" s="431"/>
      <c r="BD5" s="431"/>
      <c r="BE5" s="431"/>
      <c r="BF5" s="431"/>
      <c r="BG5" s="431"/>
      <c r="BH5" s="431"/>
      <c r="BI5" s="431"/>
      <c r="BJ5" s="431"/>
      <c r="BK5" s="431"/>
    </row>
    <row r="8" spans="3:69" ht="14.5" customHeight="1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0">
        <v>6</v>
      </c>
      <c r="BJ10" s="430"/>
      <c r="BK10" s="430"/>
      <c r="BL10" s="430"/>
      <c r="BM10" s="430"/>
      <c r="BN10" s="430"/>
      <c r="BO10" s="430"/>
      <c r="BP10" s="430"/>
      <c r="BQ10" s="430"/>
    </row>
    <row r="11" spans="3:69" ht="18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0"/>
      <c r="BJ11" s="430"/>
      <c r="BK11" s="430"/>
      <c r="BL11" s="430"/>
      <c r="BM11" s="430"/>
      <c r="BN11" s="430"/>
      <c r="BO11" s="430"/>
      <c r="BP11" s="430"/>
      <c r="BQ11" s="430"/>
    </row>
    <row r="12" spans="3:69" ht="18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>
      <c r="BI17" s="427" t="s">
        <v>112</v>
      </c>
    </row>
    <row r="18" spans="3:87" ht="18.5" customHeight="1">
      <c r="BI18" s="427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>
      <c r="BI19" s="427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>
      <c r="BI20" s="42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>
      <c r="BI21" s="42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>
      <c r="C28" s="425">
        <v>1</v>
      </c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  <c r="O28" s="425"/>
      <c r="P28" s="1"/>
      <c r="Q28" s="1"/>
      <c r="R28" s="1"/>
      <c r="S28" s="1"/>
      <c r="T28" s="1"/>
      <c r="U28" s="1"/>
      <c r="V28" s="1"/>
      <c r="W28" s="424">
        <v>3</v>
      </c>
      <c r="X28" s="424"/>
      <c r="Y28" s="424"/>
      <c r="Z28" s="424"/>
      <c r="AA28" s="424"/>
      <c r="AB28" s="424"/>
      <c r="AC28" s="424"/>
      <c r="AD28" s="424"/>
      <c r="AE28" s="424"/>
      <c r="AF28" s="424"/>
      <c r="AG28" s="42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5">
        <v>4</v>
      </c>
      <c r="AU28" s="425"/>
      <c r="AV28" s="425"/>
      <c r="AW28" s="425"/>
      <c r="AX28" s="425"/>
      <c r="AY28" s="425"/>
      <c r="AZ28" s="425"/>
      <c r="BA28" s="425"/>
      <c r="BB28" s="425"/>
      <c r="BC28" s="425"/>
      <c r="BD28" s="425"/>
      <c r="BE28" s="425"/>
      <c r="BF28" s="425"/>
      <c r="BG28" s="425"/>
      <c r="BH28" s="425"/>
      <c r="BI28" s="425"/>
      <c r="BT28" s="425">
        <v>5</v>
      </c>
      <c r="BU28" s="425"/>
      <c r="BV28" s="425"/>
      <c r="BW28" s="425"/>
      <c r="BX28" s="425"/>
      <c r="BY28" s="425"/>
      <c r="BZ28" s="425"/>
      <c r="CA28" s="425"/>
      <c r="CB28" s="425"/>
      <c r="CC28" s="425"/>
      <c r="CD28" s="425"/>
      <c r="CE28" s="425"/>
      <c r="CF28" s="425"/>
      <c r="CG28" s="425"/>
      <c r="CH28" s="425"/>
      <c r="CI28" s="425"/>
    </row>
    <row r="29" spans="3:87" ht="20.5" customHeight="1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>
      <c r="C34" s="42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>
      <c r="C35" s="429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>
      <c r="C36" s="429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>
      <c r="C37" s="42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8" t="s">
        <v>80</v>
      </c>
      <c r="AK37" s="428"/>
      <c r="AL37" s="428"/>
      <c r="AM37" s="428"/>
      <c r="AN37" s="428"/>
      <c r="AO37" s="42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8" t="s">
        <v>81</v>
      </c>
      <c r="S38" s="428"/>
      <c r="T38" s="428"/>
      <c r="U38" s="42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8"/>
      <c r="AK38" s="428"/>
      <c r="AL38" s="428"/>
      <c r="AM38" s="428"/>
      <c r="AN38" s="428"/>
      <c r="AO38" s="42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8" t="s">
        <v>97</v>
      </c>
      <c r="BM38" s="428"/>
      <c r="BN38" s="428"/>
      <c r="BO38" s="42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8"/>
      <c r="S39" s="428"/>
      <c r="T39" s="428"/>
      <c r="U39" s="42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8"/>
      <c r="AK39" s="428"/>
      <c r="AL39" s="428"/>
      <c r="AM39" s="428"/>
      <c r="AN39" s="428"/>
      <c r="AO39" s="428"/>
      <c r="AP39" s="51"/>
      <c r="AQ39" s="51"/>
      <c r="AR39" s="1"/>
      <c r="AS39" s="1"/>
      <c r="AT39" s="1"/>
      <c r="AU39" s="1"/>
      <c r="AV39" s="1"/>
      <c r="AW39" s="1"/>
      <c r="AX39" s="1"/>
      <c r="BL39" s="428"/>
      <c r="BM39" s="428"/>
      <c r="BN39" s="428"/>
      <c r="BO39" s="428"/>
      <c r="BS39" s="1"/>
      <c r="BT39" s="1"/>
      <c r="BU39" s="1"/>
      <c r="BV39" s="1"/>
      <c r="BW39" s="1"/>
      <c r="BX39" s="1"/>
    </row>
    <row r="40" spans="3:87" ht="15.5" customHeight="1">
      <c r="C40" s="45"/>
      <c r="D40" s="1"/>
      <c r="E40" s="1"/>
      <c r="H40" s="4"/>
      <c r="I40" s="4"/>
      <c r="N40" s="1"/>
      <c r="O40" s="1"/>
      <c r="P40" s="1"/>
      <c r="Q40" s="1"/>
      <c r="R40" s="428"/>
      <c r="S40" s="428"/>
      <c r="T40" s="428"/>
      <c r="U40" s="42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8"/>
      <c r="AK40" s="428"/>
      <c r="AL40" s="428"/>
      <c r="AM40" s="428"/>
      <c r="AN40" s="428"/>
      <c r="AO40" s="428"/>
      <c r="AP40" s="51"/>
      <c r="AQ40" s="51"/>
      <c r="AR40" s="1"/>
      <c r="AS40" s="56"/>
      <c r="AT40" s="1"/>
      <c r="AU40" s="1"/>
      <c r="AV40" s="1"/>
      <c r="AW40" s="1"/>
      <c r="AX40" s="1"/>
      <c r="BL40" s="428"/>
      <c r="BM40" s="428"/>
      <c r="BN40" s="428"/>
      <c r="BO40" s="428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8"/>
      <c r="AK41" s="428"/>
      <c r="AL41" s="428"/>
      <c r="AM41" s="428"/>
      <c r="AN41" s="428"/>
      <c r="AO41" s="428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61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8"/>
      <c r="AK42" s="428"/>
      <c r="AL42" s="428"/>
      <c r="AM42" s="428"/>
      <c r="AN42" s="428"/>
      <c r="AO42" s="428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65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6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6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65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6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>
      <c r="C47" s="426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>
      <c r="C48" s="426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>
      <c r="C49" s="426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>
      <c r="C50" s="426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>
      <c r="C51" s="426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>
      <c r="C57" s="424">
        <v>2</v>
      </c>
      <c r="D57" s="424"/>
      <c r="E57" s="424"/>
      <c r="F57" s="424"/>
      <c r="G57" s="424"/>
      <c r="H57" s="424"/>
      <c r="I57" s="424"/>
      <c r="J57" s="424"/>
      <c r="K57" s="424"/>
      <c r="L57" s="424"/>
      <c r="M57" s="424"/>
      <c r="N57" s="424"/>
      <c r="O57" s="42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>
      <c r="P62" s="1"/>
      <c r="Q62" s="1"/>
    </row>
    <row r="63" spans="3:77" ht="14.5" customHeight="1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>
      <c r="N67" s="5"/>
      <c r="O67" s="1"/>
      <c r="P67" s="1"/>
    </row>
    <row r="68" spans="14:34" ht="29">
      <c r="N68" s="5"/>
      <c r="O68" s="1"/>
      <c r="P68" s="1"/>
    </row>
    <row r="69" spans="14:34" ht="29">
      <c r="N69" s="5"/>
    </row>
    <row r="70" spans="14:34" ht="29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/>
  <sheetData>
    <row r="2" spans="1:23">
      <c r="B2" s="164"/>
      <c r="C2" s="164"/>
      <c r="D2" s="164"/>
      <c r="E2" s="164"/>
      <c r="F2" s="164"/>
      <c r="G2" s="164"/>
      <c r="H2" s="164"/>
      <c r="I2" s="164"/>
    </row>
    <row r="3" spans="1:23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>
      <c r="A4" s="164"/>
      <c r="B4" s="166"/>
      <c r="C4" s="166"/>
      <c r="D4" s="315" t="s">
        <v>317</v>
      </c>
      <c r="E4" s="315"/>
      <c r="F4" s="315"/>
      <c r="G4" s="315"/>
      <c r="H4" s="164"/>
      <c r="I4" s="164"/>
      <c r="P4" s="164"/>
      <c r="Q4" s="164"/>
      <c r="R4" s="164"/>
      <c r="S4" s="398" t="s">
        <v>355</v>
      </c>
      <c r="T4" s="398"/>
      <c r="U4" s="398"/>
      <c r="V4" s="398"/>
      <c r="W4" s="164"/>
    </row>
    <row r="5" spans="1:23">
      <c r="A5" s="164"/>
      <c r="B5" s="166"/>
      <c r="C5" s="166"/>
      <c r="D5" s="421" t="s">
        <v>82</v>
      </c>
      <c r="E5" s="421"/>
      <c r="F5" s="421"/>
      <c r="G5" s="421"/>
      <c r="H5" s="164"/>
      <c r="I5" s="164"/>
      <c r="P5" s="164"/>
      <c r="Q5" s="164"/>
      <c r="R5" s="164"/>
      <c r="S5" s="398"/>
      <c r="T5" s="398"/>
      <c r="U5" s="398"/>
      <c r="V5" s="398"/>
      <c r="W5" s="164"/>
    </row>
    <row r="6" spans="1:23" ht="15" customHeight="1">
      <c r="A6" s="164"/>
      <c r="B6" s="401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398"/>
      <c r="T6" s="398"/>
      <c r="U6" s="398"/>
      <c r="V6" s="398"/>
      <c r="W6" s="164"/>
    </row>
    <row r="7" spans="1:23" ht="16" thickBot="1">
      <c r="A7" s="164"/>
      <c r="B7" s="401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399"/>
      <c r="T7" s="399"/>
      <c r="U7" s="399"/>
      <c r="V7" s="399"/>
      <c r="W7" s="164"/>
    </row>
    <row r="8" spans="1:23">
      <c r="A8" s="164"/>
      <c r="B8" s="401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398" t="s">
        <v>354</v>
      </c>
      <c r="R8" s="414"/>
      <c r="S8" s="416" t="s">
        <v>341</v>
      </c>
      <c r="T8" s="417"/>
      <c r="U8" s="402" t="s">
        <v>404</v>
      </c>
      <c r="V8" s="403"/>
      <c r="W8" s="164"/>
    </row>
    <row r="9" spans="1:23">
      <c r="A9" s="164"/>
      <c r="B9" s="401"/>
      <c r="C9" s="146" t="s">
        <v>404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398"/>
      <c r="R9" s="414"/>
      <c r="S9" s="418"/>
      <c r="T9" s="419"/>
      <c r="U9" s="404"/>
      <c r="V9" s="405"/>
      <c r="W9" s="164"/>
    </row>
    <row r="10" spans="1:23">
      <c r="A10" s="164"/>
      <c r="C10" s="132"/>
      <c r="D10" s="164"/>
      <c r="E10" s="200"/>
      <c r="F10" s="200"/>
      <c r="G10" s="200"/>
      <c r="H10" s="166"/>
      <c r="I10" s="164"/>
      <c r="P10" s="164"/>
      <c r="Q10" s="398"/>
      <c r="R10" s="414"/>
      <c r="S10" s="418"/>
      <c r="T10" s="419"/>
      <c r="U10" s="404"/>
      <c r="V10" s="405"/>
      <c r="W10" s="164"/>
    </row>
    <row r="11" spans="1:23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398"/>
      <c r="R11" s="414"/>
      <c r="S11" s="418"/>
      <c r="T11" s="419"/>
      <c r="U11" s="404"/>
      <c r="V11" s="405"/>
      <c r="W11" s="164"/>
    </row>
    <row r="12" spans="1:23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2" t="s">
        <v>403</v>
      </c>
      <c r="R12" s="414"/>
      <c r="S12" s="410" t="s">
        <v>316</v>
      </c>
      <c r="T12" s="411"/>
      <c r="U12" s="406" t="s">
        <v>342</v>
      </c>
      <c r="V12" s="407"/>
      <c r="W12" s="164"/>
    </row>
    <row r="13" spans="1:23">
      <c r="A13" s="164"/>
      <c r="B13" s="166"/>
      <c r="C13" s="166"/>
      <c r="D13" s="315" t="s">
        <v>317</v>
      </c>
      <c r="E13" s="315"/>
      <c r="F13" s="315"/>
      <c r="G13" s="315"/>
      <c r="H13" s="315"/>
      <c r="I13" s="164"/>
      <c r="P13" s="164"/>
      <c r="Q13" s="398"/>
      <c r="R13" s="414"/>
      <c r="S13" s="410"/>
      <c r="T13" s="411"/>
      <c r="U13" s="406"/>
      <c r="V13" s="407"/>
      <c r="W13" s="164"/>
    </row>
    <row r="14" spans="1:23" ht="15" customHeight="1">
      <c r="A14" s="164"/>
      <c r="B14" s="166"/>
      <c r="C14" s="166"/>
      <c r="D14" s="421" t="s">
        <v>82</v>
      </c>
      <c r="E14" s="421"/>
      <c r="F14" s="421"/>
      <c r="G14" s="421"/>
      <c r="H14" s="421"/>
      <c r="I14" s="164"/>
      <c r="P14" s="164"/>
      <c r="Q14" s="398"/>
      <c r="R14" s="414"/>
      <c r="S14" s="410"/>
      <c r="T14" s="411"/>
      <c r="U14" s="406"/>
      <c r="V14" s="407"/>
      <c r="W14" s="164"/>
    </row>
    <row r="15" spans="1:23" ht="16" thickBot="1">
      <c r="A15" s="164"/>
      <c r="B15" s="400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398"/>
      <c r="R15" s="414"/>
      <c r="S15" s="412"/>
      <c r="T15" s="413"/>
      <c r="U15" s="408"/>
      <c r="V15" s="409"/>
      <c r="W15" s="164"/>
    </row>
    <row r="16" spans="1:23">
      <c r="A16" s="164"/>
      <c r="B16" s="400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>
      <c r="A17" s="164"/>
      <c r="B17" s="400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>
      <c r="A18" s="164"/>
      <c r="B18" s="400"/>
      <c r="C18" s="146" t="s">
        <v>404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>
      <c r="A19" s="164"/>
      <c r="C19" s="132"/>
      <c r="D19" s="164"/>
      <c r="E19" s="200"/>
      <c r="F19" s="200"/>
      <c r="G19" s="200"/>
      <c r="H19" s="200"/>
      <c r="I19" s="164"/>
      <c r="L19" t="s">
        <v>445</v>
      </c>
    </row>
    <row r="20" spans="1:1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>
      <c r="A21" s="164"/>
      <c r="B21" s="166"/>
      <c r="C21" s="166"/>
      <c r="D21" s="315" t="s">
        <v>317</v>
      </c>
      <c r="E21" s="315"/>
      <c r="F21" s="315"/>
      <c r="G21" s="315"/>
      <c r="H21" s="164"/>
      <c r="I21" s="164"/>
    </row>
    <row r="22" spans="1:12" ht="15" customHeight="1">
      <c r="A22" s="164"/>
      <c r="B22" s="166"/>
      <c r="C22" s="166"/>
      <c r="D22" s="421" t="s">
        <v>82</v>
      </c>
      <c r="E22" s="421"/>
      <c r="F22" s="421"/>
      <c r="G22" s="421"/>
      <c r="H22" s="164"/>
      <c r="I22" s="164"/>
    </row>
    <row r="23" spans="1:12">
      <c r="A23" s="164"/>
      <c r="B23" s="422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377</v>
      </c>
      <c r="H23" s="164"/>
      <c r="I23" s="164"/>
    </row>
    <row r="24" spans="1:12">
      <c r="A24" s="164"/>
      <c r="B24" s="422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>
      <c r="A25" s="164"/>
      <c r="B25" s="422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>
        <f>Rational_Cokeoven</f>
        <v>1.1682142312228616</v>
      </c>
      <c r="H25" s="164"/>
      <c r="I25" s="164"/>
    </row>
    <row r="26" spans="1:12">
      <c r="A26" s="164"/>
      <c r="B26" s="422"/>
      <c r="C26" s="146" t="s">
        <v>404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>
        <f>Resource_CokeBeneficiation</f>
        <v>0.65561899733665829</v>
      </c>
      <c r="I26" s="164"/>
    </row>
    <row r="27" spans="1:1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>
      <c r="A32" s="164"/>
      <c r="B32" s="420" t="s">
        <v>400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>
      <c r="A33" s="164"/>
      <c r="B33" s="420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>
      <c r="A34" s="164"/>
      <c r="B34" s="420"/>
      <c r="C34" s="147" t="s">
        <v>342</v>
      </c>
      <c r="D34" s="3">
        <f>Rational_mixer</f>
        <v>1.0471327182137737</v>
      </c>
      <c r="E34" s="3">
        <f>Rational_BF</f>
        <v>0.36423244157899365</v>
      </c>
      <c r="F34" s="164"/>
      <c r="G34" s="164"/>
      <c r="H34" s="164"/>
      <c r="I34" s="164"/>
    </row>
    <row r="35" spans="1:9">
      <c r="A35" s="164"/>
      <c r="B35" s="420"/>
      <c r="C35" s="146" t="s">
        <v>404</v>
      </c>
      <c r="D35" s="3">
        <f>Resource_Mixer</f>
        <v>1.1301941801747158E-2</v>
      </c>
      <c r="E35" s="3">
        <f>Resource_BF</f>
        <v>0.32735678235350096</v>
      </c>
      <c r="F35" s="164"/>
      <c r="G35" s="164"/>
      <c r="H35" s="164"/>
      <c r="I35" s="164"/>
    </row>
    <row r="36" spans="1:9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>
      <c r="D49" s="296"/>
      <c r="E49" s="296"/>
    </row>
    <row r="50" spans="2:5">
      <c r="C50" s="202" t="s">
        <v>683</v>
      </c>
      <c r="D50" s="202" t="s">
        <v>684</v>
      </c>
      <c r="E50" s="202" t="s">
        <v>685</v>
      </c>
    </row>
    <row r="51" spans="2:5">
      <c r="B51" s="202" t="s">
        <v>412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>
      <c r="B52" s="202" t="s">
        <v>413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>
      <c r="B53" s="202" t="s">
        <v>414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>
      <c r="B54" s="202" t="s">
        <v>561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>
      <c r="B55" s="202" t="s">
        <v>540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>
      <c r="B56" s="202" t="s">
        <v>539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>
      <c r="B57" s="202" t="s">
        <v>439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>
      <c r="B58" s="202" t="s">
        <v>436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>
      <c r="B59" s="202" t="s">
        <v>454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>
      <c r="B60" s="202" t="s">
        <v>437</v>
      </c>
      <c r="C60" s="3" t="s">
        <v>386</v>
      </c>
      <c r="D60" s="3">
        <f>Rational_Kiln</f>
        <v>3.091879127893386E-2</v>
      </c>
      <c r="E60" s="3">
        <f>Resource_Kiln</f>
        <v>2.2384370405662918E-4</v>
      </c>
    </row>
    <row r="61" spans="2:5">
      <c r="B61" s="202" t="s">
        <v>432</v>
      </c>
      <c r="C61" s="3" t="s">
        <v>386</v>
      </c>
      <c r="D61" s="3">
        <f>Rational_Cokeoven</f>
        <v>1.1682142312228616</v>
      </c>
      <c r="E61" s="3">
        <f>Resource_Cokeoven</f>
        <v>0.65561899733665829</v>
      </c>
    </row>
    <row r="62" spans="2:5">
      <c r="B62" s="202" t="s">
        <v>665</v>
      </c>
      <c r="C62" s="3" t="e">
        <f>Bejan_COGtreatment</f>
        <v>#REF!</v>
      </c>
      <c r="D62" s="3">
        <f>Rational_COGtreatment</f>
        <v>0.96999238670850507</v>
      </c>
      <c r="E62" s="3">
        <f>Resource_COGtreatment</f>
        <v>0.22434360322375116</v>
      </c>
    </row>
    <row r="63" spans="2:5">
      <c r="B63" s="202" t="s">
        <v>668</v>
      </c>
      <c r="C63" s="3" t="s">
        <v>386</v>
      </c>
      <c r="D63" s="3">
        <f>Rational_COGdistribution</f>
        <v>1</v>
      </c>
      <c r="E63" s="3">
        <f>Resource_COGdistribution</f>
        <v>1</v>
      </c>
    </row>
    <row r="64" spans="2:5">
      <c r="B64" s="202" t="s">
        <v>81</v>
      </c>
      <c r="C64" s="3" t="s">
        <v>386</v>
      </c>
      <c r="D64" s="3">
        <f>Rational_mixer</f>
        <v>1.0471327182137737</v>
      </c>
      <c r="E64" s="3">
        <f>Resource_Mixer</f>
        <v>1.1301941801747158E-2</v>
      </c>
    </row>
    <row r="65" spans="2:5">
      <c r="B65" s="202" t="s">
        <v>424</v>
      </c>
      <c r="C65" s="3" t="s">
        <v>386</v>
      </c>
      <c r="D65" s="3">
        <f>Rational_BF</f>
        <v>0.36423244157899365</v>
      </c>
      <c r="E65" s="3">
        <f>Resource_BF</f>
        <v>0.32735678235350096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342</vt:i4>
      </vt:variant>
    </vt:vector>
  </HeadingPairs>
  <TitlesOfParts>
    <vt:vector size="355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NCV_bituminous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2025-07-21T18:57:05Z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