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mkh2/github/MaterialExergyPaper2025/data/"/>
    </mc:Choice>
  </mc:AlternateContent>
  <xr:revisionPtr revIDLastSave="0" documentId="13_ncr:1_{DA9574F6-4905-754F-B39C-788EC89C322F}" xr6:coauthVersionLast="47" xr6:coauthVersionMax="47" xr10:uidLastSave="{00000000-0000-0000-0000-000000000000}"/>
  <bookViews>
    <workbookView xWindow="0" yWindow="500" windowWidth="51200" windowHeight="28300" activeTab="4" xr2:uid="{B56C0490-30AA-4047-9BD3-68F16EDF25FC}"/>
  </bookViews>
  <sheets>
    <sheet name="Constants" sheetId="3" r:id="rId1"/>
    <sheet name="BF Calculator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Constants!$AC$4</definedName>
    <definedName name="Ash_in_coal">'BF Calculator'!$G$75</definedName>
    <definedName name="b_ch_Al2O3">Constants!$E$24</definedName>
    <definedName name="b_ch_C">Constants!$E$5</definedName>
    <definedName name="b_ch_C12H23">Constants!$E$41</definedName>
    <definedName name="b_ch_C2H4">Constants!$E$36</definedName>
    <definedName name="b_ch_C8H18">Constants!$E$40</definedName>
    <definedName name="b_ch_Ca">Constants!$H$6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'BF Calculator'!$M$91</definedName>
    <definedName name="b_ch_coke">'BF Calculator'!$N$91</definedName>
    <definedName name="b_ch_Fe">Constants!$E$9</definedName>
    <definedName name="b_ch_Fe2O3">Constants!$E$10</definedName>
    <definedName name="b_ch_FeC">Constants!$E$15</definedName>
    <definedName name="b_ch_H">Constants!$E$21</definedName>
    <definedName name="b_ch_H2">Constants!$H$8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oil">Constants!$E$42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Constants!$U$4</definedName>
    <definedName name="C_for_BF">'BF Calculator'!$L$23</definedName>
    <definedName name="C_Kiln_out">'BF Calculator'!$L$62</definedName>
    <definedName name="cal_to_kJ">Constants!$U$6</definedName>
    <definedName name="CH4_into_Kiln">'BF Calculator'!$C$51</definedName>
    <definedName name="CH4_out_COtreatment">'BF Calculator'!$Z$88</definedName>
    <definedName name="CH4_to_BF">'BF Calculator'!$Z$99</definedName>
    <definedName name="CH4_to_coke_oven">'BF Calculator'!$AH$99</definedName>
    <definedName name="CO_Kiln_Out">'BF Calculator'!$L$59</definedName>
    <definedName name="CO2_BF_Out">'BF Calculator'!$M$23</definedName>
    <definedName name="CO2_Diesel_molcoeff">'BF Calculator'!$M$222</definedName>
    <definedName name="CO2_from_coke_oven_comb">'BF Calculator'!$I$110</definedName>
    <definedName name="CO2_Gasoline_molcoeff">'BF Calculator'!$M$247</definedName>
    <definedName name="CO2_Kiln_Out">'BF Calculator'!$I$38</definedName>
    <definedName name="CO2_molcoeff">'BF Calculator'!$M$222</definedName>
    <definedName name="Co2_Naturalgas_molcoeff">'BF Calculator'!$M$280</definedName>
    <definedName name="Co2_Oil_molcoef">'BF Calculator'!$M$264</definedName>
    <definedName name="CO2_out_BF">'BF Calculator'!$M$153</definedName>
    <definedName name="CO2_out_Coal_Ext">'BF Calculator'!$I$222</definedName>
    <definedName name="CO2_out_coke_oven">'BF Calculator'!$M$187</definedName>
    <definedName name="COG_needed">'BF Calculator'!$G$74</definedName>
    <definedName name="Coking_BF_in">'BF Calculator'!$L$23</definedName>
    <definedName name="Diesel_N2_molcoeff">'BF Calculator'!$M$224</definedName>
    <definedName name="E_tot">'Energy X'!$F$19</definedName>
    <definedName name="Fe_BF_out">'BF Calculator'!$I$31</definedName>
    <definedName name="Fe2O3_BF_in">'BF Calculator'!$I$29</definedName>
    <definedName name="h_0_CO2">Constants!$R$5</definedName>
    <definedName name="h_0_H2O">Constants!$R$6</definedName>
    <definedName name="h_0_N2">Constants!$R$7</definedName>
    <definedName name="h_CO2">Constants!$P$5</definedName>
    <definedName name="h_fg_ash">Constants!$T$27</definedName>
    <definedName name="h_H2O">Constants!$P$6</definedName>
    <definedName name="h_N2">Constants!$P$7</definedName>
    <definedName name="H2_Kiln_Out">'BF Calculator'!$L$60</definedName>
    <definedName name="H2_out_COtreatment">'BF Calculator'!$Z$87</definedName>
    <definedName name="H2_to_BF">'BF Calculator'!$Z$98</definedName>
    <definedName name="H2_to_coke_oven">'BF Calculator'!$AH$98</definedName>
    <definedName name="H2O__Diesel_molcoeff">'BF Calculator'!$M$223</definedName>
    <definedName name="H2O_from_coke_oven_comb">'BF Calculator'!$I$111</definedName>
    <definedName name="H2O_Gasoline_molcoeff">'BF Calculator'!$M$248</definedName>
    <definedName name="H2O_molcoeff">'BF Calculator'!$M$223</definedName>
    <definedName name="H2O_Naturalgas_molcoeff">'BF Calculator'!$M$281</definedName>
    <definedName name="H2O_Oil_molcoeff">'BF Calculator'!$M$265</definedName>
    <definedName name="H2O_out_BF">'BF Calculator'!$M$152</definedName>
    <definedName name="H2O_out_Coal_Ext">'BF Calculator'!$I$223</definedName>
    <definedName name="H2O_out_coke_oven">'BF Calculator'!$M$186</definedName>
    <definedName name="kg_to_ton">Constants!$W$4</definedName>
    <definedName name="Kiln_CO2Waste">'Ore-&gt;PI'!$CH$142</definedName>
    <definedName name="Kiln_SolidWaste">'Ore-&gt;PI'!$CQ$114</definedName>
    <definedName name="kWh_to_kJ">Constants!$V$4</definedName>
    <definedName name="LHV_CH4">Constants!$Z$4</definedName>
    <definedName name="LHV_Diesel">Constants!$W$13</definedName>
    <definedName name="LHV_Gasoline">Constants!$Z$5</definedName>
    <definedName name="LHV_Oil">Constants!$Z$6</definedName>
    <definedName name="Lime_to_Energy_Conversion">Constants!$AF$3</definedName>
    <definedName name="Limestone_for_BF">'BF Calculator'!$L$27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'BF Calculator'!$I$39</definedName>
    <definedName name="mol_C_Coal">'BF Calculator'!$I$80</definedName>
    <definedName name="mol_C_Coal_in">'BF Calculator'!$I$83</definedName>
    <definedName name="mol_C_to_BF">'Ore-&gt;PI'!$CI$210</definedName>
    <definedName name="mol_Coal">'BF Calculator'!$L$83</definedName>
    <definedName name="mol_H_Coal">'BF Calculator'!$H$83</definedName>
    <definedName name="mol_N_Coal">'BF Calculator'!$K$83</definedName>
    <definedName name="mol_O_Coal">'BF Calculator'!$J$83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'BF Calculator'!$C$160</definedName>
    <definedName name="N2_BF_out">'BF Calculator'!$I$23</definedName>
    <definedName name="N2_for_coke_oven_comb">'BF Calculator'!$C$112</definedName>
    <definedName name="N2_from_coke_oven_comb">'BF Calculator'!$I$112</definedName>
    <definedName name="N2_in_Coal_Ext">'BF Calculator'!$C$224</definedName>
    <definedName name="N2_in_coke_oven">'BF Calculator'!$C$193</definedName>
    <definedName name="N2_Kiln_in">'BF Calculator'!$C$61</definedName>
    <definedName name="N2_molcoeff">'BF Calculator'!$G$224</definedName>
    <definedName name="N2_out_coke_oven">'BF Calculator'!$M$188</definedName>
    <definedName name="N2_out_COtreatment">'BF Calculator'!$Z$90</definedName>
    <definedName name="N2_to_BF_from_coke">'BF Calculator'!$Z$101</definedName>
    <definedName name="N2_to_coke_oven">'BF Calculator'!$AH$101</definedName>
    <definedName name="NCV_dry_anthrocite">Constants!$P$27</definedName>
    <definedName name="O2_added_BF">'BF Calculator'!$C$159</definedName>
    <definedName name="O2_BF_in">'BF Calculator'!$I$21</definedName>
    <definedName name="O2_Diesel_molcoeff">'BF Calculator'!$G$223</definedName>
    <definedName name="O2_for_coke_oven_comb">'BF Calculator'!$C$111</definedName>
    <definedName name="O2_Gasoline_molcoeff">'BF Calculator'!$G$248</definedName>
    <definedName name="O2_in_Coal_Ext">'BF Calculator'!$C$223</definedName>
    <definedName name="O2_in_coke_oven">'BF Calculator'!$C$192</definedName>
    <definedName name="O2_Kiln_in">'BF Calculator'!$C$60</definedName>
    <definedName name="O2_molcoeff">'BF Calculator'!$G$223</definedName>
    <definedName name="O2_Naturalgas_molcoeff">'BF Calculator'!$G$281</definedName>
    <definedName name="O2_Oil_molcoeff">'BF Calculator'!$G$265</definedName>
    <definedName name="O2_out_COtreatment">'BF Calculator'!$Z$89</definedName>
    <definedName name="O2_to_BF_from_coke">'BF Calculator'!$Z$100</definedName>
    <definedName name="O2_to_coke_oven">'BF Calculator'!$AH$100</definedName>
    <definedName name="Ore_to_Kiln">Constants!$AC$3</definedName>
    <definedName name="phi_anthrocite">Constants!$O$27</definedName>
    <definedName name="phi_dry_constant_a_">Constants!$Q$27</definedName>
    <definedName name="phi_dry_constant_b">Constants!$R$27</definedName>
    <definedName name="phi_dry_constant_c">Constants!$S$27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'BF Calculator'!$I$37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Constants!$M$5</definedName>
    <definedName name="s_0_CO2">Constants!$S$5</definedName>
    <definedName name="s_0_H2O">Constants!$S$6</definedName>
    <definedName name="s_0_N2">Constants!$S$7</definedName>
    <definedName name="s_CO2">Constants!$Q$5</definedName>
    <definedName name="s_H2O">Constants!$Q$6</definedName>
    <definedName name="s_N2">Constants!$Q$7</definedName>
    <definedName name="S_units__MCC_B_RUVY_matrices_mat_level">MCC_B_RUVY_matrices_mat_level!$B$1:$C$35</definedName>
    <definedName name="S_units_M">'MCC M RUVY matrices (mat level)'!$B$1:$C$35</definedName>
    <definedName name="SiO2_BF_in">'BF Calculator'!$I$42</definedName>
    <definedName name="Slag_BF_out">'BF Calculator'!$I$43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7" i="17" l="1"/>
  <c r="G26" i="17"/>
  <c r="G25" i="17"/>
  <c r="G24" i="17"/>
  <c r="G28" i="17"/>
  <c r="F28" i="17"/>
  <c r="F27" i="17"/>
  <c r="F26" i="17"/>
  <c r="F25" i="17"/>
  <c r="F24" i="17"/>
  <c r="N83" i="11"/>
  <c r="M83" i="11"/>
  <c r="V14" i="21"/>
  <c r="V13" i="21"/>
  <c r="O21" i="21"/>
  <c r="N21" i="21"/>
  <c r="L21" i="21"/>
  <c r="D11" i="21"/>
  <c r="F18" i="21"/>
  <c r="D18" i="21"/>
  <c r="J5" i="21"/>
  <c r="C2" i="21"/>
  <c r="K21" i="21"/>
  <c r="I21" i="21"/>
  <c r="J21" i="21" s="1"/>
  <c r="F21" i="21"/>
  <c r="G21" i="21"/>
  <c r="D21" i="21"/>
  <c r="E21" i="21" s="1"/>
  <c r="H21" i="21" s="1"/>
  <c r="E18" i="21"/>
  <c r="G18" i="21"/>
  <c r="H18" i="21" s="1"/>
  <c r="V6" i="21" s="1"/>
  <c r="K5" i="21"/>
  <c r="U5" i="21" s="1"/>
  <c r="I5" i="21"/>
  <c r="H5" i="21"/>
  <c r="F5" i="21"/>
  <c r="E5" i="21"/>
  <c r="D15" i="21"/>
  <c r="E15" i="21" s="1"/>
  <c r="F15" i="21" s="1"/>
  <c r="J15" i="21"/>
  <c r="U6" i="21"/>
  <c r="H8" i="21"/>
  <c r="K11" i="21"/>
  <c r="E11" i="21"/>
  <c r="F11" i="21" s="1"/>
  <c r="G8" i="21"/>
  <c r="F8" i="21"/>
  <c r="E8" i="21"/>
  <c r="D8" i="21"/>
  <c r="D287" i="11"/>
  <c r="C297" i="11"/>
  <c r="B297" i="11"/>
  <c r="G294" i="11"/>
  <c r="E18" i="3"/>
  <c r="F294" i="11"/>
  <c r="E294" i="11"/>
  <c r="D294" i="11"/>
  <c r="C294" i="11"/>
  <c r="C293" i="11"/>
  <c r="BR258" i="9"/>
  <c r="BR156" i="9"/>
  <c r="F287" i="1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M5" i="3"/>
  <c r="D288" i="11"/>
  <c r="BI57" i="9"/>
  <c r="BI58" i="9"/>
  <c r="BI59" i="9"/>
  <c r="BI60" i="9"/>
  <c r="BH60" i="9"/>
  <c r="BH59" i="9"/>
  <c r="BH58" i="9"/>
  <c r="BH57" i="9"/>
  <c r="BG60" i="9"/>
  <c r="BG59" i="9"/>
  <c r="BG58" i="9"/>
  <c r="BG57" i="9"/>
  <c r="AQ60" i="9"/>
  <c r="AP60" i="9"/>
  <c r="AR60" i="9" s="1"/>
  <c r="AR59" i="9"/>
  <c r="AQ59" i="9"/>
  <c r="AP59" i="9"/>
  <c r="AR58" i="9"/>
  <c r="AQ58" i="9"/>
  <c r="AP58" i="9"/>
  <c r="AQ57" i="9"/>
  <c r="AP57" i="9"/>
  <c r="AR57" i="9" s="1"/>
  <c r="Z57" i="9"/>
  <c r="Z58" i="9"/>
  <c r="Z59" i="9"/>
  <c r="Z60" i="9"/>
  <c r="Y60" i="9"/>
  <c r="Y59" i="9"/>
  <c r="Y58" i="9"/>
  <c r="Y57" i="9"/>
  <c r="X60" i="9"/>
  <c r="X59" i="9"/>
  <c r="X58" i="9"/>
  <c r="X57" i="9"/>
  <c r="CJ145" i="9"/>
  <c r="CL145" i="9"/>
  <c r="CL144" i="9"/>
  <c r="CL142" i="9"/>
  <c r="CL143" i="9"/>
  <c r="CJ143" i="9"/>
  <c r="CJ144" i="9"/>
  <c r="CJ142" i="9"/>
  <c r="CJ147" i="9" s="1"/>
  <c r="M60" i="11"/>
  <c r="M59" i="11"/>
  <c r="M62" i="11"/>
  <c r="Q61" i="11"/>
  <c r="E65" i="11"/>
  <c r="D65" i="11"/>
  <c r="D64" i="11"/>
  <c r="C65" i="11"/>
  <c r="F112" i="11"/>
  <c r="L112" i="11" s="1"/>
  <c r="M222" i="11"/>
  <c r="G223" i="11" s="1"/>
  <c r="E87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CL146" i="9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D282" i="11"/>
  <c r="J281" i="11"/>
  <c r="G265" i="11"/>
  <c r="J266" i="11"/>
  <c r="D266" i="11"/>
  <c r="J265" i="11"/>
  <c r="DY105" i="9"/>
  <c r="P19" i="3"/>
  <c r="D42" i="3"/>
  <c r="D264" i="11" s="1"/>
  <c r="U20" i="3"/>
  <c r="M248" i="11"/>
  <c r="M247" i="11"/>
  <c r="AH148" i="9"/>
  <c r="P13" i="3"/>
  <c r="Q13" i="3" s="1"/>
  <c r="U6" i="3"/>
  <c r="M223" i="11"/>
  <c r="E40" i="3"/>
  <c r="O155" i="9" s="1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BR230" i="9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D26" i="3"/>
  <c r="M214" i="9" s="1"/>
  <c r="D25" i="3"/>
  <c r="AX213" i="9" s="1"/>
  <c r="D24" i="3"/>
  <c r="CH221" i="9" s="1"/>
  <c r="D23" i="3"/>
  <c r="D22" i="3"/>
  <c r="AE51" i="9" s="1"/>
  <c r="AF51" i="9" s="1"/>
  <c r="D20" i="3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Z4" i="3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I15" i="21" l="1"/>
  <c r="K15" i="21" s="1"/>
  <c r="V5" i="21" s="1"/>
  <c r="M11" i="21"/>
  <c r="N11" i="21"/>
  <c r="P11" i="21" s="1"/>
  <c r="M21" i="21"/>
  <c r="P21" i="21" s="1"/>
  <c r="V7" i="21" s="1"/>
  <c r="I11" i="21"/>
  <c r="N91" i="11"/>
  <c r="G248" i="11"/>
  <c r="J217" i="11"/>
  <c r="M224" i="11"/>
  <c r="J242" i="11"/>
  <c r="M249" i="11"/>
  <c r="E229" i="9"/>
  <c r="Q19" i="3"/>
  <c r="Q20" i="3" s="1"/>
  <c r="U19" i="3" s="1"/>
  <c r="R19" i="3"/>
  <c r="R20" i="3" s="1"/>
  <c r="V19" i="3" s="1"/>
  <c r="V20" i="3" s="1"/>
  <c r="C42" i="3" s="1"/>
  <c r="E42" i="3" s="1"/>
  <c r="EA105" i="9" s="1"/>
  <c r="AF148" i="9"/>
  <c r="D249" i="11"/>
  <c r="Q14" i="3"/>
  <c r="U13" i="3" s="1"/>
  <c r="J249" i="11"/>
  <c r="J248" i="11"/>
  <c r="U14" i="3"/>
  <c r="M168" i="9"/>
  <c r="O168" i="9"/>
  <c r="AF147" i="9"/>
  <c r="AH147" i="9"/>
  <c r="R13" i="3"/>
  <c r="R14" i="3" s="1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AJ98" i="11"/>
  <c r="BR214" i="9"/>
  <c r="AB98" i="11"/>
  <c r="EF237" i="9"/>
  <c r="D16" i="3"/>
  <c r="AB77" i="11" s="1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D30" i="3"/>
  <c r="E30" i="3"/>
  <c r="M131" i="9"/>
  <c r="M132" i="9" s="1"/>
  <c r="O131" i="9"/>
  <c r="O51" i="9"/>
  <c r="M50" i="9"/>
  <c r="N50" i="9" s="1"/>
  <c r="M49" i="9"/>
  <c r="N49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E15" i="13"/>
  <c r="BG35" i="9"/>
  <c r="BO59" i="9"/>
  <c r="BP59" i="9" s="1"/>
  <c r="BO60" i="9"/>
  <c r="BP60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L11" i="21" l="1"/>
  <c r="J11" i="21"/>
  <c r="D265" i="11"/>
  <c r="DY144" i="9"/>
  <c r="D281" i="11"/>
  <c r="E85" i="11"/>
  <c r="D280" i="11"/>
  <c r="DY118" i="9"/>
  <c r="J264" i="11"/>
  <c r="J280" i="11"/>
  <c r="M266" i="11"/>
  <c r="J259" i="11" s="1"/>
  <c r="DY106" i="9"/>
  <c r="DY119" i="9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Q6" i="3"/>
  <c r="BD44" i="8" s="1"/>
  <c r="P7" i="3"/>
  <c r="BN22" i="8" s="1"/>
  <c r="P6" i="3"/>
  <c r="BC44" i="8" s="1"/>
  <c r="Q5" i="3"/>
  <c r="BD43" i="8" s="1"/>
  <c r="P5" i="3"/>
  <c r="BN20" i="8" s="1"/>
  <c r="Q7" i="3"/>
  <c r="BD45" i="8" s="1"/>
  <c r="S7" i="3"/>
  <c r="R7" i="3"/>
  <c r="L5" i="3"/>
  <c r="K5" i="3"/>
  <c r="O11" i="21" l="1"/>
  <c r="Q11" i="21" s="1"/>
  <c r="U7" i="21" s="1"/>
  <c r="V123" i="15"/>
  <c r="V132" i="15" s="1"/>
  <c r="BJ98" i="15"/>
  <c r="V13" i="3"/>
  <c r="V14" i="3" s="1"/>
  <c r="C41" i="3" s="1"/>
  <c r="E41" i="3" s="1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AH146" i="9" s="1"/>
  <c r="E7" i="3"/>
  <c r="E6" i="3"/>
  <c r="O130" i="9" s="1"/>
  <c r="E5" i="3"/>
  <c r="BX43" i="8"/>
  <c r="BX44" i="8"/>
  <c r="BV43" i="8"/>
  <c r="BV44" i="8"/>
  <c r="D9" i="3"/>
  <c r="AE47" i="9"/>
  <c r="AE46" i="9"/>
  <c r="O144" i="9" l="1"/>
  <c r="O63" i="9"/>
  <c r="O226" i="9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L27" i="11" s="1"/>
  <c r="B51" i="11" s="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X55" i="9" l="1"/>
  <c r="BH61" i="9"/>
  <c r="BH55" i="9"/>
  <c r="AP56" i="9"/>
  <c r="AR56" i="9" s="1"/>
  <c r="Y56" i="9"/>
  <c r="Z56" i="9" s="1"/>
  <c r="BG55" i="9"/>
  <c r="AQ55" i="9"/>
  <c r="AQ61" i="9"/>
  <c r="BG61" i="9"/>
  <c r="BI61" i="9" s="1"/>
  <c r="C51" i="11"/>
  <c r="BO156" i="9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AP61" i="9" l="1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C145" i="15" s="1"/>
  <c r="C155" i="15" s="1"/>
  <c r="C163" i="15" s="1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AK123" i="15" l="1"/>
  <c r="E209" i="15" s="1"/>
  <c r="G12" i="17"/>
  <c r="I12" i="17" s="1"/>
  <c r="H12" i="17"/>
  <c r="N132" i="9"/>
  <c r="P131" i="9" s="1"/>
  <c r="Q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R131" i="9"/>
  <c r="S131" i="9" s="1"/>
  <c r="T131" i="9" s="1"/>
  <c r="U131" i="9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G7" i="17"/>
  <c r="I7" i="17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AT41" i="20" l="1"/>
  <c r="BG84" i="20"/>
  <c r="AV49" i="20"/>
  <c r="BG92" i="20"/>
  <c r="J176" i="20" s="1"/>
  <c r="AF67" i="9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J168" i="20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AF68" i="9"/>
  <c r="Y62" i="9" s="1"/>
  <c r="N76" i="9"/>
  <c r="N64" i="9"/>
  <c r="P63" i="9" s="1"/>
  <c r="Q63" i="9" s="1"/>
  <c r="R63" i="9" s="1"/>
  <c r="S63" i="9" s="1"/>
  <c r="T63" i="9" s="1"/>
  <c r="U63" i="9" s="1"/>
  <c r="U64" i="9" s="1"/>
  <c r="U59" i="9" s="1"/>
  <c r="AS88" i="20" s="1"/>
  <c r="G178" i="15"/>
  <c r="AD214" i="9"/>
  <c r="K214" i="9" s="1"/>
  <c r="N214" i="9" s="1"/>
  <c r="X240" i="9" s="1"/>
  <c r="BN214" i="9"/>
  <c r="CI240" i="9"/>
  <c r="CS246" i="9" s="1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S81" i="11"/>
  <c r="S80" i="11" s="1"/>
  <c r="F6" i="12"/>
  <c r="G6" i="12"/>
  <c r="F86" i="11"/>
  <c r="CK210" i="9"/>
  <c r="CL210" i="9" s="1"/>
  <c r="CM210" i="9" s="1"/>
  <c r="CN210" i="9" s="1"/>
  <c r="AS45" i="20" l="1"/>
  <c r="CT249" i="9"/>
  <c r="DP244" i="9"/>
  <c r="N77" i="9"/>
  <c r="X64" i="9" s="1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C91" i="11"/>
  <c r="CS248" i="9"/>
  <c r="Q88" i="11"/>
  <c r="L80" i="11"/>
  <c r="AM79" i="11"/>
  <c r="AM80" i="11" s="1"/>
  <c r="AC88" i="11" s="1"/>
  <c r="Z88" i="11" s="1"/>
  <c r="CU249" i="9"/>
  <c r="J213" i="20"/>
  <c r="J210" i="20"/>
  <c r="Z46" i="9"/>
  <c r="P29" i="9"/>
  <c r="P28" i="9"/>
  <c r="BD105" i="15"/>
  <c r="G189" i="15" s="1"/>
  <c r="BA114" i="15"/>
  <c r="C214" i="15" s="1"/>
  <c r="T64" i="9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Z63" i="9" l="1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D8" i="14"/>
  <c r="D6" i="12"/>
  <c r="E7" i="14"/>
  <c r="E5" i="12"/>
  <c r="D9" i="14"/>
  <c r="D7" i="12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AF69" i="9"/>
  <c r="Y64" i="9" s="1"/>
  <c r="Z64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AC210" i="9" s="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BI219" i="9" l="1"/>
  <c r="BH219" i="9"/>
  <c r="BJ219" i="9" s="1"/>
  <c r="AQ219" i="9"/>
  <c r="AP219" i="9"/>
  <c r="AQ221" i="9"/>
  <c r="AP221" i="9"/>
  <c r="AR221" i="9" s="1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H8" i="17" l="1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F18" i="17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K155" i="9" s="1"/>
  <c r="F10" i="17" s="1"/>
  <c r="H10" i="17" s="1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AY132" i="9" l="1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8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DX105" i="9"/>
  <c r="L155" i="9"/>
  <c r="K156" i="9"/>
  <c r="I111" i="11"/>
  <c r="C116" i="11"/>
  <c r="K110" i="11"/>
  <c r="E111" i="11" s="1"/>
  <c r="BX258" i="9"/>
  <c r="H157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EO117" i="9"/>
  <c r="DT107" i="9"/>
  <c r="N38" i="11"/>
  <c r="N36" i="11"/>
  <c r="F35" i="11"/>
  <c r="F38" i="11" s="1"/>
  <c r="G38" i="11" s="1"/>
  <c r="H141" i="9"/>
  <c r="AQ130" i="9"/>
  <c r="AI131" i="9"/>
  <c r="AJ131" i="9" s="1"/>
  <c r="AK131" i="9" s="1"/>
  <c r="AL131" i="9" s="1"/>
  <c r="AM131" i="9" s="1"/>
  <c r="AN131" i="9" s="1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AW48" i="20" l="1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S226" i="9" s="1"/>
  <c r="T226" i="9" s="1"/>
  <c r="U226" i="9" s="1"/>
  <c r="U227" i="9" s="1"/>
  <c r="U222" i="9" s="1"/>
  <c r="AU88" i="20" s="1"/>
  <c r="AU45" i="20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K281" i="11"/>
  <c r="I281" i="11" s="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M132" i="9"/>
  <c r="AN130" i="9"/>
  <c r="AI132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C291" i="11" l="1"/>
  <c r="E287" i="11"/>
  <c r="G287" i="11" s="1"/>
  <c r="H287" i="11" s="1"/>
  <c r="T227" i="9"/>
  <c r="Y233" i="9"/>
  <c r="Z233" i="9" s="1"/>
  <c r="Z234" i="9"/>
  <c r="W124" i="15"/>
  <c r="AY99" i="15"/>
  <c r="BC83" i="15"/>
  <c r="BC44" i="15" s="1"/>
  <c r="I151" i="15"/>
  <c r="I155" i="15" s="1"/>
  <c r="C169" i="15" s="1"/>
  <c r="AQ85" i="15"/>
  <c r="AQ46" i="15" s="1"/>
  <c r="BC86" i="15"/>
  <c r="W132" i="15"/>
  <c r="AK124" i="15"/>
  <c r="E210" i="15" s="1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K265" i="11"/>
  <c r="I265" i="11" s="1"/>
  <c r="K264" i="11"/>
  <c r="E265" i="11"/>
  <c r="E281" i="11"/>
  <c r="I280" i="11"/>
  <c r="DZ119" i="9"/>
  <c r="EB118" i="9" s="1"/>
  <c r="EC118" i="9" s="1"/>
  <c r="ED118" i="9" s="1"/>
  <c r="EE118" i="9" s="1"/>
  <c r="EF118" i="9" s="1"/>
  <c r="N156" i="9"/>
  <c r="P155" i="9" s="1"/>
  <c r="Q155" i="9" s="1"/>
  <c r="R155" i="9" s="1"/>
  <c r="S155" i="9" s="1"/>
  <c r="T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AW51" i="20" l="1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G232" i="11" s="1"/>
  <c r="G231" i="11" s="1"/>
  <c r="G230" i="11" s="1"/>
  <c r="C231" i="11"/>
  <c r="E232" i="11" s="1"/>
  <c r="I264" i="11"/>
  <c r="G281" i="11"/>
  <c r="C281" i="11"/>
  <c r="E282" i="11"/>
  <c r="E283" i="11" s="1"/>
  <c r="EG105" i="9"/>
  <c r="EG106" i="9" s="1"/>
  <c r="EG101" i="9" s="1"/>
  <c r="EF106" i="9"/>
  <c r="E266" i="11"/>
  <c r="C265" i="11"/>
  <c r="EG118" i="9"/>
  <c r="EG119" i="9" s="1"/>
  <c r="EG114" i="9" s="1"/>
  <c r="EF119" i="9"/>
  <c r="E248" i="11"/>
  <c r="K248" i="11"/>
  <c r="I248" i="11" s="1"/>
  <c r="K247" i="11"/>
  <c r="U155" i="9"/>
  <c r="U156" i="9" s="1"/>
  <c r="U151" i="9" s="1"/>
  <c r="T156" i="9"/>
  <c r="N167" i="9"/>
  <c r="X141" i="9" s="1"/>
  <c r="N145" i="9"/>
  <c r="P144" i="9" s="1"/>
  <c r="Q144" i="9" s="1"/>
  <c r="R144" i="9" s="1"/>
  <c r="S144" i="9" s="1"/>
  <c r="T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AZ56" i="20" l="1"/>
  <c r="BG99" i="20"/>
  <c r="Y139" i="9"/>
  <c r="Y141" i="9"/>
  <c r="Z139" i="9"/>
  <c r="Z141" i="9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J183" i="20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E230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T145" i="9"/>
  <c r="U144" i="9"/>
  <c r="U145" i="9" s="1"/>
  <c r="U140" i="9" s="1"/>
  <c r="K167" i="9"/>
  <c r="N168" i="9"/>
  <c r="X143" i="9" s="1"/>
  <c r="C113" i="11"/>
  <c r="I113" i="11"/>
  <c r="BK100" i="15"/>
  <c r="F13" i="13"/>
  <c r="BK89" i="15"/>
  <c r="D54" i="11"/>
  <c r="E60" i="1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N55" i="11" l="1"/>
  <c r="N59" i="11"/>
  <c r="E61" i="1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T88" i="20"/>
  <c r="BG88" i="20" s="1"/>
  <c r="K154" i="20"/>
  <c r="K159" i="20" s="1"/>
  <c r="F172" i="20" s="1"/>
  <c r="Z130" i="9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BB60" i="20" l="1"/>
  <c r="BG103" i="20"/>
  <c r="J187" i="20" s="1"/>
  <c r="C61" i="11"/>
  <c r="N61" i="11"/>
  <c r="J172" i="20"/>
  <c r="AT45" i="20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E16" i="14"/>
  <c r="E14" i="12"/>
  <c r="L167" i="9"/>
  <c r="G15" i="12"/>
  <c r="BN145" i="9" l="1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CB143" i="9" l="1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Z132" i="9"/>
  <c r="E18" i="14" s="1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CA143" i="9" l="1"/>
  <c r="CC143" i="9" s="1"/>
  <c r="BQ146" i="9"/>
  <c r="BS144" i="9" s="1"/>
  <c r="BW140" i="9"/>
  <c r="AY82" i="15" s="1"/>
  <c r="AY43" i="15" s="1"/>
  <c r="BO144" i="9"/>
  <c r="BO145" i="9"/>
  <c r="E16" i="12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R226" i="9" s="1"/>
  <c r="AT118" i="20"/>
  <c r="F208" i="20" s="1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BS145" i="9" l="1"/>
  <c r="BT145" i="9" s="1"/>
  <c r="BU145" i="9" s="1"/>
  <c r="BV145" i="9" s="1"/>
  <c r="BW145" i="9" s="1"/>
  <c r="BX145" i="9" s="1"/>
  <c r="BT144" i="9"/>
  <c r="BU144" i="9" s="1"/>
  <c r="BV144" i="9" s="1"/>
  <c r="BW144" i="9" s="1"/>
  <c r="BS146" i="9"/>
  <c r="AQ222" i="9"/>
  <c r="BH222" i="9"/>
  <c r="BJ222" i="9" s="1"/>
  <c r="R122" i="20"/>
  <c r="V130" i="9"/>
  <c r="L12" i="13" s="1"/>
  <c r="BM95" i="20"/>
  <c r="BN95" i="20" s="1"/>
  <c r="Z131" i="9"/>
  <c r="W130" i="9"/>
  <c r="R136" i="20"/>
  <c r="AN122" i="20"/>
  <c r="H208" i="20" s="1"/>
  <c r="J208" i="20" s="1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X144" i="9" l="1"/>
  <c r="BX146" i="9" s="1"/>
  <c r="BX140" i="9" s="1"/>
  <c r="BW146" i="9"/>
  <c r="CI227" i="9"/>
  <c r="CK221" i="9" s="1"/>
  <c r="CB223" i="9"/>
  <c r="CC223" i="9" s="1"/>
  <c r="AD127" i="15"/>
  <c r="BJ106" i="15"/>
  <c r="BK106" i="15" s="1"/>
  <c r="AD132" i="15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s="1"/>
  <c r="BA48" i="20" s="1"/>
  <c r="AS190" i="9" l="1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H15" i="17" l="1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E62" i="11" l="1"/>
  <c r="N63" i="11" s="1"/>
  <c r="N62" i="11"/>
  <c r="L62" i="11" s="1"/>
  <c r="N60" i="11"/>
  <c r="O55" i="11" s="1"/>
  <c r="BX156" i="9"/>
  <c r="BD83" i="15"/>
  <c r="G167" i="15" s="1"/>
  <c r="AY114" i="15"/>
  <c r="C212" i="15" s="1"/>
  <c r="BX157" i="9"/>
  <c r="D51" i="11"/>
  <c r="BX152" i="9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F62" i="11"/>
  <c r="J171" i="20"/>
  <c r="BB118" i="20"/>
  <c r="F216" i="20" s="1"/>
  <c r="L59" i="11"/>
  <c r="O60" i="11"/>
  <c r="L60" i="11" s="1"/>
  <c r="CH145" i="9" s="1"/>
  <c r="CK145" i="9" s="1"/>
  <c r="O63" i="11"/>
  <c r="O61" i="11"/>
  <c r="H16" i="12"/>
  <c r="CB144" i="9" l="1"/>
  <c r="CK142" i="9"/>
  <c r="CH142" i="9"/>
  <c r="CH144" i="9"/>
  <c r="CK144" i="9" s="1"/>
  <c r="H51" i="11"/>
  <c r="CB140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P210" i="9"/>
  <c r="AG217" i="9"/>
  <c r="N217" i="9"/>
  <c r="BX217" i="9"/>
  <c r="BX206" i="9" s="1"/>
  <c r="BW217" i="9"/>
  <c r="BA210" i="9"/>
  <c r="BB210" i="9" s="1"/>
  <c r="BC210" i="9" s="1"/>
  <c r="BD210" i="9" s="1"/>
  <c r="BE210" i="9" s="1"/>
  <c r="BK210" i="9" s="1"/>
  <c r="Q210" i="9"/>
  <c r="R210" i="9" s="1"/>
  <c r="S210" i="9" s="1"/>
  <c r="T210" i="9" s="1"/>
  <c r="P193" i="9" s="1"/>
  <c r="BA215" i="9"/>
  <c r="BB215" i="9" s="1"/>
  <c r="BC215" i="9" s="1"/>
  <c r="BD215" i="9" s="1"/>
  <c r="BE215" i="9" s="1"/>
  <c r="BF215" i="9" s="1"/>
  <c r="P214" i="9"/>
  <c r="Q214" i="9" s="1"/>
  <c r="R214" i="9" s="1"/>
  <c r="S214" i="9" s="1"/>
  <c r="T214" i="9" s="1"/>
  <c r="U214" i="9" s="1"/>
  <c r="P215" i="9"/>
  <c r="Q215" i="9" s="1"/>
  <c r="R215" i="9" s="1"/>
  <c r="S215" i="9" s="1"/>
  <c r="T215" i="9" s="1"/>
  <c r="U215" i="9" s="1"/>
  <c r="AI210" i="9"/>
  <c r="BA216" i="9"/>
  <c r="BB216" i="9" s="1"/>
  <c r="BC216" i="9" s="1"/>
  <c r="BD216" i="9" s="1"/>
  <c r="BE216" i="9" s="1"/>
  <c r="BF216" i="9" s="1"/>
  <c r="BA214" i="9"/>
  <c r="BB214" i="9" s="1"/>
  <c r="BC214" i="9" s="1"/>
  <c r="BD214" i="9" s="1"/>
  <c r="BE214" i="9" s="1"/>
  <c r="BF214" i="9" s="1"/>
  <c r="BA211" i="9"/>
  <c r="BB211" i="9" s="1"/>
  <c r="BC211" i="9" s="1"/>
  <c r="BD211" i="9" s="1"/>
  <c r="BE211" i="9" s="1"/>
  <c r="BF211" i="9" s="1"/>
  <c r="AI214" i="9"/>
  <c r="AJ214" i="9" s="1"/>
  <c r="AK214" i="9" s="1"/>
  <c r="AL214" i="9" s="1"/>
  <c r="AM214" i="9" s="1"/>
  <c r="AN214" i="9" s="1"/>
  <c r="BA213" i="9"/>
  <c r="BB213" i="9" s="1"/>
  <c r="BC213" i="9" s="1"/>
  <c r="BD213" i="9" s="1"/>
  <c r="BE213" i="9" s="1"/>
  <c r="BF213" i="9" s="1"/>
  <c r="P211" i="9"/>
  <c r="Q211" i="9" s="1"/>
  <c r="R211" i="9" s="1"/>
  <c r="S211" i="9" s="1"/>
  <c r="T211" i="9" s="1"/>
  <c r="U211" i="9" s="1"/>
  <c r="AI211" i="9"/>
  <c r="AJ211" i="9" s="1"/>
  <c r="AK211" i="9" s="1"/>
  <c r="AL211" i="9" s="1"/>
  <c r="AM211" i="9" s="1"/>
  <c r="AN211" i="9" s="1"/>
  <c r="P213" i="9"/>
  <c r="Q213" i="9" s="1"/>
  <c r="R213" i="9" s="1"/>
  <c r="S213" i="9" s="1"/>
  <c r="T213" i="9" s="1"/>
  <c r="U213" i="9" s="1"/>
  <c r="AI212" i="9"/>
  <c r="AJ212" i="9" s="1"/>
  <c r="AK212" i="9" s="1"/>
  <c r="AL212" i="9" s="1"/>
  <c r="AM212" i="9" s="1"/>
  <c r="AN212" i="9" s="1"/>
  <c r="P212" i="9"/>
  <c r="Q212" i="9" s="1"/>
  <c r="R212" i="9" s="1"/>
  <c r="S212" i="9" s="1"/>
  <c r="T212" i="9" s="1"/>
  <c r="U212" i="9" s="1"/>
  <c r="BA212" i="9"/>
  <c r="BB212" i="9" s="1"/>
  <c r="BC212" i="9" s="1"/>
  <c r="BD212" i="9" s="1"/>
  <c r="BE212" i="9" s="1"/>
  <c r="BF212" i="9" s="1"/>
  <c r="AI216" i="9"/>
  <c r="AJ216" i="9" s="1"/>
  <c r="AK216" i="9" s="1"/>
  <c r="AL216" i="9" s="1"/>
  <c r="AM216" i="9" s="1"/>
  <c r="AN216" i="9" s="1"/>
  <c r="P216" i="9"/>
  <c r="Q216" i="9" s="1"/>
  <c r="R216" i="9" s="1"/>
  <c r="S216" i="9" s="1"/>
  <c r="T216" i="9" s="1"/>
  <c r="U216" i="9" s="1"/>
  <c r="BC104" i="20" l="1"/>
  <c r="AA129" i="20"/>
  <c r="AI215" i="9"/>
  <c r="AJ215" i="9" s="1"/>
  <c r="AK215" i="9" s="1"/>
  <c r="AL215" i="9" s="1"/>
  <c r="AM215" i="9" s="1"/>
  <c r="AN215" i="9" s="1"/>
  <c r="P217" i="9"/>
  <c r="AI217" i="9"/>
  <c r="AJ210" i="9"/>
  <c r="AK210" i="9" s="1"/>
  <c r="AL210" i="9" s="1"/>
  <c r="AM210" i="9" s="1"/>
  <c r="AA210" i="9" s="1"/>
  <c r="T217" i="9"/>
  <c r="U210" i="9"/>
  <c r="BA217" i="9"/>
  <c r="BF210" i="9"/>
  <c r="BE217" i="9"/>
  <c r="BC61" i="20" l="1"/>
  <c r="BG104" i="20"/>
  <c r="J188" i="20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101" i="11"/>
  <c r="Z101" i="11" s="1"/>
  <c r="AA88" i="11"/>
  <c r="AA91" i="11" s="1"/>
  <c r="AH101" i="11" l="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C206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7" i="11" l="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F192" i="11"/>
  <c r="C192" i="11" s="1"/>
  <c r="BN246" i="9" s="1"/>
  <c r="BQ246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CB220" i="9" l="1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BM107" i="20"/>
  <c r="BN107" i="20" s="1"/>
  <c r="L167" i="20" s="1" a="1"/>
  <c r="L167" i="20" s="1"/>
  <c r="AD130" i="20"/>
  <c r="BY130" i="9"/>
  <c r="O12" i="13" s="1"/>
  <c r="CC131" i="9"/>
  <c r="H15" i="12" l="1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<sst xmlns="http://schemas.openxmlformats.org/spreadsheetml/2006/main" count="5024" uniqueCount="653">
  <si>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</si>
  <si>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</si>
  <si>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</si>
  <si>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</si>
  <si>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</si>
  <si>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</si>
  <si>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</si>
  <si>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</si>
  <si>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</si>
  <si>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</si>
  <si>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</si>
  <si>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</si>
  <si>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</si>
  <si>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</si>
  <si>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</si>
  <si>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</si>
  <si>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</si>
  <si>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</si>
  <si>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</si>
  <si>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</si>
  <si>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</si>
  <si>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</si>
  <si>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</si>
  <si>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</si>
  <si>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</si>
  <si>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</si>
  <si>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</si>
  <si>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</si>
  <si>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</si>
  <si>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</si>
  <si>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</si>
  <si>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</si>
  <si>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</si>
  <si>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</si>
  <si>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</si>
  <si>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</si>
  <si>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</si>
  <si>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</si>
  <si>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</si>
  <si>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</si>
  <si>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</si>
  <si>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</si>
  <si>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</si>
  <si>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</si>
  <si>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</si>
  <si>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</si>
  <si>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</si>
  <si>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</si>
  <si>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</si>
  <si>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</si>
  <si>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</si>
  <si>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</si>
  <si>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</si>
  <si>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</si>
  <si>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</si>
  <si>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</si>
  <si>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</si>
  <si>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</si>
  <si>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</si>
  <si>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</si>
  <si>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</si>
  <si>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</si>
  <si>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</si>
  <si>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</si>
  <si>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</si>
  <si>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</si>
  <si>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</si>
  <si>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</si>
  <si>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</si>
  <si>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</si>
  <si>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</si>
  <si>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</si>
  <si>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</si>
  <si>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</si>
  <si>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</si>
  <si>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</si>
  <si>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</si>
  <si>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</si>
  <si>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</si>
  <si>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</si>
  <si>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</si>
  <si>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</si>
  <si>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</si>
  <si>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</si>
  <si>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</si>
  <si>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</si>
  <si>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</si>
  <si>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</si>
  <si>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</si>
  <si>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</si>
  <si>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</si>
  <si>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</si>
  <si>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</si>
  <si>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</si>
  <si>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</si>
  <si>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</si>
  <si>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</si>
  <si>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</si>
  <si>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</si>
  <si>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</si>
  <si>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</si>
  <si>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</si>
  <si>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</si>
  <si>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</si>
  <si>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</si>
  <si>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</si>
  <si>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</si>
  <si>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</si>
  <si>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</si>
  <si>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</si>
  <si>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</si>
  <si>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</si>
  <si>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</si>
  <si>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</si>
  <si>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</si>
  <si>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</si>
  <si>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</si>
  <si>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</si>
  <si>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</si>
  <si>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</si>
  <si>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</si>
  <si>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</si>
  <si>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</si>
  <si>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</si>
  <si>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</si>
  <si>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</si>
  <si>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</si>
  <si>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</si>
  <si>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</si>
  <si>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</si>
  <si>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</si>
  <si>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</si>
  <si>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</si>
  <si>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</si>
  <si>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</si>
  <si>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</si>
  <si>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</si>
  <si>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</si>
  <si>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</si>
  <si>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</si>
  <si>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</si>
  <si>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</si>
  <si>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</si>
  <si>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</si>
  <si>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</si>
  <si>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</si>
  <si>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</si>
  <si>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</si>
  <si>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</si>
  <si>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</si>
  <si>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</si>
  <si>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</si>
  <si>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</si>
  <si>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</si>
  <si>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</si>
  <si>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</si>
  <si>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</si>
  <si>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</si>
  <si>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</si>
  <si>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</si>
  <si>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</si>
  <si>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</si>
  <si>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</si>
  <si>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</si>
  <si>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</si>
  <si>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</si>
  <si>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</si>
  <si>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</si>
  <si>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</si>
  <si>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</si>
  <si>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</si>
  <si>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</si>
  <si>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</si>
  <si>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</si>
  <si>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</si>
  <si>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</si>
  <si>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</si>
  <si>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</si>
  <si>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</si>
  <si>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</si>
  <si>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</si>
  <si>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</si>
  <si>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</si>
  <si>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</si>
  <si>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</si>
  <si>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</si>
  <si>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</si>
  <si>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</si>
  <si>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</si>
  <si>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</si>
  <si>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</si>
  <si>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</si>
  <si>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</si>
  <si>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</si>
  <si>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</si>
  <si>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</si>
  <si>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</si>
  <si>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</si>
  <si>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</si>
  <si>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</si>
  <si>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</si>
  <si>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</si>
  <si>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</si>
  <si>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</si>
  <si>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</si>
  <si>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</si>
  <si>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</si>
  <si>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</si>
  <si>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</si>
  <si>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</si>
  <si>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</si>
  <si>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</si>
  <si>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</si>
  <si>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</si>
  <si>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</si>
  <si>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</si>
  <si>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</si>
  <si>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</si>
  <si>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</si>
  <si>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</si>
  <si>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</si>
  <si>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</si>
  <si>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</si>
  <si>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</si>
  <si>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</si>
  <si>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</si>
  <si>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</si>
  <si>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</si>
  <si>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</si>
  <si>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</si>
  <si>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</si>
  <si>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</si>
  <si>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</si>
  <si>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</si>
  <si>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</si>
  <si>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</si>
  <si>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</si>
  <si>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</si>
  <si>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</si>
  <si>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</si>
  <si>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</si>
  <si>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</si>
  <si>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</si>
  <si>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</si>
  <si>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</si>
  <si>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</si>
  <si>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</si>
  <si>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</si>
  <si>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</si>
  <si>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</si>
  <si>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</si>
  <si>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</si>
  <si>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</si>
  <si>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</si>
  <si>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</si>
  <si>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</si>
  <si>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</si>
  <si>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</si>
  <si>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</si>
  <si>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</si>
  <si>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</si>
  <si>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</si>
  <si>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</si>
  <si>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</si>
  <si>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</si>
  <si>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</si>
  <si>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</si>
  <si>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</si>
  <si>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</si>
  <si>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</si>
  <si>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</si>
  <si>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</si>
  <si>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</si>
  <si>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</si>
  <si>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</si>
  <si>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</si>
  <si>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</si>
  <si>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</si>
  <si>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</si>
  <si>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</si>
  <si>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</si>
  <si>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</si>
  <si>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</si>
  <si>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</si>
  <si>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</si>
  <si>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</si>
  <si>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</si>
  <si>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</si>
  <si>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</si>
  <si>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</si>
  <si>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</si>
  <si>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</si>
  <si>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</si>
  <si>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</si>
  <si>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</si>
  <si>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</si>
  <si>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</si>
  <si>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</si>
  <si>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</si>
  <si>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</si>
  <si>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</si>
  <si>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</si>
  <si>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</si>
  <si>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</si>
  <si>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</si>
  <si>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</si>
  <si>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</si>
  <si>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</si>
  <si>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</si>
  <si>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</si>
  <si>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</si>
  <si>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</si>
  <si>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</si>
  <si>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</si>
  <si>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</si>
  <si>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</si>
  <si>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</si>
  <si>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</si>
  <si>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</si>
  <si>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</si>
  <si>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</si>
  <si>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</si>
  <si>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</si>
  <si>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</si>
  <si>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</si>
  <si>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</si>
  <si>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</si>
  <si>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</si>
  <si>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</si>
  <si>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</si>
  <si>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</si>
  <si>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</si>
  <si>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</si>
  <si>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</si>
  <si>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</si>
  <si>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</si>
  <si>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</si>
  <si>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</si>
  <si>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</si>
  <si>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</si>
  <si>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</si>
  <si>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</si>
  <si>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</si>
  <si>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</si>
  <si>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</si>
  <si>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</si>
  <si>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</si>
  <si>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</si>
  <si>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</si>
  <si>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</si>
  <si>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</si>
  <si>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</si>
  <si>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</si>
  <si>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</si>
  <si>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</si>
  <si>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</si>
  <si>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</si>
  <si>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</si>
  <si>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</si>
  <si>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</si>
  <si>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</si>
  <si>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</si>
  <si>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</si>
  <si>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</si>
  <si>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</si>
  <si>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</si>
  <si>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</si>
  <si>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</si>
  <si>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</si>
  <si>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</si>
  <si>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</si>
  <si>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</si>
  <si>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</si>
  <si>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</si>
  <si>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</si>
  <si>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</si>
  <si>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</si>
  <si>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</si>
  <si>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</si>
  <si>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</si>
  <si>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</si>
  <si>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</si>
  <si>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</si>
  <si>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</si>
  <si>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</si>
  <si>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</si>
  <si>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</si>
  <si>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</si>
  <si>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</si>
  <si>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</si>
  <si>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</si>
  <si>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</si>
  <si>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</si>
  <si>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</si>
  <si>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</si>
  <si>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</si>
  <si>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</si>
  <si>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</si>
  <si>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</si>
  <si>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</si>
  <si>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</si>
  <si>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</si>
  <si>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</si>
  <si>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</si>
  <si>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</si>
  <si>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</si>
  <si>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</si>
  <si>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</si>
  <si>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</si>
  <si>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</si>
  <si>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</si>
  <si>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</si>
  <si>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</si>
  <si>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</si>
  <si>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</si>
  <si>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</si>
  <si>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</si>
  <si>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</si>
  <si>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</si>
  <si>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</si>
  <si>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</si>
  <si>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</si>
  <si>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</si>
  <si>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</si>
  <si>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</si>
  <si>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</si>
  <si>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</si>
  <si>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</si>
  <si>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</si>
  <si>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</si>
  <si>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</si>
  <si>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</si>
  <si>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</si>
  <si>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</si>
  <si>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</si>
  <si>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</si>
  <si>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</si>
  <si>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</si>
  <si>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</si>
  <si>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</si>
  <si>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</si>
  <si>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</si>
  <si>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</si>
  <si>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</si>
  <si>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</si>
  <si>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</si>
  <si>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</si>
  <si>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</si>
  <si>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</si>
  <si>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</si>
  <si>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</si>
  <si>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</si>
  <si>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</si>
  <si>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</si>
  <si>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</si>
  <si>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</si>
  <si>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</si>
  <si>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</si>
  <si>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</si>
  <si>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</si>
  <si>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</si>
  <si>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COG Recycled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</si>
  <si>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</si>
  <si>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</si>
  <si>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</si>
  <si>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</si>
  <si>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</si>
  <si>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</si>
  <si>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</si>
  <si>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</si>
  <si>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</si>
  <si>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</si>
  <si>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</si>
  <si>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</si>
  <si>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</si>
  <si>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</si>
  <si>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</si>
  <si>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</si>
  <si>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</si>
  <si>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</si>
  <si>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</si>
  <si>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</si>
  <si>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</si>
  <si>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</si>
  <si>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</si>
  <si>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</si>
  <si>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</si>
  <si>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</si>
  <si>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</si>
  <si>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</si>
  <si>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</si>
  <si>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</si>
  <si>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</si>
  <si>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</si>
  <si>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</si>
  <si>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</si>
  <si>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</si>
  <si>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</si>
  <si>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</si>
  <si>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</si>
  <si>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</si>
  <si>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Δs</t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</si>
  <si>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</si>
  <si>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</si>
  <si>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</si>
  <si>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</si>
  <si>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</si>
  <si>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</si>
  <si>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[kJ/kmol]</t>
  </si>
  <si>
    <t>[cal/mol-K]</t>
  </si>
  <si>
    <t>[kJ/kmol-K]</t>
  </si>
  <si>
    <t>ΔH</t>
  </si>
  <si>
    <r>
      <t>h</t>
    </r>
    <r>
      <rPr>
        <vertAlign val="subscript"/>
        <sz val="11"/>
        <color theme="1"/>
        <rFont val="Aptos Narrow (Body)"/>
      </rPr>
      <t>CO2,g</t>
    </r>
  </si>
  <si>
    <r>
      <t>h</t>
    </r>
    <r>
      <rPr>
        <vertAlign val="subscript"/>
        <sz val="11"/>
        <color theme="1"/>
        <rFont val="Aptos Narrow (Body)"/>
      </rPr>
      <t>H2O,l</t>
    </r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</si>
  <si>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</si>
  <si>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</si>
  <si>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</si>
  <si>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</si>
  <si>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</si>
  <si>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</si>
  <si>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</si>
  <si>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</si>
  <si>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</si>
  <si>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</si>
  <si>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</si>
  <si>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</si>
  <si>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</si>
  <si>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</si>
  <si>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</si>
  <si>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</si>
  <si>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</si>
  <si>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</si>
  <si>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</si>
  <si>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</si>
  <si>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</si>
  <si>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</si>
  <si>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</si>
  <si>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</si>
  <si>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</si>
  <si>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</si>
  <si>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</si>
  <si>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</si>
  <si>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</si>
  <si>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</si>
  <si>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</si>
  <si>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</si>
  <si>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</si>
  <si>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</si>
  <si>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</si>
  <si>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</si>
  <si>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</si>
  <si>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</si>
  <si>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</si>
  <si>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</si>
  <si>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</si>
  <si>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</si>
  <si>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</si>
  <si>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</si>
  <si>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</si>
  <si>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</si>
  <si>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</si>
  <si>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</si>
  <si>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</si>
  <si>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</si>
  <si>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</si>
  <si>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</si>
  <si>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</si>
  <si>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</si>
  <si>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</si>
  <si>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</si>
  <si>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</si>
  <si>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</si>
  <si>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</si>
  <si>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</si>
  <si>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</si>
  <si>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</si>
  <si>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</si>
  <si>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</si>
  <si>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</si>
  <si>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</si>
  <si>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</si>
  <si>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</si>
  <si>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</si>
  <si>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</si>
  <si>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</si>
  <si>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</si>
  <si>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</si>
  <si>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</si>
  <si>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</si>
  <si>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</si>
  <si>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</si>
  <si>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</si>
  <si>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</si>
  <si>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</si>
  <si>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</si>
  <si>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</si>
  <si>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</si>
  <si>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Treated CO gas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</si>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</sst>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2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0" fillId="0" borderId="0" applyNumberFormat="0" applyFill="0" applyBorder="0" applyAlignment="0" applyProtection="0"/>
  </cellStyleXfs>
  <cellXfs count="414">
    <xf numFmtId="0" fontId="0" fillId="0" borderId="0" xfId="0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2" fillId="0" borderId="0" xfId="0" applyFont="1" applyAlignment="1">
      <alignment horizontal="center"/>
    </xf>
    <xf numFmtId="0" fontId="1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5" fillId="0" borderId="6" xfId="0" applyFont="1" applyBorder="1" applyAlignment="1">
      <alignment horizontal="center"/>
    </xf>
    <xf numFmtId="0" fontId="20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5" borderId="6" xfId="0" applyFont="1" applyFill="1" applyBorder="1" applyAlignment="1">
      <alignment horizontal="center"/>
    </xf>
    <xf numFmtId="0" fontId="23" fillId="0" borderId="3" xfId="0" applyFont="1" applyBorder="1" applyAlignment="1">
      <alignment horizontal="center"/>
    </xf>
    <xf numFmtId="0" fontId="8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5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5" fillId="0" borderId="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5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16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6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8" fillId="0" borderId="17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19" fillId="0" borderId="0" xfId="0" applyFont="1" applyAlignment="1">
      <alignment horizontal="center"/>
    </xf>
    <xf numFmtId="0" fontId="17" fillId="0" borderId="0" xfId="0" applyFont="1" applyAlignment="1">
      <alignment horizontal="center" vertical="center" textRotation="90"/>
    </xf>
    <xf numFmtId="1" fontId="8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1" fillId="0" borderId="0" xfId="0" applyFont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/>
    <xf numFmtId="0" fontId="9" fillId="0" borderId="0" xfId="0" applyFont="1"/>
    <xf numFmtId="0" fontId="8" fillId="0" borderId="10" xfId="0" applyFont="1" applyBorder="1" applyAlignment="1">
      <alignment horizontal="center"/>
    </xf>
    <xf numFmtId="0" fontId="17" fillId="0" borderId="0" xfId="0" applyFont="1" applyAlignment="1">
      <alignment vertical="center" textRotation="90"/>
    </xf>
    <xf numFmtId="0" fontId="14" fillId="0" borderId="0" xfId="0" applyFont="1" applyAlignment="1">
      <alignment vertical="center" textRotation="90"/>
    </xf>
    <xf numFmtId="0" fontId="22" fillId="0" borderId="22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12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center"/>
    </xf>
    <xf numFmtId="0" fontId="8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2" fillId="0" borderId="0" xfId="0" applyNumberFormat="1" applyFont="1" applyAlignment="1">
      <alignment horizontal="center"/>
    </xf>
    <xf numFmtId="0" fontId="8" fillId="9" borderId="0" xfId="0" applyFont="1" applyFill="1" applyAlignment="1">
      <alignment horizontal="center"/>
    </xf>
    <xf numFmtId="0" fontId="8" fillId="0" borderId="7" xfId="0" applyFont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8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8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8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2" fillId="0" borderId="6" xfId="0" applyFont="1" applyBorder="1" applyAlignment="1">
      <alignment horizontal="center" wrapText="1"/>
    </xf>
    <xf numFmtId="0" fontId="12" fillId="0" borderId="30" xfId="0" applyFont="1" applyBorder="1" applyAlignment="1">
      <alignment horizontal="center"/>
    </xf>
    <xf numFmtId="0" fontId="8" fillId="10" borderId="16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8" fillId="11" borderId="16" xfId="0" applyFont="1" applyFill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2" fillId="0" borderId="17" xfId="0" applyFont="1" applyBorder="1" applyAlignment="1">
      <alignment horizontal="center"/>
    </xf>
    <xf numFmtId="0" fontId="35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23" fillId="0" borderId="7" xfId="0" applyFont="1" applyBorder="1" applyAlignment="1">
      <alignment horizontal="center"/>
    </xf>
    <xf numFmtId="0" fontId="12" fillId="0" borderId="9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2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6" fillId="0" borderId="18" xfId="0" applyFont="1" applyBorder="1" applyAlignment="1">
      <alignment horizontal="center"/>
    </xf>
    <xf numFmtId="0" fontId="12" fillId="0" borderId="18" xfId="0" applyFont="1" applyBorder="1" applyAlignment="1">
      <alignment horizontal="center"/>
    </xf>
    <xf numFmtId="0" fontId="15" fillId="0" borderId="26" xfId="0" applyFont="1" applyBorder="1" applyAlignment="1">
      <alignment horizontal="center"/>
    </xf>
    <xf numFmtId="0" fontId="15" fillId="0" borderId="23" xfId="0" applyFont="1" applyBorder="1" applyAlignment="1">
      <alignment horizontal="center"/>
    </xf>
    <xf numFmtId="0" fontId="39" fillId="0" borderId="3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0" fontId="15" fillId="5" borderId="17" xfId="0" applyFont="1" applyFill="1" applyBorder="1" applyAlignment="1">
      <alignment horizontal="center"/>
    </xf>
    <xf numFmtId="0" fontId="41" fillId="0" borderId="0" xfId="0" applyFont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18" xfId="0" applyFont="1" applyBorder="1" applyAlignment="1">
      <alignment horizontal="center"/>
    </xf>
    <xf numFmtId="0" fontId="43" fillId="0" borderId="0" xfId="1" applyFont="1" applyAlignment="1">
      <alignment horizontal="center"/>
    </xf>
    <xf numFmtId="0" fontId="15" fillId="0" borderId="6" xfId="0" applyFont="1" applyBorder="1" applyAlignment="1">
      <alignment horizontal="center" wrapText="1"/>
    </xf>
    <xf numFmtId="0" fontId="41" fillId="0" borderId="25" xfId="0" applyFont="1" applyBorder="1" applyAlignment="1">
      <alignment horizontal="center"/>
    </xf>
    <xf numFmtId="0" fontId="44" fillId="0" borderId="22" xfId="0" applyFont="1" applyBorder="1" applyAlignment="1">
      <alignment horizontal="center"/>
    </xf>
    <xf numFmtId="0" fontId="45" fillId="0" borderId="0" xfId="0" applyFont="1" applyAlignment="1">
      <alignment horizontal="center" vertical="center"/>
    </xf>
    <xf numFmtId="0" fontId="45" fillId="0" borderId="0" xfId="0" applyFont="1" applyAlignment="1">
      <alignment horizontal="center" vertical="center" wrapText="1"/>
    </xf>
    <xf numFmtId="0" fontId="41" fillId="0" borderId="27" xfId="0" applyFont="1" applyBorder="1" applyAlignment="1">
      <alignment horizontal="center"/>
    </xf>
    <xf numFmtId="0" fontId="41" fillId="0" borderId="24" xfId="0" applyFont="1" applyBorder="1" applyAlignment="1">
      <alignment horizontal="center"/>
    </xf>
    <xf numFmtId="0" fontId="15" fillId="0" borderId="5" xfId="0" applyFont="1" applyBorder="1" applyAlignment="1">
      <alignment horizontal="center"/>
    </xf>
    <xf numFmtId="0" fontId="41" fillId="0" borderId="17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6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6" fillId="0" borderId="0" xfId="0" applyFont="1" applyAlignment="1">
      <alignment horizontal="center"/>
    </xf>
    <xf numFmtId="0" fontId="41" fillId="0" borderId="4" xfId="0" applyFont="1" applyBorder="1" applyAlignment="1">
      <alignment horizontal="center"/>
    </xf>
    <xf numFmtId="0" fontId="41" fillId="0" borderId="5" xfId="0" applyFont="1" applyBorder="1" applyAlignment="1">
      <alignment horizontal="center"/>
    </xf>
    <xf numFmtId="0" fontId="8" fillId="0" borderId="3" xfId="0" applyFont="1" applyBorder="1" applyAlignment="1">
      <alignment horizontal="center" wrapText="1"/>
    </xf>
    <xf numFmtId="0" fontId="12" fillId="0" borderId="23" xfId="0" applyFont="1" applyBorder="1" applyAlignment="1">
      <alignment horizontal="center"/>
    </xf>
    <xf numFmtId="0" fontId="12" fillId="0" borderId="24" xfId="0" applyFont="1" applyBorder="1" applyAlignment="1">
      <alignment horizontal="center"/>
    </xf>
    <xf numFmtId="0" fontId="8" fillId="0" borderId="22" xfId="0" applyFont="1" applyBorder="1" applyAlignment="1">
      <alignment horizontal="center"/>
    </xf>
    <xf numFmtId="0" fontId="1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7" fillId="0" borderId="30" xfId="0" applyFont="1" applyBorder="1" applyAlignment="1">
      <alignment horizontal="center" vertical="center" textRotation="90"/>
    </xf>
    <xf numFmtId="0" fontId="8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8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5" fillId="0" borderId="25" xfId="0" applyFont="1" applyBorder="1" applyAlignment="1">
      <alignment horizontal="center"/>
    </xf>
    <xf numFmtId="0" fontId="41" fillId="0" borderId="26" xfId="0" applyFont="1" applyBorder="1" applyAlignment="1">
      <alignment horizontal="center"/>
    </xf>
    <xf numFmtId="0" fontId="36" fillId="0" borderId="15" xfId="0" applyFont="1" applyBorder="1" applyAlignment="1">
      <alignment horizontal="center"/>
    </xf>
    <xf numFmtId="0" fontId="22" fillId="0" borderId="43" xfId="0" applyFont="1" applyBorder="1" applyAlignment="1">
      <alignment horizontal="center"/>
    </xf>
    <xf numFmtId="0" fontId="41" fillId="19" borderId="6" xfId="0" applyFont="1" applyFill="1" applyBorder="1" applyAlignment="1">
      <alignment horizontal="center"/>
    </xf>
    <xf numFmtId="0" fontId="8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49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0" fillId="0" borderId="0" xfId="0" applyFont="1" applyAlignment="1">
      <alignment horizontal="center"/>
    </xf>
    <xf numFmtId="0" fontId="12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8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8" fillId="0" borderId="0" xfId="0" applyNumberFormat="1" applyFont="1" applyAlignment="1">
      <alignment horizontal="center"/>
    </xf>
    <xf numFmtId="169" fontId="8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2" fillId="0" borderId="22" xfId="0" applyNumberFormat="1" applyFont="1" applyBorder="1" applyAlignment="1">
      <alignment horizontal="center"/>
    </xf>
    <xf numFmtId="2" fontId="8" fillId="0" borderId="26" xfId="0" applyNumberFormat="1" applyFont="1" applyBorder="1" applyAlignment="1">
      <alignment horizontal="center"/>
    </xf>
    <xf numFmtId="2" fontId="8" fillId="0" borderId="23" xfId="0" applyNumberFormat="1" applyFont="1" applyBorder="1" applyAlignment="1">
      <alignment horizontal="center"/>
    </xf>
    <xf numFmtId="169" fontId="8" fillId="0" borderId="1" xfId="0" applyNumberFormat="1" applyFont="1" applyBorder="1" applyAlignment="1">
      <alignment horizontal="center"/>
    </xf>
    <xf numFmtId="2" fontId="8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3" fillId="0" borderId="0" xfId="0" applyFont="1" applyAlignment="1">
      <alignment horizontal="center"/>
    </xf>
    <xf numFmtId="0" fontId="12" fillId="0" borderId="44" xfId="0" applyFont="1" applyBorder="1" applyAlignment="1">
      <alignment horizontal="center"/>
    </xf>
    <xf numFmtId="0" fontId="36" fillId="0" borderId="45" xfId="0" applyFont="1" applyBorder="1" applyAlignment="1">
      <alignment horizontal="center"/>
    </xf>
    <xf numFmtId="0" fontId="8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4" fillId="0" borderId="0" xfId="0" applyFont="1" applyAlignment="1">
      <alignment horizontal="center"/>
    </xf>
    <xf numFmtId="0" fontId="49" fillId="0" borderId="0" xfId="0" applyFont="1" applyAlignment="1">
      <alignment horizontal="center"/>
    </xf>
    <xf numFmtId="170" fontId="12" fillId="0" borderId="2" xfId="0" applyNumberFormat="1" applyFont="1" applyBorder="1" applyAlignment="1">
      <alignment horizontal="center"/>
    </xf>
    <xf numFmtId="0" fontId="13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6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8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8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30" fillId="0" borderId="0" xfId="0" applyFont="1" applyAlignment="1">
      <alignment horizontal="center" vertical="center"/>
    </xf>
    <xf numFmtId="0" fontId="57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59" fillId="0" borderId="0" xfId="0" applyFont="1"/>
    <xf numFmtId="0" fontId="59" fillId="23" borderId="7" xfId="0" applyFont="1" applyFill="1" applyBorder="1" applyAlignment="1">
      <alignment horizontal="center"/>
    </xf>
    <xf numFmtId="0" fontId="59" fillId="23" borderId="38" xfId="0" applyFont="1" applyFill="1" applyBorder="1" applyAlignment="1">
      <alignment horizontal="center"/>
    </xf>
    <xf numFmtId="0" fontId="59" fillId="23" borderId="36" xfId="0" applyFont="1" applyFill="1" applyBorder="1" applyAlignment="1">
      <alignment horizontal="center"/>
    </xf>
    <xf numFmtId="0" fontId="59" fillId="21" borderId="43" xfId="0" applyFont="1" applyFill="1" applyBorder="1" applyAlignment="1">
      <alignment horizontal="center"/>
    </xf>
    <xf numFmtId="0" fontId="59" fillId="21" borderId="39" xfId="0" applyFont="1" applyFill="1" applyBorder="1" applyAlignment="1">
      <alignment horizontal="center"/>
    </xf>
    <xf numFmtId="0" fontId="59" fillId="21" borderId="6" xfId="0" applyFont="1" applyFill="1" applyBorder="1" applyAlignment="1">
      <alignment horizontal="center"/>
    </xf>
    <xf numFmtId="0" fontId="59" fillId="18" borderId="22" xfId="0" applyFont="1" applyFill="1" applyBorder="1" applyAlignment="1">
      <alignment horizontal="center"/>
    </xf>
    <xf numFmtId="0" fontId="51" fillId="0" borderId="0" xfId="0" applyFont="1" applyAlignment="1">
      <alignment horizontal="center"/>
    </xf>
    <xf numFmtId="0" fontId="0" fillId="24" borderId="0" xfId="0" applyFill="1"/>
    <xf numFmtId="0" fontId="22" fillId="21" borderId="0" xfId="0" applyFont="1" applyFill="1" applyAlignment="1">
      <alignment horizontal="center" vertical="center"/>
    </xf>
    <xf numFmtId="0" fontId="22" fillId="9" borderId="0" xfId="0" applyFont="1" applyFill="1" applyAlignment="1">
      <alignment horizontal="center" vertical="center"/>
    </xf>
    <xf numFmtId="0" fontId="22" fillId="16" borderId="0" xfId="0" applyFont="1" applyFill="1" applyAlignment="1">
      <alignment horizontal="center" vertical="center"/>
    </xf>
    <xf numFmtId="0" fontId="22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5" fillId="0" borderId="0" xfId="0" applyFont="1" applyAlignment="1">
      <alignment horizontal="center" textRotation="90"/>
    </xf>
    <xf numFmtId="0" fontId="30" fillId="0" borderId="0" xfId="0" applyFont="1" applyAlignment="1">
      <alignment horizontal="center"/>
    </xf>
    <xf numFmtId="0" fontId="30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2" fillId="0" borderId="0" xfId="0" applyFont="1"/>
    <xf numFmtId="0" fontId="21" fillId="0" borderId="0" xfId="0" applyFont="1" applyAlignment="1">
      <alignment horizontal="right"/>
    </xf>
    <xf numFmtId="0" fontId="22" fillId="24" borderId="0" xfId="0" applyFont="1" applyFill="1" applyAlignment="1">
      <alignment horizontal="center"/>
    </xf>
    <xf numFmtId="0" fontId="22" fillId="17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5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5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7" fillId="0" borderId="0" xfId="0" applyFont="1" applyAlignment="1">
      <alignment horizontal="center"/>
    </xf>
    <xf numFmtId="0" fontId="68" fillId="0" borderId="0" xfId="0" applyFont="1" applyAlignment="1">
      <alignment horizontal="center"/>
    </xf>
    <xf numFmtId="0" fontId="36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0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0" fillId="0" borderId="18" xfId="0" applyFont="1" applyBorder="1" applyAlignment="1">
      <alignment horizontal="center"/>
    </xf>
    <xf numFmtId="0" fontId="50" fillId="0" borderId="6" xfId="0" applyFont="1" applyBorder="1" applyAlignment="1">
      <alignment horizontal="center"/>
    </xf>
    <xf numFmtId="0" fontId="50" fillId="0" borderId="46" xfId="0" applyFont="1" applyBorder="1" applyAlignment="1">
      <alignment horizontal="center"/>
    </xf>
    <xf numFmtId="0" fontId="51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5" fillId="0" borderId="18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15" fillId="0" borderId="46" xfId="0" applyFont="1" applyBorder="1" applyAlignment="1">
      <alignment horizontal="center"/>
    </xf>
    <xf numFmtId="0" fontId="12" fillId="0" borderId="0" xfId="0" applyFont="1"/>
    <xf numFmtId="0" fontId="16" fillId="0" borderId="17" xfId="0" applyFont="1" applyBorder="1" applyAlignment="1">
      <alignment horizontal="center"/>
    </xf>
    <xf numFmtId="0" fontId="59" fillId="23" borderId="8" xfId="0" applyFont="1" applyFill="1" applyBorder="1" applyAlignment="1">
      <alignment horizontal="center"/>
    </xf>
    <xf numFmtId="0" fontId="59" fillId="21" borderId="0" xfId="0" applyFont="1" applyFill="1" applyAlignment="1">
      <alignment horizontal="center"/>
    </xf>
    <xf numFmtId="0" fontId="59" fillId="18" borderId="23" xfId="0" applyFont="1" applyFill="1" applyBorder="1" applyAlignment="1">
      <alignment horizontal="center"/>
    </xf>
    <xf numFmtId="0" fontId="59" fillId="18" borderId="6" xfId="0" applyFont="1" applyFill="1" applyBorder="1" applyAlignment="1">
      <alignment horizontal="center"/>
    </xf>
    <xf numFmtId="0" fontId="61" fillId="21" borderId="6" xfId="0" applyFont="1" applyFill="1" applyBorder="1" applyAlignment="1">
      <alignment horizontal="center"/>
    </xf>
    <xf numFmtId="0" fontId="61" fillId="18" borderId="37" xfId="0" applyFont="1" applyFill="1" applyBorder="1" applyAlignment="1">
      <alignment horizontal="center"/>
    </xf>
    <xf numFmtId="0" fontId="59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0" fontId="51" fillId="0" borderId="0" xfId="0" applyFont="1" applyAlignment="1">
      <alignment horizontal="right"/>
    </xf>
    <xf numFmtId="0" fontId="52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2" fillId="0" borderId="0" xfId="0" applyFont="1" applyAlignment="1">
      <alignment horizontal="center" vertical="center"/>
    </xf>
    <xf numFmtId="0" fontId="12" fillId="11" borderId="0" xfId="0" applyFont="1" applyFill="1" applyAlignment="1">
      <alignment horizontal="center"/>
    </xf>
    <xf numFmtId="0" fontId="52" fillId="11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8" fillId="0" borderId="0" xfId="0" applyFont="1" applyAlignment="1">
      <alignment horizontal="center" wrapText="1"/>
    </xf>
    <xf numFmtId="0" fontId="36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8" fillId="0" borderId="0" xfId="0" applyFont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55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55" fillId="0" borderId="43" xfId="0" applyFont="1" applyBorder="1" applyAlignment="1">
      <alignment horizontal="center" vertical="center"/>
    </xf>
    <xf numFmtId="0" fontId="63" fillId="0" borderId="43" xfId="0" applyFont="1" applyBorder="1" applyAlignment="1">
      <alignment horizontal="center"/>
    </xf>
    <xf numFmtId="0" fontId="63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7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3" fillId="0" borderId="1" xfId="0" applyFont="1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9" fillId="17" borderId="0" xfId="0" applyFont="1" applyFill="1" applyAlignment="1">
      <alignment horizontal="center" vertical="center"/>
    </xf>
    <xf numFmtId="0" fontId="69" fillId="26" borderId="0" xfId="0" applyFont="1" applyFill="1" applyAlignment="1">
      <alignment horizontal="center" vertical="center"/>
    </xf>
    <xf numFmtId="0" fontId="69" fillId="26" borderId="1" xfId="0" applyFont="1" applyFill="1" applyBorder="1" applyAlignment="1">
      <alignment horizontal="center" vertical="center"/>
    </xf>
    <xf numFmtId="0" fontId="51" fillId="0" borderId="0" xfId="0" applyFont="1" applyAlignment="1">
      <alignment horizontal="center" vertical="center" textRotation="90" wrapText="1"/>
    </xf>
    <xf numFmtId="0" fontId="8" fillId="0" borderId="3" xfId="0" applyFont="1" applyBorder="1" applyAlignment="1">
      <alignment horizontal="center" vertical="center"/>
    </xf>
    <xf numFmtId="0" fontId="8" fillId="0" borderId="47" xfId="0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center" textRotation="90" wrapText="1"/>
    </xf>
    <xf numFmtId="0" fontId="64" fillId="17" borderId="0" xfId="0" applyFont="1" applyFill="1" applyAlignment="1">
      <alignment horizontal="center" vertical="center"/>
    </xf>
    <xf numFmtId="0" fontId="65" fillId="17" borderId="0" xfId="0" applyFont="1" applyFill="1" applyAlignment="1">
      <alignment horizontal="center" vertical="center"/>
    </xf>
    <xf numFmtId="0" fontId="12" fillId="12" borderId="1" xfId="0" applyFont="1" applyFill="1" applyBorder="1" applyAlignment="1">
      <alignment horizontal="center"/>
    </xf>
    <xf numFmtId="0" fontId="12" fillId="0" borderId="0" xfId="0" applyFont="1" applyAlignment="1">
      <alignment horizontal="center"/>
    </xf>
    <xf numFmtId="0" fontId="50" fillId="17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8" fillId="19" borderId="30" xfId="0" applyFont="1" applyFill="1" applyBorder="1" applyAlignment="1">
      <alignment horizontal="center" vertical="center"/>
    </xf>
    <xf numFmtId="0" fontId="37" fillId="15" borderId="0" xfId="0" applyFont="1" applyFill="1" applyAlignment="1">
      <alignment horizontal="center" vertical="center"/>
    </xf>
    <xf numFmtId="0" fontId="30" fillId="0" borderId="0" xfId="0" applyFont="1" applyAlignment="1">
      <alignment horizontal="center" vertical="center" textRotation="90"/>
    </xf>
    <xf numFmtId="0" fontId="50" fillId="0" borderId="18" xfId="0" applyFont="1" applyBorder="1" applyAlignment="1">
      <alignment horizontal="center"/>
    </xf>
    <xf numFmtId="0" fontId="50" fillId="0" borderId="15" xfId="0" applyFont="1" applyBorder="1" applyAlignment="1">
      <alignment horizontal="center"/>
    </xf>
    <xf numFmtId="0" fontId="51" fillId="0" borderId="0" xfId="0" applyFont="1" applyAlignment="1">
      <alignment horizontal="center" vertical="center" textRotation="90"/>
    </xf>
    <xf numFmtId="0" fontId="51" fillId="0" borderId="0" xfId="0" applyFont="1" applyAlignment="1">
      <alignment horizontal="center" vertical="center"/>
    </xf>
    <xf numFmtId="0" fontId="15" fillId="12" borderId="1" xfId="0" applyFont="1" applyFill="1" applyBorder="1" applyAlignment="1">
      <alignment horizontal="center"/>
    </xf>
    <xf numFmtId="0" fontId="39" fillId="14" borderId="0" xfId="0" applyFont="1" applyFill="1" applyAlignment="1">
      <alignment horizontal="center" vertical="center"/>
    </xf>
    <xf numFmtId="0" fontId="39" fillId="14" borderId="30" xfId="0" applyFont="1" applyFill="1" applyBorder="1" applyAlignment="1">
      <alignment horizontal="center" vertical="center"/>
    </xf>
    <xf numFmtId="0" fontId="48" fillId="9" borderId="0" xfId="0" applyFont="1" applyFill="1" applyAlignment="1">
      <alignment horizontal="center" vertical="center"/>
    </xf>
    <xf numFmtId="0" fontId="48" fillId="9" borderId="30" xfId="0" applyFont="1" applyFill="1" applyBorder="1" applyAlignment="1">
      <alignment horizontal="center" vertical="center"/>
    </xf>
    <xf numFmtId="0" fontId="37" fillId="13" borderId="0" xfId="0" applyFont="1" applyFill="1" applyAlignment="1">
      <alignment horizontal="center" vertical="center"/>
    </xf>
    <xf numFmtId="0" fontId="37" fillId="13" borderId="30" xfId="0" applyFont="1" applyFill="1" applyBorder="1" applyAlignment="1">
      <alignment horizontal="center" vertical="center"/>
    </xf>
    <xf numFmtId="0" fontId="15" fillId="12" borderId="19" xfId="0" applyFont="1" applyFill="1" applyBorder="1" applyAlignment="1">
      <alignment horizontal="center"/>
    </xf>
    <xf numFmtId="0" fontId="48" fillId="16" borderId="0" xfId="0" applyFont="1" applyFill="1" applyAlignment="1">
      <alignment horizontal="center" vertical="center"/>
    </xf>
    <xf numFmtId="0" fontId="48" fillId="16" borderId="30" xfId="0" applyFont="1" applyFill="1" applyBorder="1" applyAlignment="1">
      <alignment horizontal="center" vertical="center"/>
    </xf>
    <xf numFmtId="0" fontId="8" fillId="0" borderId="22" xfId="0" applyFont="1" applyBorder="1" applyAlignment="1">
      <alignment horizontal="center" vertical="center" wrapText="1"/>
    </xf>
    <xf numFmtId="0" fontId="8" fillId="0" borderId="23" xfId="0" applyFont="1" applyBorder="1" applyAlignment="1">
      <alignment horizontal="center" vertical="center" wrapText="1"/>
    </xf>
    <xf numFmtId="0" fontId="9" fillId="18" borderId="0" xfId="0" applyFont="1" applyFill="1" applyAlignment="1">
      <alignment horizontal="center" vertical="center"/>
    </xf>
    <xf numFmtId="0" fontId="8" fillId="0" borderId="3" xfId="0" applyFont="1" applyBorder="1" applyAlignment="1">
      <alignment horizontal="center" wrapText="1"/>
    </xf>
    <xf numFmtId="0" fontId="8" fillId="0" borderId="4" xfId="0" applyFont="1" applyBorder="1" applyAlignment="1">
      <alignment horizontal="center" wrapText="1"/>
    </xf>
    <xf numFmtId="0" fontId="60" fillId="9" borderId="7" xfId="0" applyFont="1" applyFill="1" applyBorder="1" applyAlignment="1">
      <alignment horizontal="center" vertical="center"/>
    </xf>
    <xf numFmtId="0" fontId="60" fillId="9" borderId="9" xfId="0" applyFont="1" applyFill="1" applyBorder="1" applyAlignment="1">
      <alignment horizontal="center" vertical="center"/>
    </xf>
    <xf numFmtId="0" fontId="60" fillId="16" borderId="7" xfId="0" applyFont="1" applyFill="1" applyBorder="1" applyAlignment="1">
      <alignment horizontal="center" vertical="center"/>
    </xf>
    <xf numFmtId="0" fontId="60" fillId="16" borderId="8" xfId="0" applyFont="1" applyFill="1" applyBorder="1" applyAlignment="1">
      <alignment horizontal="center" vertical="center"/>
    </xf>
    <xf numFmtId="0" fontId="60" fillId="16" borderId="9" xfId="0" applyFont="1" applyFill="1" applyBorder="1" applyAlignment="1">
      <alignment horizontal="center" vertical="center"/>
    </xf>
    <xf numFmtId="0" fontId="60" fillId="20" borderId="7" xfId="0" applyFont="1" applyFill="1" applyBorder="1" applyAlignment="1">
      <alignment horizontal="center" vertical="center"/>
    </xf>
    <xf numFmtId="0" fontId="60" fillId="20" borderId="8" xfId="0" applyFont="1" applyFill="1" applyBorder="1" applyAlignment="1">
      <alignment horizontal="center" vertical="center"/>
    </xf>
    <xf numFmtId="0" fontId="60" fillId="20" borderId="9" xfId="0" applyFont="1" applyFill="1" applyBorder="1" applyAlignment="1">
      <alignment horizontal="center" vertical="center"/>
    </xf>
    <xf numFmtId="0" fontId="60" fillId="22" borderId="4" xfId="0" applyFont="1" applyFill="1" applyBorder="1" applyAlignment="1">
      <alignment horizontal="center" vertical="center"/>
    </xf>
    <xf numFmtId="0" fontId="60" fillId="22" borderId="5" xfId="0" applyFont="1" applyFill="1" applyBorder="1" applyAlignment="1">
      <alignment horizontal="center" vertical="center"/>
    </xf>
    <xf numFmtId="0" fontId="22" fillId="0" borderId="0" xfId="0" applyFont="1" applyAlignment="1">
      <alignment horizontal="center"/>
    </xf>
    <xf numFmtId="0" fontId="30" fillId="0" borderId="0" xfId="0" applyFont="1" applyAlignment="1">
      <alignment horizontal="center"/>
    </xf>
    <xf numFmtId="0" fontId="7" fillId="0" borderId="6" xfId="0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center" wrapText="1"/>
    </xf>
    <xf numFmtId="0" fontId="22" fillId="16" borderId="0" xfId="0" applyFont="1" applyFill="1" applyAlignment="1">
      <alignment horizontal="center" vertical="center" textRotation="90"/>
    </xf>
    <xf numFmtId="0" fontId="22" fillId="9" borderId="0" xfId="0" applyFont="1" applyFill="1" applyAlignment="1">
      <alignment horizontal="center" vertical="center" textRotation="90"/>
    </xf>
    <xf numFmtId="0" fontId="47" fillId="3" borderId="34" xfId="0" applyFont="1" applyFill="1" applyBorder="1" applyAlignment="1">
      <alignment horizontal="center" vertical="center"/>
    </xf>
    <xf numFmtId="0" fontId="47" fillId="3" borderId="35" xfId="0" applyFont="1" applyFill="1" applyBorder="1" applyAlignment="1">
      <alignment horizontal="center" vertical="center"/>
    </xf>
    <xf numFmtId="0" fontId="47" fillId="3" borderId="6" xfId="0" applyFont="1" applyFill="1" applyBorder="1" applyAlignment="1">
      <alignment horizontal="center" vertical="center"/>
    </xf>
    <xf numFmtId="0" fontId="47" fillId="3" borderId="37" xfId="0" applyFont="1" applyFill="1" applyBorder="1" applyAlignment="1">
      <alignment horizontal="center" vertical="center"/>
    </xf>
    <xf numFmtId="0" fontId="47" fillId="8" borderId="6" xfId="0" applyFont="1" applyFill="1" applyBorder="1" applyAlignment="1">
      <alignment horizontal="center" vertical="center"/>
    </xf>
    <xf numFmtId="0" fontId="47" fillId="8" borderId="37" xfId="0" applyFont="1" applyFill="1" applyBorder="1" applyAlignment="1">
      <alignment horizontal="center" vertical="center"/>
    </xf>
    <xf numFmtId="0" fontId="47" fillId="8" borderId="39" xfId="0" applyFont="1" applyFill="1" applyBorder="1" applyAlignment="1">
      <alignment horizontal="center" vertical="center"/>
    </xf>
    <xf numFmtId="0" fontId="47" fillId="8" borderId="40" xfId="0" applyFont="1" applyFill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47" fillId="0" borderId="6" xfId="0" applyFont="1" applyBorder="1" applyAlignment="1">
      <alignment horizontal="center" vertical="center"/>
    </xf>
    <xf numFmtId="0" fontId="47" fillId="0" borderId="38" xfId="0" applyFont="1" applyBorder="1" applyAlignment="1">
      <alignment horizontal="center" vertical="center"/>
    </xf>
    <xf numFmtId="0" fontId="47" fillId="0" borderId="39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47" fillId="11" borderId="33" xfId="0" applyFont="1" applyFill="1" applyBorder="1" applyAlignment="1">
      <alignment horizontal="center" vertical="center"/>
    </xf>
    <xf numFmtId="0" fontId="47" fillId="11" borderId="34" xfId="0" applyFont="1" applyFill="1" applyBorder="1" applyAlignment="1">
      <alignment horizontal="center" vertical="center"/>
    </xf>
    <xf numFmtId="0" fontId="47" fillId="11" borderId="36" xfId="0" applyFont="1" applyFill="1" applyBorder="1" applyAlignment="1">
      <alignment horizontal="center" vertical="center"/>
    </xf>
    <xf numFmtId="0" fontId="47" fillId="11" borderId="6" xfId="0" applyFont="1" applyFill="1" applyBorder="1" applyAlignment="1">
      <alignment horizontal="center" vertical="center"/>
    </xf>
    <xf numFmtId="0" fontId="22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2" fillId="19" borderId="0" xfId="0" applyFont="1" applyFill="1" applyAlignment="1">
      <alignment horizontal="center" vertical="center" textRotation="90"/>
    </xf>
    <xf numFmtId="0" fontId="50" fillId="0" borderId="0" xfId="0" applyFont="1" applyAlignment="1">
      <alignment horizontal="center"/>
    </xf>
    <xf numFmtId="0" fontId="33" fillId="8" borderId="0" xfId="0" applyFont="1" applyFill="1" applyAlignment="1">
      <alignment horizontal="center"/>
    </xf>
    <xf numFmtId="0" fontId="32" fillId="8" borderId="0" xfId="0" applyFont="1" applyFill="1" applyAlignment="1">
      <alignment horizontal="center"/>
    </xf>
    <xf numFmtId="0" fontId="17" fillId="3" borderId="0" xfId="0" applyFont="1" applyFill="1" applyAlignment="1">
      <alignment horizontal="center" vertical="center" textRotation="90" wrapText="1"/>
    </xf>
    <xf numFmtId="0" fontId="14" fillId="7" borderId="0" xfId="0" applyFont="1" applyFill="1" applyAlignment="1">
      <alignment horizontal="center" vertical="center" textRotation="90"/>
    </xf>
    <xf numFmtId="0" fontId="11" fillId="6" borderId="0" xfId="0" applyFont="1" applyFill="1" applyAlignment="1">
      <alignment horizontal="center" vertical="center"/>
    </xf>
    <xf numFmtId="0" fontId="17" fillId="3" borderId="0" xfId="0" applyFont="1" applyFill="1" applyAlignment="1">
      <alignment horizontal="center" vertical="center" textRotation="90"/>
    </xf>
    <xf numFmtId="0" fontId="33" fillId="10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5" fillId="0" borderId="6" xfId="0" applyFont="1" applyBorder="1" applyAlignment="1">
      <alignment horizontal="center" vertical="center" wrapText="1"/>
    </xf>
    <xf numFmtId="0" fontId="22" fillId="0" borderId="0" xfId="0" applyFont="1" applyAlignment="1"/>
    <xf numFmtId="0" fontId="0" fillId="23" borderId="0" xfId="0" applyFill="1" applyAlignment="1">
      <alignment horizontal="center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openxmlformats.org/officeDocument/2006/relationships/image" Target="../media/image18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11" Type="http://schemas.openxmlformats.org/officeDocument/2006/relationships/image" Target="../media/image16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14</xdr:col>
      <xdr:colOff>1016025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810001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39</xdr:col>
      <xdr:colOff>676715</xdr:colOff>
      <xdr:row>87</xdr:row>
      <xdr:rowOff>0</xdr:rowOff>
    </xdr:from>
    <xdr:to>
      <xdr:col>51</xdr:col>
      <xdr:colOff>305924</xdr:colOff>
      <xdr:row>95</xdr:row>
      <xdr:rowOff>100612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25547" y="18280584"/>
          <a:ext cx="7749792" cy="17455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386523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429779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14310</xdr:colOff>
      <xdr:row>34</xdr:row>
      <xdr:rowOff>152104</xdr:rowOff>
    </xdr:from>
    <xdr:to>
      <xdr:col>59</xdr:col>
      <xdr:colOff>16037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>
          <a:off x="26730214" y="6413357"/>
          <a:ext cx="1727" cy="1229198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617940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112</xdr:row>
      <xdr:rowOff>217823</xdr:rowOff>
    </xdr:from>
    <xdr:to>
      <xdr:col>42</xdr:col>
      <xdr:colOff>348617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1381829" y="21319361"/>
          <a:ext cx="22087" cy="290867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658637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173182</xdr:colOff>
      <xdr:row>126</xdr:row>
      <xdr:rowOff>127000</xdr:rowOff>
    </xdr:from>
    <xdr:to>
      <xdr:col>160</xdr:col>
      <xdr:colOff>170183</xdr:colOff>
      <xdr:row>126</xdr:row>
      <xdr:rowOff>166784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80206273" y="23483455"/>
          <a:ext cx="8563728" cy="39784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141</xdr:row>
      <xdr:rowOff>127000</xdr:rowOff>
    </xdr:from>
    <xdr:to>
      <xdr:col>161</xdr:col>
      <xdr:colOff>531576</xdr:colOff>
      <xdr:row>141</xdr:row>
      <xdr:rowOff>194788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455333" y="31496000"/>
          <a:ext cx="10225910" cy="6778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592667</xdr:colOff>
      <xdr:row>104</xdr:row>
      <xdr:rowOff>127000</xdr:rowOff>
    </xdr:from>
    <xdr:to>
      <xdr:col>162</xdr:col>
      <xdr:colOff>22018</xdr:colOff>
      <xdr:row>104</xdr:row>
      <xdr:rowOff>173010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540000" y="22860000"/>
          <a:ext cx="10309018" cy="4601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82312</xdr:colOff>
      <xdr:row>126</xdr:row>
      <xdr:rowOff>34636</xdr:rowOff>
    </xdr:from>
    <xdr:to>
      <xdr:col>136</xdr:col>
      <xdr:colOff>992909</xdr:colOff>
      <xdr:row>126</xdr:row>
      <xdr:rowOff>75644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 flipV="1">
          <a:off x="104522494" y="27408909"/>
          <a:ext cx="11855688" cy="4100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453351</xdr:colOff>
      <xdr:row>30</xdr:row>
      <xdr:rowOff>189376</xdr:rowOff>
    </xdr:from>
    <xdr:to>
      <xdr:col>13</xdr:col>
      <xdr:colOff>606888</xdr:colOff>
      <xdr:row>41</xdr:row>
      <xdr:rowOff>71153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53351" y="6148607"/>
          <a:ext cx="4822700" cy="2072876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28</xdr:col>
      <xdr:colOff>23519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14661714" y="39111296"/>
          <a:ext cx="695879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399814</xdr:colOff>
      <xdr:row>139</xdr:row>
      <xdr:rowOff>0</xdr:rowOff>
    </xdr:from>
    <xdr:to>
      <xdr:col>96</xdr:col>
      <xdr:colOff>186092</xdr:colOff>
      <xdr:row>139</xdr:row>
      <xdr:rowOff>7146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60477870" y="26834630"/>
          <a:ext cx="10416648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139816</xdr:colOff>
      <xdr:row>42</xdr:row>
      <xdr:rowOff>128165</xdr:rowOff>
    </xdr:from>
    <xdr:to>
      <xdr:col>106</xdr:col>
      <xdr:colOff>237066</xdr:colOff>
      <xdr:row>42</xdr:row>
      <xdr:rowOff>152400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>
          <a:off x="50660183" y="8155963"/>
          <a:ext cx="38243855" cy="2423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514394</xdr:colOff>
      <xdr:row>104</xdr:row>
      <xdr:rowOff>127794</xdr:rowOff>
    </xdr:from>
    <xdr:to>
      <xdr:col>147</xdr:col>
      <xdr:colOff>560576</xdr:colOff>
      <xdr:row>126</xdr:row>
      <xdr:rowOff>58520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19145762" y="19217899"/>
          <a:ext cx="46182" cy="512435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101600</xdr:colOff>
      <xdr:row>126</xdr:row>
      <xdr:rowOff>127000</xdr:rowOff>
    </xdr:from>
    <xdr:to>
      <xdr:col>75</xdr:col>
      <xdr:colOff>736600</xdr:colOff>
      <xdr:row>127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60375800" y="27990800"/>
          <a:ext cx="11734800" cy="76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101600</xdr:colOff>
      <xdr:row>126</xdr:row>
      <xdr:rowOff>76200</xdr:rowOff>
    </xdr:from>
    <xdr:to>
      <xdr:col>57</xdr:col>
      <xdr:colOff>707572</xdr:colOff>
      <xdr:row>126</xdr:row>
      <xdr:rowOff>122464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519600" y="27940000"/>
          <a:ext cx="13331372" cy="4626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129352</xdr:colOff>
      <xdr:row>126</xdr:row>
      <xdr:rowOff>188148</xdr:rowOff>
    </xdr:from>
    <xdr:to>
      <xdr:col>39</xdr:col>
      <xdr:colOff>1081852</xdr:colOff>
      <xdr:row>127</xdr:row>
      <xdr:rowOff>23519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17627130" y="26717037"/>
          <a:ext cx="14699074" cy="352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63</xdr:row>
      <xdr:rowOff>97692</xdr:rowOff>
    </xdr:from>
    <xdr:to>
      <xdr:col>38</xdr:col>
      <xdr:colOff>1362106</xdr:colOff>
      <xdr:row>63</xdr:row>
      <xdr:rowOff>165142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368000" y="13227538"/>
          <a:ext cx="12928875" cy="6745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169333</xdr:colOff>
      <xdr:row>42</xdr:row>
      <xdr:rowOff>127000</xdr:rowOff>
    </xdr:from>
    <xdr:to>
      <xdr:col>56</xdr:col>
      <xdr:colOff>653143</xdr:colOff>
      <xdr:row>42</xdr:row>
      <xdr:rowOff>149679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317333" y="9017000"/>
          <a:ext cx="13310810" cy="2267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108547</xdr:colOff>
      <xdr:row>206</xdr:row>
      <xdr:rowOff>138669</xdr:rowOff>
    </xdr:from>
    <xdr:to>
      <xdr:col>57</xdr:col>
      <xdr:colOff>997158</xdr:colOff>
      <xdr:row>206</xdr:row>
      <xdr:rowOff>141111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 flipV="1">
          <a:off x="33692991" y="38097558"/>
          <a:ext cx="13621176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59070</xdr:rowOff>
    </xdr:from>
    <xdr:to>
      <xdr:col>106</xdr:col>
      <xdr:colOff>280581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67360361" y="37450233"/>
          <a:ext cx="19767546" cy="928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565727</xdr:colOff>
      <xdr:row>127</xdr:row>
      <xdr:rowOff>87487</xdr:rowOff>
    </xdr:from>
    <xdr:to>
      <xdr:col>26</xdr:col>
      <xdr:colOff>565874</xdr:colOff>
      <xdr:row>142</xdr:row>
      <xdr:rowOff>138546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171727" y="27669578"/>
          <a:ext cx="147" cy="359551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960938</xdr:colOff>
      <xdr:row>43</xdr:row>
      <xdr:rowOff>7824</xdr:rowOff>
    </xdr:from>
    <xdr:to>
      <xdr:col>62</xdr:col>
      <xdr:colOff>964699</xdr:colOff>
      <xdr:row>55</xdr:row>
      <xdr:rowOff>76634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1481305" y="8233696"/>
          <a:ext cx="3761" cy="274862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56</xdr:row>
      <xdr:rowOff>0</xdr:rowOff>
    </xdr:from>
    <xdr:to>
      <xdr:col>76</xdr:col>
      <xdr:colOff>18144</xdr:colOff>
      <xdr:row>56</xdr:row>
      <xdr:rowOff>13361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>
          <a:off x="28003500" y="10767786"/>
          <a:ext cx="8218715" cy="1336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418242</xdr:colOff>
      <xdr:row>128</xdr:row>
      <xdr:rowOff>133684</xdr:rowOff>
    </xdr:from>
    <xdr:to>
      <xdr:col>116</xdr:col>
      <xdr:colOff>483559</xdr:colOff>
      <xdr:row>204</xdr:row>
      <xdr:rowOff>197472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82033217" y="27805551"/>
          <a:ext cx="12630104" cy="6749528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127000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455333" y="27940000"/>
          <a:ext cx="0" cy="3556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1159630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294640</xdr:colOff>
      <xdr:row>114</xdr:row>
      <xdr:rowOff>182880</xdr:rowOff>
    </xdr:from>
    <xdr:to>
      <xdr:col>95</xdr:col>
      <xdr:colOff>732229</xdr:colOff>
      <xdr:row>114</xdr:row>
      <xdr:rowOff>197441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68651120" y="21722080"/>
          <a:ext cx="11684709" cy="1456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384724</xdr:colOff>
      <xdr:row>115</xdr:row>
      <xdr:rowOff>10330</xdr:rowOff>
    </xdr:from>
    <xdr:to>
      <xdr:col>82</xdr:col>
      <xdr:colOff>384979</xdr:colOff>
      <xdr:row>125</xdr:row>
      <xdr:rowOff>145015</xdr:rowOff>
    </xdr:to>
    <xdr:cxnSp macro="">
      <xdr:nvCxnSpPr>
        <xdr:cNvPr id="37" name="Connector: Elbow 36">
          <a:extLst>
            <a:ext uri="{FF2B5EF4-FFF2-40B4-BE49-F238E27FC236}">
              <a16:creationId xmlns:a16="http://schemas.microsoft.com/office/drawing/2014/main" id="{C9CA5D4C-23F3-D0D0-8F4A-30195778058D}"/>
            </a:ext>
          </a:extLst>
        </xdr:cNvPr>
        <xdr:cNvCxnSpPr/>
      </xdr:nvCxnSpPr>
      <xdr:spPr>
        <a:xfrm rot="5400000" flipH="1" flipV="1">
          <a:off x="67546229" y="22957865"/>
          <a:ext cx="2390205" cy="255"/>
        </a:xfrm>
        <a:prstGeom prst="bentConnector3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280146</xdr:colOff>
      <xdr:row>128</xdr:row>
      <xdr:rowOff>37353</xdr:rowOff>
    </xdr:from>
    <xdr:to>
      <xdr:col>137</xdr:col>
      <xdr:colOff>288664</xdr:colOff>
      <xdr:row>152</xdr:row>
      <xdr:rowOff>199880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770587" y="27155588"/>
          <a:ext cx="8518" cy="598958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76709</xdr:colOff>
      <xdr:row>140</xdr:row>
      <xdr:rowOff>180282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4516891" y="30821918"/>
          <a:ext cx="10960745" cy="444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438888</xdr:colOff>
      <xdr:row>140</xdr:row>
      <xdr:rowOff>166521</xdr:rowOff>
    </xdr:from>
    <xdr:to>
      <xdr:col>75</xdr:col>
      <xdr:colOff>801817</xdr:colOff>
      <xdr:row>140</xdr:row>
      <xdr:rowOff>185959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2612260" y="27294312"/>
          <a:ext cx="10434324" cy="194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102720</xdr:colOff>
      <xdr:row>129</xdr:row>
      <xdr:rowOff>214779</xdr:rowOff>
    </xdr:from>
    <xdr:to>
      <xdr:col>76</xdr:col>
      <xdr:colOff>121397</xdr:colOff>
      <xdr:row>152</xdr:row>
      <xdr:rowOff>233456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764338" y="27482426"/>
          <a:ext cx="18677" cy="558426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490265</xdr:colOff>
      <xdr:row>152</xdr:row>
      <xdr:rowOff>157773</xdr:rowOff>
    </xdr:from>
    <xdr:to>
      <xdr:col>75</xdr:col>
      <xdr:colOff>775565</xdr:colOff>
      <xdr:row>152</xdr:row>
      <xdr:rowOff>179124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2663637" y="29958471"/>
          <a:ext cx="10356695" cy="2135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367011</xdr:colOff>
      <xdr:row>116</xdr:row>
      <xdr:rowOff>211666</xdr:rowOff>
    </xdr:from>
    <xdr:to>
      <xdr:col>140</xdr:col>
      <xdr:colOff>381000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 flipH="1">
          <a:off x="124361344" y="25696333"/>
          <a:ext cx="13989" cy="176990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122070</xdr:colOff>
      <xdr:row>42</xdr:row>
      <xdr:rowOff>90451</xdr:rowOff>
    </xdr:from>
    <xdr:to>
      <xdr:col>20</xdr:col>
      <xdr:colOff>625535</xdr:colOff>
      <xdr:row>42</xdr:row>
      <xdr:rowOff>104306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 flipV="1">
          <a:off x="1465693" y="8363857"/>
          <a:ext cx="7893393" cy="1385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591491</xdr:colOff>
      <xdr:row>126</xdr:row>
      <xdr:rowOff>108858</xdr:rowOff>
    </xdr:from>
    <xdr:to>
      <xdr:col>20</xdr:col>
      <xdr:colOff>896389</xdr:colOff>
      <xdr:row>126</xdr:row>
      <xdr:rowOff>122712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 flipV="1">
          <a:off x="1932047" y="23933117"/>
          <a:ext cx="8265916" cy="138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120007</xdr:colOff>
      <xdr:row>233</xdr:row>
      <xdr:rowOff>165652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3084007" y="52464252"/>
          <a:ext cx="34982793" cy="1214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116754</xdr:colOff>
      <xdr:row>206</xdr:row>
      <xdr:rowOff>141111</xdr:rowOff>
    </xdr:from>
    <xdr:to>
      <xdr:col>20</xdr:col>
      <xdr:colOff>976019</xdr:colOff>
      <xdr:row>206</xdr:row>
      <xdr:rowOff>144382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 flipV="1">
          <a:off x="1457310" y="37276852"/>
          <a:ext cx="8820283" cy="327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273527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686665</xdr:colOff>
      <xdr:row>153</xdr:row>
      <xdr:rowOff>4887</xdr:rowOff>
    </xdr:from>
    <xdr:to>
      <xdr:col>123</xdr:col>
      <xdr:colOff>709706</xdr:colOff>
      <xdr:row>233</xdr:row>
      <xdr:rowOff>4887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8916812" y="33080916"/>
          <a:ext cx="23041" cy="1715433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28015</xdr:colOff>
      <xdr:row>269</xdr:row>
      <xdr:rowOff>161269</xdr:rowOff>
    </xdr:from>
    <xdr:to>
      <xdr:col>114</xdr:col>
      <xdr:colOff>302381</xdr:colOff>
      <xdr:row>270</xdr:row>
      <xdr:rowOff>121397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586471" y="58161048"/>
          <a:ext cx="41988263" cy="1468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108547</xdr:colOff>
      <xdr:row>206</xdr:row>
      <xdr:rowOff>138669</xdr:rowOff>
    </xdr:from>
    <xdr:to>
      <xdr:col>75</xdr:col>
      <xdr:colOff>997158</xdr:colOff>
      <xdr:row>206</xdr:row>
      <xdr:rowOff>141111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 flipV="1">
          <a:off x="33704280" y="37493602"/>
          <a:ext cx="13656345" cy="244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65568</xdr:colOff>
      <xdr:row>242</xdr:row>
      <xdr:rowOff>176019</xdr:rowOff>
    </xdr:from>
    <xdr:to>
      <xdr:col>76</xdr:col>
      <xdr:colOff>38196</xdr:colOff>
      <xdr:row>242</xdr:row>
      <xdr:rowOff>210075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841508" y="52857147"/>
          <a:ext cx="11832327" cy="3405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229173</xdr:colOff>
      <xdr:row>210</xdr:row>
      <xdr:rowOff>93707</xdr:rowOff>
    </xdr:from>
    <xdr:to>
      <xdr:col>76</xdr:col>
      <xdr:colOff>286221</xdr:colOff>
      <xdr:row>255</xdr:row>
      <xdr:rowOff>85940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1864812" y="45517692"/>
          <a:ext cx="57048" cy="101999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20</xdr:col>
      <xdr:colOff>1075238</xdr:colOff>
      <xdr:row>222</xdr:row>
      <xdr:rowOff>180799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94375" y="49152969"/>
          <a:ext cx="12306801" cy="2204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236</xdr:row>
      <xdr:rowOff>201128</xdr:rowOff>
    </xdr:from>
    <xdr:to>
      <xdr:col>20</xdr:col>
      <xdr:colOff>907013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715000" y="52449722"/>
          <a:ext cx="12217951" cy="5684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59</xdr:row>
      <xdr:rowOff>179211</xdr:rowOff>
    </xdr:from>
    <xdr:to>
      <xdr:col>20</xdr:col>
      <xdr:colOff>1077619</xdr:colOff>
      <xdr:row>59</xdr:row>
      <xdr:rowOff>182482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 flipV="1">
          <a:off x="1589954" y="12193411"/>
          <a:ext cx="11412965" cy="327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10763</xdr:colOff>
      <xdr:row>72</xdr:row>
      <xdr:rowOff>161440</xdr:rowOff>
    </xdr:from>
    <xdr:to>
      <xdr:col>21</xdr:col>
      <xdr:colOff>93420</xdr:colOff>
      <xdr:row>73</xdr:row>
      <xdr:rowOff>32288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1382947" y="47501785"/>
          <a:ext cx="11790013" cy="10441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59531</xdr:colOff>
      <xdr:row>43</xdr:row>
      <xdr:rowOff>0</xdr:rowOff>
    </xdr:from>
    <xdr:to>
      <xdr:col>27</xdr:col>
      <xdr:colOff>78153</xdr:colOff>
      <xdr:row>63</xdr:row>
      <xdr:rowOff>58616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>
          <a:off x="23368916" y="8518769"/>
          <a:ext cx="18622" cy="466969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152400</xdr:colOff>
      <xdr:row>42</xdr:row>
      <xdr:rowOff>101600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56800" y="8788400"/>
          <a:ext cx="13462000" cy="1016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65766</xdr:colOff>
      <xdr:row>46</xdr:row>
      <xdr:rowOff>9466</xdr:rowOff>
    </xdr:from>
    <xdr:to>
      <xdr:col>21</xdr:col>
      <xdr:colOff>78874</xdr:colOff>
      <xdr:row>72</xdr:row>
      <xdr:rowOff>80856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3095025" y="8993540"/>
          <a:ext cx="13108" cy="579814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140</xdr:row>
      <xdr:rowOff>179211</xdr:rowOff>
    </xdr:from>
    <xdr:to>
      <xdr:col>20</xdr:col>
      <xdr:colOff>1077619</xdr:colOff>
      <xdr:row>140</xdr:row>
      <xdr:rowOff>182482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 flipV="1">
          <a:off x="1612256" y="12011894"/>
          <a:ext cx="11421948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645764</xdr:colOff>
      <xdr:row>163</xdr:row>
      <xdr:rowOff>138349</xdr:rowOff>
    </xdr:from>
    <xdr:to>
      <xdr:col>21</xdr:col>
      <xdr:colOff>24148</xdr:colOff>
      <xdr:row>164</xdr:row>
      <xdr:rowOff>9197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 flipV="1">
          <a:off x="6372309" y="36125531"/>
          <a:ext cx="11789748" cy="786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218354</xdr:colOff>
      <xdr:row>151</xdr:row>
      <xdr:rowOff>179211</xdr:rowOff>
    </xdr:from>
    <xdr:to>
      <xdr:col>20</xdr:col>
      <xdr:colOff>1077619</xdr:colOff>
      <xdr:row>151</xdr:row>
      <xdr:rowOff>182482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 flipV="1">
          <a:off x="1582428" y="29965415"/>
          <a:ext cx="11395561" cy="327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34636</xdr:colOff>
      <xdr:row>142</xdr:row>
      <xdr:rowOff>92364</xdr:rowOff>
    </xdr:from>
    <xdr:to>
      <xdr:col>39</xdr:col>
      <xdr:colOff>1090146</xdr:colOff>
      <xdr:row>142</xdr:row>
      <xdr:rowOff>188233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368000" y="31218909"/>
          <a:ext cx="14078782" cy="95869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125</xdr:col>
      <xdr:colOff>20375</xdr:colOff>
      <xdr:row>114</xdr:row>
      <xdr:rowOff>110020</xdr:rowOff>
    </xdr:from>
    <xdr:to>
      <xdr:col>136</xdr:col>
      <xdr:colOff>939919</xdr:colOff>
      <xdr:row>114</xdr:row>
      <xdr:rowOff>139054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10323610" y="24053255"/>
          <a:ext cx="11098221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261471</xdr:colOff>
      <xdr:row>101</xdr:row>
      <xdr:rowOff>18677</xdr:rowOff>
    </xdr:from>
    <xdr:to>
      <xdr:col>137</xdr:col>
      <xdr:colOff>280147</xdr:colOff>
      <xdr:row>125</xdr:row>
      <xdr:rowOff>37353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751912" y="20674853"/>
          <a:ext cx="18676" cy="5827059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704273</xdr:colOff>
      <xdr:row>101</xdr:row>
      <xdr:rowOff>357908</xdr:rowOff>
    </xdr:from>
    <xdr:to>
      <xdr:col>136</xdr:col>
      <xdr:colOff>914111</xdr:colOff>
      <xdr:row>101</xdr:row>
      <xdr:rowOff>386942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4394000" y="21693908"/>
          <a:ext cx="10924020" cy="2903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377264</xdr:colOff>
      <xdr:row>127</xdr:row>
      <xdr:rowOff>18924</xdr:rowOff>
    </xdr:from>
    <xdr:to>
      <xdr:col>82</xdr:col>
      <xdr:colOff>392206</xdr:colOff>
      <xdr:row>138</xdr:row>
      <xdr:rowOff>168088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212264" y="26894365"/>
          <a:ext cx="14942" cy="272651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1087475</xdr:colOff>
      <xdr:row>206</xdr:row>
      <xdr:rowOff>67340</xdr:rowOff>
    </xdr:from>
    <xdr:to>
      <xdr:col>21</xdr:col>
      <xdr:colOff>7054</xdr:colOff>
      <xdr:row>237</xdr:row>
      <xdr:rowOff>19823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H="1" flipV="1">
          <a:off x="18283275" y="46168340"/>
          <a:ext cx="62579" cy="70898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254000</xdr:colOff>
      <xdr:row>228</xdr:row>
      <xdr:rowOff>20864</xdr:rowOff>
    </xdr:from>
    <xdr:to>
      <xdr:col>40</xdr:col>
      <xdr:colOff>129820</xdr:colOff>
      <xdr:row>228</xdr:row>
      <xdr:rowOff>25400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 flipV="1">
          <a:off x="23469600" y="52243264"/>
          <a:ext cx="139474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131277</xdr:colOff>
      <xdr:row>207</xdr:row>
      <xdr:rowOff>37354</xdr:rowOff>
    </xdr:from>
    <xdr:to>
      <xdr:col>27</xdr:col>
      <xdr:colOff>177800</xdr:colOff>
      <xdr:row>228</xdr:row>
      <xdr:rowOff>152400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3702477" y="46341554"/>
          <a:ext cx="46523" cy="49664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152400</xdr:colOff>
      <xdr:row>130</xdr:row>
      <xdr:rowOff>203200</xdr:rowOff>
    </xdr:from>
    <xdr:to>
      <xdr:col>21</xdr:col>
      <xdr:colOff>152400</xdr:colOff>
      <xdr:row>164</xdr:row>
      <xdr:rowOff>50800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V="1">
          <a:off x="18186400" y="29616400"/>
          <a:ext cx="0" cy="8331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F56"/>
  <sheetViews>
    <sheetView zoomScale="125" workbookViewId="0">
      <selection activeCell="G22" sqref="G2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8" width="8.83203125" style="3"/>
    <col min="19" max="19" width="9.83203125" style="3" bestFit="1" customWidth="1"/>
    <col min="20" max="20" width="10.5" style="3" bestFit="1" customWidth="1"/>
    <col min="21" max="21" width="12.1640625" style="3" bestFit="1" customWidth="1"/>
    <col min="22" max="22" width="11.5" style="3" bestFit="1" customWidth="1"/>
    <col min="23" max="23" width="15.83203125" style="3" bestFit="1" customWidth="1"/>
    <col min="24" max="24" width="11.5" style="3" bestFit="1" customWidth="1"/>
    <col min="25" max="25" width="11.5" style="3" customWidth="1"/>
    <col min="26" max="31" width="8.83203125" style="3"/>
    <col min="32" max="32" width="12.33203125" style="3" bestFit="1" customWidth="1"/>
    <col min="33" max="16384" width="8.83203125" style="3"/>
  </cols>
  <sheetData>
    <row r="2" spans="2:32" ht="17" x14ac:dyDescent="0.25">
      <c r="P2" s="301" t="s">
        <v>103</v>
      </c>
      <c r="Q2" s="302"/>
      <c r="R2" s="301" t="s">
        <v>109</v>
      </c>
      <c r="S2" s="302"/>
      <c r="U2" s="303" t="s">
        <v>234</v>
      </c>
      <c r="V2" s="303"/>
      <c r="W2" s="13" t="s">
        <v>52</v>
      </c>
      <c r="Z2" s="3" t="s">
        <v>346</v>
      </c>
      <c r="AC2" s="3" t="s">
        <v>410</v>
      </c>
      <c r="AF2" s="3" t="s">
        <v>431</v>
      </c>
    </row>
    <row r="3" spans="2:32" ht="18" x14ac:dyDescent="0.25">
      <c r="C3" s="13" t="s">
        <v>54</v>
      </c>
      <c r="D3" s="20" t="s">
        <v>5</v>
      </c>
      <c r="E3" s="35" t="s">
        <v>6</v>
      </c>
      <c r="G3" s="13" t="s">
        <v>55</v>
      </c>
      <c r="H3" s="19" t="s">
        <v>56</v>
      </c>
      <c r="K3" s="13" t="s">
        <v>57</v>
      </c>
      <c r="L3" s="13" t="s">
        <v>100</v>
      </c>
      <c r="M3" s="13" t="s">
        <v>111</v>
      </c>
      <c r="O3" s="13" t="s">
        <v>101</v>
      </c>
      <c r="P3" s="13" t="s">
        <v>40</v>
      </c>
      <c r="Q3" s="13" t="s">
        <v>102</v>
      </c>
      <c r="R3" s="13" t="s">
        <v>104</v>
      </c>
      <c r="S3" s="13" t="s">
        <v>105</v>
      </c>
      <c r="U3" s="13" t="s">
        <v>233</v>
      </c>
      <c r="V3" s="13" t="s">
        <v>240</v>
      </c>
      <c r="W3" s="13" t="s">
        <v>53</v>
      </c>
      <c r="Y3" s="3" t="s">
        <v>41</v>
      </c>
      <c r="Z3" s="3" t="s">
        <v>347</v>
      </c>
      <c r="AB3" s="3" t="s">
        <v>411</v>
      </c>
      <c r="AC3" s="3">
        <v>1.667</v>
      </c>
      <c r="AE3" s="13" t="s">
        <v>65</v>
      </c>
      <c r="AF3" s="212">
        <v>104.974234</v>
      </c>
    </row>
    <row r="4" spans="2:32" ht="18" x14ac:dyDescent="0.25">
      <c r="C4" s="13" t="s">
        <v>58</v>
      </c>
      <c r="D4" s="20" t="s">
        <v>59</v>
      </c>
      <c r="E4" s="35" t="s">
        <v>14</v>
      </c>
      <c r="G4" s="13" t="s">
        <v>60</v>
      </c>
      <c r="H4" s="19" t="s">
        <v>61</v>
      </c>
      <c r="K4" s="13" t="s">
        <v>62</v>
      </c>
      <c r="L4" s="13" t="s">
        <v>63</v>
      </c>
      <c r="M4" s="13" t="s">
        <v>58</v>
      </c>
      <c r="O4" s="13" t="s">
        <v>41</v>
      </c>
      <c r="P4" s="4" t="s">
        <v>107</v>
      </c>
      <c r="Q4" s="61" t="s">
        <v>110</v>
      </c>
      <c r="R4" s="4" t="s">
        <v>107</v>
      </c>
      <c r="S4" s="61" t="s">
        <v>110</v>
      </c>
      <c r="U4" s="13">
        <v>1.0550600000000001</v>
      </c>
      <c r="V4" s="13">
        <v>3600</v>
      </c>
      <c r="W4" s="13">
        <v>1000</v>
      </c>
      <c r="Y4" s="13" t="s">
        <v>65</v>
      </c>
      <c r="Z4" s="13">
        <f>1000*50</f>
        <v>50000</v>
      </c>
      <c r="AB4" s="3" t="s">
        <v>84</v>
      </c>
      <c r="AC4" s="3">
        <v>2.2999999999999998</v>
      </c>
    </row>
    <row r="5" spans="2:32" ht="17" x14ac:dyDescent="0.25">
      <c r="B5" s="1" t="s">
        <v>18</v>
      </c>
      <c r="C5" s="13">
        <v>0</v>
      </c>
      <c r="D5" s="15">
        <f>12.011/1000</f>
        <v>1.2010999999999999E-2</v>
      </c>
      <c r="E5" s="35">
        <f>H5</f>
        <v>410.3</v>
      </c>
      <c r="G5" s="13" t="s">
        <v>18</v>
      </c>
      <c r="H5" s="13">
        <v>410.3</v>
      </c>
      <c r="K5" s="13">
        <f>8.314/1000</f>
        <v>8.3140000000000002E-3</v>
      </c>
      <c r="L5" s="13">
        <f>273.15</f>
        <v>273.14999999999998</v>
      </c>
      <c r="M5" s="13">
        <f>K5*L5</f>
        <v>2.2709690999999999</v>
      </c>
      <c r="O5" s="13" t="s">
        <v>23</v>
      </c>
      <c r="P5" s="13">
        <f>115131.4/1000</f>
        <v>115.1314</v>
      </c>
      <c r="Q5" s="13">
        <f>315.97/1000</f>
        <v>0.31597000000000003</v>
      </c>
      <c r="R5" s="13">
        <v>9.3640000000000008</v>
      </c>
      <c r="S5" s="13">
        <v>0.21368500000000001</v>
      </c>
      <c r="U5" s="13" t="s">
        <v>463</v>
      </c>
      <c r="Y5" s="61" t="s">
        <v>495</v>
      </c>
      <c r="Z5" s="13">
        <v>43400</v>
      </c>
    </row>
    <row r="6" spans="2:32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H6+H5+((3/2)*H9)+C6</f>
        <v>11.256799999999885</v>
      </c>
      <c r="G6" s="13" t="s">
        <v>31</v>
      </c>
      <c r="H6" s="13">
        <v>723.8</v>
      </c>
      <c r="O6" s="13" t="s">
        <v>68</v>
      </c>
      <c r="P6" s="13">
        <f>94827.84/1000</f>
        <v>94.827839999999995</v>
      </c>
      <c r="Q6" s="13">
        <f>270.35/1000</f>
        <v>0.27035000000000003</v>
      </c>
      <c r="R6" s="13">
        <v>9.9039999999999999</v>
      </c>
      <c r="S6" s="13">
        <v>0.18872</v>
      </c>
      <c r="U6" s="13">
        <f>4.184/1000</f>
        <v>4.1840000000000002E-3</v>
      </c>
      <c r="Y6" s="61" t="s">
        <v>520</v>
      </c>
      <c r="Z6" s="13">
        <v>39500</v>
      </c>
    </row>
    <row r="7" spans="2:32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C7+H10+H6+ ((3/2)*H9)</f>
        <v>34.288240000000087</v>
      </c>
      <c r="G7" s="13" t="s">
        <v>16</v>
      </c>
      <c r="H7" s="13">
        <v>376.8</v>
      </c>
      <c r="O7" s="39" t="s">
        <v>67</v>
      </c>
      <c r="P7" s="13">
        <f>73347.52/1000</f>
        <v>73.347520000000003</v>
      </c>
      <c r="Q7" s="13">
        <f>256/1000</f>
        <v>0.25600000000000001</v>
      </c>
      <c r="R7" s="13">
        <f>8669/1000</f>
        <v>8.6690000000000005</v>
      </c>
      <c r="S7" s="13">
        <f>191.502/1000</f>
        <v>0.19150200000000001</v>
      </c>
    </row>
    <row r="8" spans="2:32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C8+H5+H9</f>
        <v>19.900000000000034</v>
      </c>
      <c r="G8" s="13" t="s">
        <v>66</v>
      </c>
      <c r="H8" s="13">
        <v>236.1</v>
      </c>
      <c r="O8" s="62"/>
    </row>
    <row r="9" spans="2:32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C9+H7</f>
        <v>376.8</v>
      </c>
      <c r="G9" s="20" t="s">
        <v>24</v>
      </c>
      <c r="H9" s="13">
        <v>4</v>
      </c>
      <c r="O9" s="7"/>
    </row>
    <row r="10" spans="2:32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C10+(2*H7)+((3/2)*H9)</f>
        <v>17.358400000000074</v>
      </c>
      <c r="G10" s="13" t="s">
        <v>30</v>
      </c>
      <c r="H10" s="13">
        <v>854.2</v>
      </c>
    </row>
    <row r="11" spans="2:32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C11+(0.5*H9)</f>
        <v>233.74757600000001</v>
      </c>
      <c r="G11" s="20" t="s">
        <v>67</v>
      </c>
      <c r="H11" s="13">
        <v>0.7</v>
      </c>
      <c r="N11" s="222" t="s">
        <v>279</v>
      </c>
      <c r="P11" s="222" t="s">
        <v>40</v>
      </c>
      <c r="Q11" s="3" t="s">
        <v>506</v>
      </c>
      <c r="R11" s="3" t="s">
        <v>501</v>
      </c>
      <c r="S11" s="3" t="s">
        <v>512</v>
      </c>
      <c r="T11" s="3" t="s">
        <v>513</v>
      </c>
      <c r="U11" s="3" t="s">
        <v>511</v>
      </c>
      <c r="V11" s="3" t="s">
        <v>54</v>
      </c>
      <c r="W11" s="3" t="s">
        <v>346</v>
      </c>
    </row>
    <row r="12" spans="2:32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C12+H9</f>
        <v>4</v>
      </c>
      <c r="G12" s="13" t="s">
        <v>312</v>
      </c>
      <c r="H12" s="13">
        <v>794.3</v>
      </c>
      <c r="P12" s="4" t="s">
        <v>107</v>
      </c>
      <c r="Q12" s="3" t="s">
        <v>507</v>
      </c>
      <c r="R12" s="3" t="s">
        <v>509</v>
      </c>
      <c r="S12" s="3" t="s">
        <v>508</v>
      </c>
      <c r="T12" s="3" t="s">
        <v>508</v>
      </c>
      <c r="U12" s="3" t="s">
        <v>508</v>
      </c>
      <c r="V12" s="3" t="s">
        <v>508</v>
      </c>
      <c r="W12" s="3" t="s">
        <v>347</v>
      </c>
    </row>
    <row r="13" spans="2:32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C13+H10</f>
        <v>854.2</v>
      </c>
      <c r="G13" s="92" t="s">
        <v>315</v>
      </c>
      <c r="H13" s="13">
        <v>124.2</v>
      </c>
      <c r="O13" s="61" t="s">
        <v>496</v>
      </c>
      <c r="P13" s="13">
        <f>(23/12)*(12.011/1.008)</f>
        <v>22.838376322751323</v>
      </c>
      <c r="Q13" s="13">
        <f>102720+(27360*P13)</f>
        <v>727577.97619047621</v>
      </c>
      <c r="R13" s="13">
        <f>1.12+(4.4*P13)</f>
        <v>101.60885582010583</v>
      </c>
      <c r="S13" s="13">
        <v>-393520</v>
      </c>
      <c r="T13" s="13">
        <v>-285830</v>
      </c>
      <c r="U13" s="13">
        <f>Q14+S13+((P13/2)*T13)</f>
        <v>-613280.29978505243</v>
      </c>
      <c r="V13" s="13">
        <f>(L5*R14)+U13</f>
        <v>-497155.64346602862</v>
      </c>
      <c r="W13" s="13">
        <v>43000</v>
      </c>
    </row>
    <row r="14" spans="2:32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C14+H10+H9</f>
        <v>1.5260000000000673</v>
      </c>
      <c r="G14" s="13" t="s">
        <v>313</v>
      </c>
      <c r="H14" s="13">
        <v>629.6</v>
      </c>
      <c r="O14" s="4"/>
      <c r="Q14" s="3">
        <f>Q13*cal_to_kJ*1000</f>
        <v>3044186.2523809527</v>
      </c>
      <c r="R14" s="3">
        <f>R13*cal_to_kJ*1000</f>
        <v>425.1314527513228</v>
      </c>
      <c r="T14" s="3">
        <v>-241820</v>
      </c>
      <c r="U14" s="3">
        <f>LHV_Diesel+((P13/2)*(T14-T13))</f>
        <v>545558.47098214284</v>
      </c>
      <c r="V14" s="3">
        <f>V13/1000</f>
        <v>-497.15564346602861</v>
      </c>
    </row>
    <row r="15" spans="2:32" ht="16" x14ac:dyDescent="0.2">
      <c r="B15" s="7" t="s">
        <v>10</v>
      </c>
      <c r="C15" s="13" t="s">
        <v>69</v>
      </c>
      <c r="D15" s="13">
        <v>4.7226465048321509E-2</v>
      </c>
      <c r="E15" s="13">
        <f>0+H7+H5</f>
        <v>787.1</v>
      </c>
      <c r="G15" s="13" t="s">
        <v>314</v>
      </c>
      <c r="H15" s="13">
        <v>336.6</v>
      </c>
      <c r="O15" s="4"/>
      <c r="Q15" s="3" t="s">
        <v>508</v>
      </c>
      <c r="R15" s="3" t="s">
        <v>510</v>
      </c>
      <c r="V15" s="3" t="s">
        <v>58</v>
      </c>
    </row>
    <row r="16" spans="2:32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C16+H5+(0.5*H9)</f>
        <v>275.02296000000001</v>
      </c>
      <c r="G16" s="13" t="s">
        <v>181</v>
      </c>
      <c r="H16" s="13">
        <v>607.29999999999995</v>
      </c>
      <c r="O16" s="4"/>
    </row>
    <row r="17" spans="2:22" ht="17" x14ac:dyDescent="0.25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C17+(0.5*H9)+(b_ch_Ca)</f>
        <v>122.25799999999992</v>
      </c>
      <c r="G17" s="13" t="s">
        <v>319</v>
      </c>
      <c r="H17" s="13">
        <v>366.5</v>
      </c>
      <c r="N17" s="222" t="s">
        <v>568</v>
      </c>
      <c r="P17" s="222" t="s">
        <v>40</v>
      </c>
      <c r="Q17" s="3" t="s">
        <v>506</v>
      </c>
      <c r="R17" s="3" t="s">
        <v>501</v>
      </c>
      <c r="S17" s="3" t="s">
        <v>512</v>
      </c>
      <c r="T17" s="3" t="s">
        <v>513</v>
      </c>
      <c r="U17" s="3" t="s">
        <v>511</v>
      </c>
      <c r="V17" s="3" t="s">
        <v>54</v>
      </c>
    </row>
    <row r="18" spans="2:22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C18+H5+(2*H8)</f>
        <v>831.8</v>
      </c>
      <c r="G18" s="13" t="s">
        <v>182</v>
      </c>
      <c r="H18" s="13">
        <v>861.6</v>
      </c>
      <c r="P18" s="4" t="s">
        <v>107</v>
      </c>
      <c r="Q18" s="3" t="s">
        <v>507</v>
      </c>
      <c r="R18" s="3" t="s">
        <v>509</v>
      </c>
      <c r="S18" s="3" t="s">
        <v>508</v>
      </c>
      <c r="T18" s="3" t="s">
        <v>508</v>
      </c>
      <c r="U18" s="3" t="s">
        <v>508</v>
      </c>
      <c r="V18" s="3" t="s">
        <v>508</v>
      </c>
    </row>
    <row r="19" spans="2:22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C19+H11</f>
        <v>0.7</v>
      </c>
      <c r="O19" s="61" t="s">
        <v>520</v>
      </c>
      <c r="P19" s="13">
        <f>(20/10)*(12.011/1.008)</f>
        <v>23.831349206349206</v>
      </c>
      <c r="Q19" s="13">
        <f>102720+(27360*P19)</f>
        <v>754745.71428571432</v>
      </c>
      <c r="R19" s="13">
        <f>1.12+(4.4*P19)</f>
        <v>105.97793650793652</v>
      </c>
      <c r="S19" s="13">
        <v>-393520</v>
      </c>
      <c r="T19" s="13">
        <v>-285830</v>
      </c>
      <c r="U19" s="13">
        <f>Q20+S19+((P19/2)*T19)</f>
        <v>-641521.20325396815</v>
      </c>
      <c r="V19" s="13">
        <f>(L11*R20)+U19</f>
        <v>-641521.20325396815</v>
      </c>
    </row>
    <row r="20" spans="2:22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b_ch_H2+(0.5*H9)+C20</f>
        <v>9.5113440000000082</v>
      </c>
      <c r="O20" s="4"/>
      <c r="Q20" s="3">
        <f>Q19*cal_to_kJ*1000</f>
        <v>3157856.0685714288</v>
      </c>
      <c r="R20" s="3">
        <f>R19*cal_to_kJ*1000</f>
        <v>443.41168634920643</v>
      </c>
      <c r="T20" s="3">
        <v>-241820</v>
      </c>
      <c r="U20" s="3">
        <f>LHV_Diesel+((P19/2)*(T20-T19))</f>
        <v>567408.83928571432</v>
      </c>
      <c r="V20" s="3">
        <f>V19/1000</f>
        <v>-641.52120325396811</v>
      </c>
    </row>
    <row r="21" spans="2:22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O21" s="4"/>
      <c r="Q21" s="3" t="s">
        <v>508</v>
      </c>
      <c r="R21" s="3" t="s">
        <v>510</v>
      </c>
      <c r="V21" s="3" t="s">
        <v>58</v>
      </c>
    </row>
    <row r="22" spans="2:22" x14ac:dyDescent="0.2">
      <c r="B22" s="4" t="s">
        <v>181</v>
      </c>
      <c r="C22" s="13">
        <v>0</v>
      </c>
      <c r="D22" s="13">
        <f>32.066/1000</f>
        <v>3.2066000000000004E-2</v>
      </c>
      <c r="E22" s="13">
        <f>C22+H16</f>
        <v>607.29999999999995</v>
      </c>
      <c r="O22" s="4"/>
    </row>
    <row r="23" spans="2:22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C23+(0.5*H13)</f>
        <v>-68.950000000000017</v>
      </c>
    </row>
    <row r="24" spans="2:22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C24+(2*H12)+(1.5*H9)</f>
        <v>31.875999999999976</v>
      </c>
      <c r="O24" s="304" t="s">
        <v>393</v>
      </c>
      <c r="P24" s="304"/>
    </row>
    <row r="25" spans="2:22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C25+(H14)+(0.5*H9)</f>
        <v>62.576000000000022</v>
      </c>
      <c r="O25" s="128" t="s">
        <v>323</v>
      </c>
      <c r="P25" s="13" t="s">
        <v>394</v>
      </c>
      <c r="Q25" s="13" t="s">
        <v>33</v>
      </c>
      <c r="R25" s="13" t="s">
        <v>34</v>
      </c>
      <c r="S25" s="13" t="s">
        <v>35</v>
      </c>
      <c r="T25" s="13" t="s">
        <v>402</v>
      </c>
    </row>
    <row r="26" spans="2:22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C26+(2*H15)+(0.5*H9)</f>
        <v>298.64000000000004</v>
      </c>
      <c r="O26" s="13" t="s">
        <v>99</v>
      </c>
      <c r="P26" s="13" t="s">
        <v>347</v>
      </c>
      <c r="Q26" s="13" t="s">
        <v>99</v>
      </c>
      <c r="R26" s="13" t="s">
        <v>99</v>
      </c>
      <c r="S26" s="13" t="s">
        <v>99</v>
      </c>
      <c r="T26" s="13" t="s">
        <v>347</v>
      </c>
    </row>
    <row r="27" spans="2:22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C27+(2*H17)+(0.5*H9)</f>
        <v>412.83199999999999</v>
      </c>
      <c r="O27" s="13">
        <v>1.0437000000000001</v>
      </c>
      <c r="P27" s="13">
        <v>30080</v>
      </c>
      <c r="Q27" s="13">
        <v>0.18820000000000001</v>
      </c>
      <c r="R27" s="13">
        <v>6.0999999999999999E-2</v>
      </c>
      <c r="S27" s="13">
        <v>4.0399999999999998E-2</v>
      </c>
      <c r="T27" s="13">
        <v>2442</v>
      </c>
    </row>
    <row r="28" spans="2:22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C28+H18</f>
        <v>873.60807999999997</v>
      </c>
    </row>
    <row r="29" spans="2:22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C29+H14+H5+((3/2)*H9)</f>
        <v>33.790400000000034</v>
      </c>
    </row>
    <row r="30" spans="2:22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</row>
    <row r="31" spans="2:22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</row>
    <row r="32" spans="2:22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</row>
    <row r="33" spans="2:5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</row>
    <row r="34" spans="2:5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</row>
    <row r="35" spans="2:5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</row>
    <row r="36" spans="2:5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</row>
    <row r="37" spans="2:5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</row>
    <row r="38" spans="2:5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</row>
    <row r="39" spans="2:5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</row>
    <row r="40" spans="2:5" ht="17" x14ac:dyDescent="0.25">
      <c r="B40" s="4" t="s">
        <v>495</v>
      </c>
      <c r="C40" s="13">
        <v>7.4056800000000003</v>
      </c>
      <c r="D40" s="13">
        <f>(MW_C*8)+(MW_H*18)</f>
        <v>0.11423092</v>
      </c>
      <c r="E40" s="13">
        <f>C40+(8*H5)+(9*b_ch_H2)</f>
        <v>5414.70568</v>
      </c>
    </row>
    <row r="41" spans="2:5" ht="17" x14ac:dyDescent="0.25">
      <c r="B41" s="4" t="s">
        <v>496</v>
      </c>
      <c r="C41" s="13">
        <f>V14</f>
        <v>-497.15564346602861</v>
      </c>
      <c r="D41" s="13">
        <f>(MW_C*12)+(MW_H*23)</f>
        <v>0.16731462</v>
      </c>
      <c r="E41" s="13">
        <f>C41+(12*H5)+((23/2)*b_ch_H2)</f>
        <v>7141.5943565339712</v>
      </c>
    </row>
    <row r="42" spans="2:5" ht="17" x14ac:dyDescent="0.25">
      <c r="B42" s="4" t="s">
        <v>520</v>
      </c>
      <c r="C42" s="13">
        <f>V20</f>
        <v>-641.52120325396811</v>
      </c>
      <c r="D42" s="13">
        <f>(10*MW_C) + (20*MW_H)</f>
        <v>0.1402688</v>
      </c>
      <c r="E42" s="13">
        <f>C42+(10*H5)+(10*b_ch_H2)</f>
        <v>5822.4787967460325</v>
      </c>
    </row>
    <row r="43" spans="2:5" x14ac:dyDescent="0.2">
      <c r="B43" s="4"/>
    </row>
    <row r="44" spans="2:5" x14ac:dyDescent="0.2">
      <c r="B44" s="3" t="s">
        <v>108</v>
      </c>
    </row>
    <row r="45" spans="2:5" ht="17" x14ac:dyDescent="0.25">
      <c r="B45" s="13" t="s">
        <v>54</v>
      </c>
      <c r="C45" s="3" t="s">
        <v>125</v>
      </c>
    </row>
    <row r="46" spans="2:5" ht="17" x14ac:dyDescent="0.25">
      <c r="B46" s="13" t="s">
        <v>54</v>
      </c>
      <c r="C46" s="16" t="s">
        <v>376</v>
      </c>
    </row>
    <row r="47" spans="2:5" ht="18" x14ac:dyDescent="0.25">
      <c r="B47" s="19" t="s">
        <v>6</v>
      </c>
      <c r="C47" s="16" t="s">
        <v>363</v>
      </c>
    </row>
    <row r="48" spans="2:5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514</v>
      </c>
      <c r="C55" s="3" t="s">
        <v>515</v>
      </c>
    </row>
    <row r="56" spans="2:3" ht="17" x14ac:dyDescent="0.25">
      <c r="B56" s="13" t="s">
        <v>500</v>
      </c>
      <c r="C56" s="3" t="s">
        <v>499</v>
      </c>
    </row>
  </sheetData>
  <sortState xmlns:xlrd2="http://schemas.microsoft.com/office/spreadsheetml/2017/richdata2" ref="G6:G10">
    <sortCondition ref="G5:G10"/>
  </sortState>
  <mergeCells count="4">
    <mergeCell ref="P2:Q2"/>
    <mergeCell ref="R2:S2"/>
    <mergeCell ref="U2:V2"/>
    <mergeCell ref="O24:P24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V297"/>
  <sheetViews>
    <sheetView topLeftCell="B83" zoomScale="161" workbookViewId="0">
      <selection activeCell="N84" sqref="N84"/>
    </sheetView>
  </sheetViews>
  <sheetFormatPr baseColWidth="10" defaultColWidth="8.83203125" defaultRowHeight="15" x14ac:dyDescent="0.2"/>
  <cols>
    <col min="1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3" t="s">
        <v>126</v>
      </c>
      <c r="P10" s="303"/>
      <c r="Q10" s="303"/>
      <c r="R10" s="303"/>
      <c r="S10" s="303"/>
      <c r="T10" s="303"/>
      <c r="U10" s="303"/>
      <c r="V10" s="303" t="s">
        <v>126</v>
      </c>
      <c r="W10" s="303"/>
      <c r="X10" s="303"/>
      <c r="Y10" s="303"/>
      <c r="Z10" s="303"/>
      <c r="AA10" s="303"/>
      <c r="AB10" s="303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3" t="s">
        <v>307</v>
      </c>
      <c r="P11" s="303"/>
      <c r="Q11" s="303"/>
      <c r="R11" s="301"/>
      <c r="S11" s="302"/>
      <c r="T11" s="312" t="s">
        <v>306</v>
      </c>
      <c r="U11" s="307"/>
      <c r="V11" s="303" t="str">
        <f>_xlfn.CONCAT(E19," ",C19," ","+"," ",E21," ",C21," ","--&gt;"," ",E22," ",C22," ","+"," ",E20*E21," ",C20)</f>
        <v>1.5 C + 1.5 O2 --&gt; 1.5 CO2 + 5.64 N2</v>
      </c>
      <c r="W11" s="303"/>
      <c r="X11" s="303"/>
      <c r="Y11" s="303"/>
      <c r="Z11" s="303"/>
      <c r="AA11" s="303"/>
      <c r="AB11" s="303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3" t="s">
        <v>226</v>
      </c>
      <c r="P12" s="303"/>
      <c r="Q12" s="303"/>
      <c r="R12" s="301"/>
      <c r="S12" s="302"/>
      <c r="T12" s="303" t="s">
        <v>225</v>
      </c>
      <c r="U12" s="303"/>
      <c r="V12" s="303" t="str">
        <f>_xlfn.CONCAT(E25," ",C25," ","+"," ",E26," ",C26," ","--&gt;"," ",E27," ",C27)</f>
        <v>1.5 CO2 + 1.5 C --&gt; 3 CO</v>
      </c>
      <c r="W12" s="303"/>
      <c r="X12" s="303"/>
      <c r="Y12" s="303"/>
      <c r="Z12" s="303"/>
      <c r="AA12" s="303"/>
      <c r="AB12" s="303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3" t="s">
        <v>227</v>
      </c>
      <c r="P13" s="303"/>
      <c r="Q13" s="303"/>
      <c r="R13" s="301"/>
      <c r="S13" s="302"/>
      <c r="T13" s="312" t="s">
        <v>228</v>
      </c>
      <c r="U13" s="307"/>
      <c r="V13" s="303" t="str">
        <f>_xlfn.CONCAT(E29," ",C29," ","+"," ",E30," ",C30," ","--&gt;"," ",E31," ",C31," ","+"," ",E32," ",C32)</f>
        <v>1 Fe2O3 + 3 CO --&gt; 2 Fe + 3 CO2</v>
      </c>
      <c r="W13" s="303"/>
      <c r="X13" s="303"/>
      <c r="Y13" s="303"/>
      <c r="Z13" s="303"/>
      <c r="AA13" s="303"/>
      <c r="AB13" s="303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3"/>
      <c r="P14" s="303"/>
      <c r="Q14" s="303"/>
      <c r="R14" s="301"/>
      <c r="S14" s="302"/>
      <c r="T14" s="303"/>
      <c r="U14" s="303"/>
      <c r="V14" s="303" t="str">
        <f>_xlfn.CONCAT(E36," ",C36," ","--&gt;"," ",E37," ",C37," ","+"," ",E39," ",C39)</f>
        <v>1 CaCO3 --&gt; 1 CaO + 0.0624775822865075 MgO</v>
      </c>
      <c r="W14" s="303"/>
      <c r="X14" s="303"/>
      <c r="Y14" s="303"/>
      <c r="Z14" s="303"/>
      <c r="AA14" s="303"/>
      <c r="AB14" s="303"/>
    </row>
    <row r="15" spans="1:28" ht="17" x14ac:dyDescent="0.25">
      <c r="O15" s="303" t="s">
        <v>229</v>
      </c>
      <c r="P15" s="303"/>
      <c r="Q15" s="303"/>
      <c r="R15" s="301"/>
      <c r="S15" s="302"/>
      <c r="T15" s="303" t="s">
        <v>230</v>
      </c>
      <c r="U15" s="303"/>
      <c r="V15" s="303" t="str">
        <f>_xlfn.CONCAT(E41," ",C41," ","+"," ",E42," ",C42," ","--&gt;"," ",E43," ",C43)</f>
        <v>1 CaO + 1 SiO2 --&gt; 1 CaSiO3</v>
      </c>
      <c r="W15" s="303"/>
      <c r="X15" s="303"/>
      <c r="Y15" s="303"/>
      <c r="Z15" s="303"/>
      <c r="AA15" s="303"/>
      <c r="AB15" s="303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3" t="s">
        <v>335</v>
      </c>
      <c r="P17" s="303"/>
      <c r="Q17" s="303"/>
      <c r="R17" s="303"/>
      <c r="S17" s="303"/>
      <c r="T17" s="303"/>
      <c r="U17" s="303"/>
      <c r="V17" s="303" t="s">
        <v>126</v>
      </c>
      <c r="W17" s="303"/>
      <c r="X17" s="303"/>
      <c r="Y17" s="303"/>
      <c r="Z17" s="303"/>
      <c r="AA17" s="303"/>
      <c r="AB17" s="303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3" t="s">
        <v>336</v>
      </c>
      <c r="P18" s="303"/>
      <c r="Q18" s="303"/>
      <c r="R18" s="303"/>
      <c r="S18" s="303"/>
      <c r="T18" s="303" t="s">
        <v>337</v>
      </c>
      <c r="U18" s="301"/>
      <c r="V18" s="311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11"/>
      <c r="X18" s="311"/>
      <c r="Y18" s="311"/>
      <c r="Z18" s="311"/>
      <c r="AA18" s="311"/>
      <c r="AB18" s="311"/>
    </row>
    <row r="19" spans="1:28" ht="16" x14ac:dyDescent="0.2">
      <c r="B19" s="313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11"/>
      <c r="W19" s="311"/>
      <c r="X19" s="311"/>
      <c r="Y19" s="311"/>
      <c r="Z19" s="311"/>
      <c r="AA19" s="311"/>
      <c r="AB19" s="311"/>
    </row>
    <row r="20" spans="1:28" ht="18" x14ac:dyDescent="0.25">
      <c r="A20" s="1"/>
      <c r="B20" s="314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15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16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17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18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18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18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18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19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20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23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24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18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13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13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18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18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2" t="s">
        <v>19</v>
      </c>
      <c r="C44" s="322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09" t="s">
        <v>352</v>
      </c>
      <c r="D47" s="309"/>
      <c r="E47" s="309"/>
      <c r="F47" s="309"/>
    </row>
    <row r="48" spans="2:23" x14ac:dyDescent="0.2">
      <c r="C48" s="325"/>
      <c r="D48" s="325"/>
      <c r="E48" s="325"/>
      <c r="F48" s="325"/>
      <c r="H48" s="303" t="s">
        <v>70</v>
      </c>
      <c r="I48" s="303"/>
      <c r="J48" s="303"/>
      <c r="K48" s="303"/>
      <c r="L48" s="303"/>
      <c r="M48" s="303"/>
    </row>
    <row r="49" spans="2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3" t="s">
        <v>74</v>
      </c>
      <c r="I49" s="303"/>
      <c r="J49" s="303"/>
      <c r="K49" s="13"/>
      <c r="L49" s="312" t="s">
        <v>359</v>
      </c>
      <c r="M49" s="307"/>
    </row>
    <row r="50" spans="2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2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21" t="str">
        <f>_xlfn.CONCAT(H59," ",B59," ","+"," ",H60,"(",B60, " ","+"," ",F51," ",B61,")","  ", "--","&gt;","  ", Q59," ",K59," ","+"," ",Q60," ",K60," ","+"," ",Q61," ",K61," ","+"," ",Q62," ",B60)</f>
        <v>0.5 CH4 + 1(O2 + 3.76 N2)  --&gt;  0.5 CO + 0.25 H2 + 3.76 N2 +  O2</v>
      </c>
      <c r="I51" s="321"/>
      <c r="J51" s="321"/>
      <c r="K51" s="321"/>
      <c r="L51" s="321"/>
      <c r="M51" s="321"/>
    </row>
    <row r="52" spans="2:17" ht="16.25" customHeight="1" x14ac:dyDescent="0.25">
      <c r="C52" s="20" t="s">
        <v>24</v>
      </c>
      <c r="D52" s="13" t="s">
        <v>432</v>
      </c>
      <c r="H52" s="321"/>
      <c r="I52" s="321"/>
      <c r="J52" s="321"/>
      <c r="K52" s="321"/>
      <c r="L52" s="321"/>
      <c r="M52" s="321"/>
    </row>
    <row r="53" spans="2:17" ht="16.25" customHeight="1" x14ac:dyDescent="0.25">
      <c r="C53" s="13" t="s">
        <v>11</v>
      </c>
      <c r="D53" s="13" t="s">
        <v>76</v>
      </c>
    </row>
    <row r="54" spans="2:17" ht="15.5" customHeight="1" x14ac:dyDescent="0.2">
      <c r="C54" s="13">
        <f>(B51*Air_to_Kiln)/Ore_to_Kiln</f>
        <v>273.36172368284468</v>
      </c>
      <c r="D54" s="13">
        <f>C54/D60</f>
        <v>8542.8742228722531</v>
      </c>
      <c r="N54" s="3" t="s">
        <v>29</v>
      </c>
    </row>
    <row r="55" spans="2:17" ht="15.5" customHeight="1" x14ac:dyDescent="0.2">
      <c r="N55" s="3">
        <f>E60*2</f>
        <v>17085.748445744506</v>
      </c>
      <c r="O55" s="3">
        <f>N60+(2*N59)</f>
        <v>2627031.6375890244</v>
      </c>
    </row>
    <row r="57" spans="2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2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2:17" ht="17" x14ac:dyDescent="0.25"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K59" s="289" t="s">
        <v>123</v>
      </c>
      <c r="L59" s="3">
        <f>M59*N59</f>
        <v>478.57864826468187</v>
      </c>
      <c r="M59" s="3">
        <f>MW_CO</f>
        <v>2.8010399999999998E-2</v>
      </c>
      <c r="N59" s="3">
        <f>(E60*2)</f>
        <v>17085.748445744506</v>
      </c>
      <c r="O59" s="3">
        <f>F60*2</f>
        <v>1.2778268773866796E-2</v>
      </c>
      <c r="P59" s="30" t="s">
        <v>35</v>
      </c>
      <c r="Q59" s="3">
        <f>H60/2</f>
        <v>0.5</v>
      </c>
    </row>
    <row r="60" spans="2:17" ht="18" x14ac:dyDescent="0.25"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K60" s="290" t="s">
        <v>601</v>
      </c>
      <c r="L60" s="3">
        <f>M60*N60</f>
        <v>5226.894900429349</v>
      </c>
      <c r="M60" s="3">
        <f>MW_H*2</f>
        <v>2.0158800000000003E-3</v>
      </c>
      <c r="N60" s="3">
        <f>E59*2</f>
        <v>2592860.1406975356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2:17" ht="18" x14ac:dyDescent="0.25"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2:17" x14ac:dyDescent="0.2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K62" s="13" t="s">
        <v>18</v>
      </c>
      <c r="L62" s="144">
        <f>N62*M62</f>
        <v>15366.204650377213</v>
      </c>
      <c r="M62" s="3">
        <f>MW_C</f>
        <v>1.2010999999999999E-2</v>
      </c>
      <c r="N62" s="144">
        <f>E59-N59</f>
        <v>1279344.3219030234</v>
      </c>
      <c r="O62" s="3">
        <f>N62/N63</f>
        <v>0.95680945154433028</v>
      </c>
      <c r="P62" s="30" t="s">
        <v>38</v>
      </c>
    </row>
    <row r="63" spans="2:17" ht="19.25" customHeight="1" x14ac:dyDescent="0.2">
      <c r="K63" s="3" t="s">
        <v>19</v>
      </c>
      <c r="L63" s="146">
        <f>SUM(L59:L62)</f>
        <v>21971.504991126647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2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L64" s="146"/>
      <c r="M64" s="146"/>
      <c r="N64" s="146"/>
      <c r="O64" s="146"/>
    </row>
    <row r="65" spans="2:41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1" ht="15.5" customHeight="1" x14ac:dyDescent="0.25">
      <c r="G66" s="20" t="s">
        <v>24</v>
      </c>
    </row>
    <row r="67" spans="2:41" ht="19.25" customHeight="1" x14ac:dyDescent="0.25">
      <c r="G67" s="15" t="s">
        <v>331</v>
      </c>
      <c r="H67" s="19" t="s">
        <v>21</v>
      </c>
    </row>
    <row r="68" spans="2:41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</row>
    <row r="69" spans="2:41" x14ac:dyDescent="0.2">
      <c r="B69" s="309" t="s">
        <v>380</v>
      </c>
      <c r="C69" s="309"/>
      <c r="D69" s="309"/>
      <c r="E69" s="309"/>
      <c r="F69" s="309"/>
      <c r="G69" s="309"/>
      <c r="W69" s="157"/>
      <c r="Y69" s="305" t="s">
        <v>497</v>
      </c>
      <c r="Z69" s="305"/>
      <c r="AA69" s="305"/>
      <c r="AB69" s="305"/>
      <c r="AC69" s="305"/>
      <c r="AD69" s="305"/>
      <c r="AE69" s="305"/>
      <c r="AF69" s="305"/>
    </row>
    <row r="70" spans="2:41" x14ac:dyDescent="0.2">
      <c r="B70" s="310"/>
      <c r="C70" s="310"/>
      <c r="D70" s="310"/>
      <c r="E70" s="310"/>
      <c r="F70" s="310"/>
      <c r="G70" s="310"/>
      <c r="W70" s="155"/>
      <c r="Y70" s="305"/>
      <c r="Z70" s="305"/>
      <c r="AA70" s="305"/>
      <c r="AB70" s="305"/>
      <c r="AC70" s="305"/>
      <c r="AD70" s="305"/>
      <c r="AE70" s="305"/>
      <c r="AF70" s="305"/>
    </row>
    <row r="71" spans="2:41" x14ac:dyDescent="0.2">
      <c r="E71" s="13"/>
      <c r="F71" s="13" t="s">
        <v>47</v>
      </c>
      <c r="G71" s="13" t="s">
        <v>1</v>
      </c>
      <c r="H71" s="13" t="s">
        <v>384</v>
      </c>
      <c r="X71" s="155"/>
      <c r="Y71" s="305"/>
      <c r="Z71" s="305"/>
      <c r="AA71" s="305"/>
      <c r="AB71" s="305"/>
      <c r="AC71" s="305"/>
      <c r="AD71" s="305"/>
      <c r="AE71" s="305"/>
      <c r="AF71" s="305"/>
    </row>
    <row r="72" spans="2:41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X72" s="155"/>
    </row>
    <row r="73" spans="2:41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X73" s="155"/>
      <c r="Y73" s="171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2:41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V74" s="155"/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2:41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V75" s="155"/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2:41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V76" s="155"/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2:41" ht="17" x14ac:dyDescent="0.25">
      <c r="H77" s="304" t="s">
        <v>114</v>
      </c>
      <c r="I77" s="304"/>
      <c r="J77" s="304"/>
      <c r="K77" s="304"/>
      <c r="L77" s="304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V77" s="155"/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2:41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V78" s="155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2:41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V79" s="155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2:41" ht="17" x14ac:dyDescent="0.25"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V80" s="155"/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2:39" ht="17" x14ac:dyDescent="0.25"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V81" s="155"/>
      <c r="Y81" s="3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2:39" ht="16" x14ac:dyDescent="0.2"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651</v>
      </c>
      <c r="N82" s="6"/>
      <c r="O82" s="6"/>
      <c r="P82" s="6"/>
      <c r="V82" s="155"/>
    </row>
    <row r="83" spans="2:39" ht="18" x14ac:dyDescent="0.25"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V83" s="155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2:39" ht="18" x14ac:dyDescent="0.25"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4"/>
      <c r="I84" s="4"/>
      <c r="J84" s="4"/>
      <c r="K84" s="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V84" s="155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2:39" ht="18" x14ac:dyDescent="0.25"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V85" s="155"/>
      <c r="Y85" s="171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2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V86" s="155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2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V87" s="155"/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2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V88" s="155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2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491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V89" s="155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2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155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2:39" x14ac:dyDescent="0.2"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X91" s="155"/>
      <c r="Y91" s="3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2:39" x14ac:dyDescent="0.2"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X92" s="155"/>
    </row>
    <row r="93" spans="2:39" x14ac:dyDescent="0.2"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X93" s="155"/>
    </row>
    <row r="94" spans="2:39" x14ac:dyDescent="0.2"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X94" s="155"/>
      <c r="Y94" s="171" t="s">
        <v>454</v>
      </c>
      <c r="AG94" s="171" t="s">
        <v>486</v>
      </c>
    </row>
    <row r="95" spans="2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X95" s="155"/>
      <c r="Y95" s="3">
        <v>0.7</v>
      </c>
      <c r="AG95" s="3">
        <v>0.15</v>
      </c>
    </row>
    <row r="96" spans="2:39" ht="17" x14ac:dyDescent="0.25">
      <c r="B96" s="3" t="s">
        <v>19</v>
      </c>
      <c r="C96" s="3">
        <f>SUM(C91:C95)</f>
        <v>286.88405520213905</v>
      </c>
      <c r="Y96" s="171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4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  <c r="AV97" s="16" t="s">
        <v>453</v>
      </c>
    </row>
    <row r="98" spans="2:4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4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4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4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48" x14ac:dyDescent="0.2">
      <c r="Y102" s="3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48" x14ac:dyDescent="0.2">
      <c r="AE104" s="3">
        <f>(AH102*2)+Z102</f>
        <v>69.582675758133661</v>
      </c>
    </row>
    <row r="108" spans="2:48" ht="17" x14ac:dyDescent="0.25">
      <c r="B108" s="171" t="s">
        <v>498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4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4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4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4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22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22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22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</row>
    <row r="124" spans="2:22" x14ac:dyDescent="0.2">
      <c r="V124" s="3" t="s">
        <v>383</v>
      </c>
    </row>
    <row r="125" spans="2:22" x14ac:dyDescent="0.2">
      <c r="H125" s="3" t="s">
        <v>379</v>
      </c>
      <c r="M125" s="16" t="s">
        <v>377</v>
      </c>
      <c r="U125" s="3" t="s">
        <v>382</v>
      </c>
    </row>
    <row r="127" spans="2:22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08" t="s">
        <v>461</v>
      </c>
      <c r="D147" s="308"/>
      <c r="E147" s="308"/>
      <c r="F147" s="308"/>
      <c r="G147" s="308"/>
    </row>
    <row r="148" spans="1:30" x14ac:dyDescent="0.2">
      <c r="B148" s="171" t="s">
        <v>454</v>
      </c>
      <c r="C148" s="305"/>
      <c r="D148" s="305"/>
      <c r="E148" s="305"/>
      <c r="F148" s="305"/>
      <c r="G148" s="305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485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05" t="s">
        <v>597</v>
      </c>
      <c r="C176" s="305"/>
      <c r="D176" s="305"/>
      <c r="E176" s="305"/>
      <c r="F176" s="305"/>
      <c r="G176" s="305"/>
    </row>
    <row r="177" spans="2:17" x14ac:dyDescent="0.2">
      <c r="B177" s="305"/>
      <c r="C177" s="305"/>
      <c r="D177" s="305"/>
      <c r="E177" s="305"/>
      <c r="F177" s="305"/>
      <c r="G177" s="305"/>
    </row>
    <row r="178" spans="2:17" x14ac:dyDescent="0.2">
      <c r="B178" s="305"/>
      <c r="C178" s="305"/>
      <c r="D178" s="305"/>
      <c r="E178" s="305"/>
      <c r="F178" s="305"/>
      <c r="G178" s="305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484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05" t="s">
        <v>502</v>
      </c>
      <c r="C215" s="305"/>
      <c r="D215" s="305"/>
      <c r="E215" s="305"/>
      <c r="G215" s="20" t="s">
        <v>67</v>
      </c>
      <c r="H215" s="237" t="s">
        <v>24</v>
      </c>
      <c r="J215" s="303" t="s">
        <v>70</v>
      </c>
      <c r="K215" s="303"/>
      <c r="L215" s="303"/>
      <c r="M215" s="303"/>
      <c r="N215" s="303"/>
      <c r="O215" s="303"/>
    </row>
    <row r="216" spans="2:20" ht="18" x14ac:dyDescent="0.25">
      <c r="B216" s="305"/>
      <c r="C216" s="305"/>
      <c r="D216" s="305"/>
      <c r="E216" s="305"/>
      <c r="G216" s="13">
        <v>3.76</v>
      </c>
      <c r="H216" s="13">
        <v>2</v>
      </c>
      <c r="J216" s="303" t="s">
        <v>504</v>
      </c>
      <c r="K216" s="303"/>
      <c r="L216" s="303"/>
      <c r="M216" s="13"/>
      <c r="N216" s="306" t="s">
        <v>75</v>
      </c>
      <c r="O216" s="307"/>
    </row>
    <row r="217" spans="2:20" x14ac:dyDescent="0.2">
      <c r="B217" s="305"/>
      <c r="C217" s="305"/>
      <c r="D217" s="305"/>
      <c r="E217" s="305"/>
      <c r="J217" s="303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3"/>
      <c r="L217" s="303"/>
      <c r="M217" s="303"/>
      <c r="N217" s="303"/>
      <c r="O217" s="303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503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496</v>
      </c>
      <c r="C222" s="3">
        <f>'Ore-&gt;PI'!L226</f>
        <v>0.48766657832528126</v>
      </c>
      <c r="D222" s="3">
        <f>MW_C12H23</f>
        <v>0.16731462</v>
      </c>
      <c r="E222" s="3">
        <f>C222/D222</f>
        <v>2.9146680566544707</v>
      </c>
      <c r="F222" s="30" t="s">
        <v>33</v>
      </c>
      <c r="G222" s="3">
        <v>1</v>
      </c>
      <c r="H222" s="241" t="s">
        <v>64</v>
      </c>
      <c r="I222" s="3">
        <f>J222*K222</f>
        <v>1.5392874988770233</v>
      </c>
      <c r="J222" s="3">
        <f>MW_CO2</f>
        <v>4.4009800000000002E-2</v>
      </c>
      <c r="K222" s="3">
        <f>M222*E222</f>
        <v>34.97601667985365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1.6554693737501325</v>
      </c>
      <c r="D223" s="3">
        <f>MW_O2</f>
        <v>3.1998800000000001E-2</v>
      </c>
      <c r="E223" s="3">
        <f>E222*G223</f>
        <v>51.735358005616852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0.60384845319839076</v>
      </c>
      <c r="J223" s="3">
        <f>MW_H2O</f>
        <v>1.8015280000000002E-2</v>
      </c>
      <c r="K223" s="3">
        <f>M223*E222</f>
        <v>33.518682651526412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5.4493206871047848</v>
      </c>
      <c r="D224" s="3">
        <f>MW_N2</f>
        <v>2.801348E-2</v>
      </c>
      <c r="E224" s="3">
        <f>E223*G224</f>
        <v>194.52494610111935</v>
      </c>
      <c r="F224" s="30" t="s">
        <v>207</v>
      </c>
      <c r="G224" s="3">
        <v>3.76</v>
      </c>
      <c r="H224" s="20" t="s">
        <v>67</v>
      </c>
      <c r="I224" s="3">
        <f t="shared" si="26"/>
        <v>5.4493206871047848</v>
      </c>
      <c r="J224" s="3">
        <f>MW_N2</f>
        <v>2.801348E-2</v>
      </c>
      <c r="K224" s="3">
        <f>E224</f>
        <v>194.52494610111935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7.5924566391801989</v>
      </c>
      <c r="D225" s="17"/>
      <c r="E225" s="17">
        <f>SUM(E222:E224)</f>
        <v>249.17497216339069</v>
      </c>
      <c r="I225" s="17">
        <f>SUM(I222:I224)</f>
        <v>7.5924566391801989</v>
      </c>
      <c r="J225" s="17"/>
      <c r="K225" s="17">
        <f>SUM(K222:K224)</f>
        <v>263.01964543249943</v>
      </c>
    </row>
    <row r="230" spans="2:21" ht="18" x14ac:dyDescent="0.25">
      <c r="B230" s="13" t="s">
        <v>183</v>
      </c>
      <c r="C230" s="3">
        <f>23*C232</f>
        <v>67.037365303052823</v>
      </c>
      <c r="D230" s="19" t="s">
        <v>304</v>
      </c>
      <c r="E230" s="3">
        <f>E232</f>
        <v>34.97601667985365</v>
      </c>
      <c r="F230" s="19" t="s">
        <v>304</v>
      </c>
      <c r="G230" s="3">
        <f>G231/2</f>
        <v>16.759341325763206</v>
      </c>
    </row>
    <row r="231" spans="2:21" x14ac:dyDescent="0.2">
      <c r="B231" s="13" t="s">
        <v>18</v>
      </c>
      <c r="C231" s="3">
        <f>12*C232</f>
        <v>34.97601667985365</v>
      </c>
      <c r="D231" s="13" t="s">
        <v>18</v>
      </c>
      <c r="E231" s="3">
        <f>E232</f>
        <v>34.97601667985365</v>
      </c>
      <c r="F231" s="3" t="s">
        <v>29</v>
      </c>
      <c r="G231" s="3">
        <f>G232</f>
        <v>33.518682651526412</v>
      </c>
    </row>
    <row r="232" spans="2:21" ht="18" x14ac:dyDescent="0.25">
      <c r="B232" s="61" t="s">
        <v>496</v>
      </c>
      <c r="C232" s="3">
        <f>E222</f>
        <v>2.9146680566544707</v>
      </c>
      <c r="D232" s="241" t="s">
        <v>64</v>
      </c>
      <c r="E232" s="3">
        <f>C231</f>
        <v>34.97601667985365</v>
      </c>
      <c r="F232" s="13" t="s">
        <v>68</v>
      </c>
      <c r="G232" s="3">
        <f>C230/2</f>
        <v>33.518682651526412</v>
      </c>
    </row>
    <row r="238" spans="2:21" ht="16" thickBot="1" x14ac:dyDescent="0.25">
      <c r="B238" s="98"/>
      <c r="C238" s="98"/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05" t="s">
        <v>517</v>
      </c>
      <c r="C240" s="305"/>
      <c r="D240" s="305"/>
      <c r="E240" s="305"/>
      <c r="J240" s="303" t="s">
        <v>70</v>
      </c>
      <c r="K240" s="303"/>
      <c r="L240" s="303"/>
      <c r="M240" s="303"/>
      <c r="N240" s="303"/>
      <c r="O240" s="303"/>
    </row>
    <row r="241" spans="2:21" ht="18" x14ac:dyDescent="0.25">
      <c r="B241" s="305"/>
      <c r="C241" s="305"/>
      <c r="D241" s="305"/>
      <c r="E241" s="305"/>
      <c r="J241" s="303" t="s">
        <v>519</v>
      </c>
      <c r="K241" s="303"/>
      <c r="L241" s="303"/>
      <c r="M241" s="13"/>
      <c r="N241" s="306" t="s">
        <v>75</v>
      </c>
      <c r="O241" s="307"/>
    </row>
    <row r="242" spans="2:21" x14ac:dyDescent="0.2">
      <c r="B242" s="305"/>
      <c r="C242" s="305"/>
      <c r="D242" s="305"/>
      <c r="E242" s="305"/>
      <c r="J242" s="303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3"/>
      <c r="L242" s="303"/>
      <c r="M242" s="303"/>
      <c r="N242" s="303"/>
      <c r="O242" s="303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518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495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8" x14ac:dyDescent="0.2">
      <c r="B257" s="305" t="s">
        <v>522</v>
      </c>
      <c r="C257" s="305"/>
      <c r="D257" s="305"/>
      <c r="E257" s="305"/>
      <c r="J257" s="303" t="s">
        <v>70</v>
      </c>
      <c r="K257" s="303"/>
      <c r="L257" s="303"/>
      <c r="M257" s="303"/>
      <c r="N257" s="303"/>
      <c r="O257" s="303"/>
    </row>
    <row r="258" spans="2:18" ht="18" x14ac:dyDescent="0.25">
      <c r="B258" s="305"/>
      <c r="C258" s="305"/>
      <c r="D258" s="305"/>
      <c r="E258" s="305"/>
      <c r="J258" s="303" t="s">
        <v>524</v>
      </c>
      <c r="K258" s="303"/>
      <c r="L258" s="303"/>
      <c r="M258" s="13"/>
      <c r="N258" s="306" t="s">
        <v>75</v>
      </c>
      <c r="O258" s="307"/>
    </row>
    <row r="259" spans="2:18" x14ac:dyDescent="0.2">
      <c r="B259" s="305"/>
      <c r="C259" s="305"/>
      <c r="D259" s="305"/>
      <c r="E259" s="305"/>
      <c r="J259" s="303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3"/>
      <c r="L259" s="303"/>
      <c r="M259" s="303"/>
      <c r="N259" s="303"/>
      <c r="O259" s="303"/>
    </row>
    <row r="262" spans="2:18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8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8" ht="18" x14ac:dyDescent="0.25">
      <c r="B264" s="61" t="s">
        <v>520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8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8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8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71" spans="2:18" ht="16" thickBot="1" x14ac:dyDescent="0.25">
      <c r="B271" s="98"/>
      <c r="C271" s="98"/>
      <c r="D271" s="98"/>
      <c r="E271" s="98"/>
      <c r="F271" s="98"/>
      <c r="G271" s="98"/>
      <c r="H271" s="98"/>
      <c r="I271" s="98"/>
      <c r="J271" s="98"/>
      <c r="K271" s="98"/>
      <c r="L271" s="98"/>
      <c r="M271" s="98"/>
      <c r="N271" s="98"/>
      <c r="O271" s="98"/>
      <c r="P271" s="98"/>
      <c r="Q271" s="98"/>
      <c r="R271" s="98"/>
    </row>
    <row r="273" spans="2:15" x14ac:dyDescent="0.2">
      <c r="B273" s="305" t="s">
        <v>521</v>
      </c>
      <c r="C273" s="305"/>
      <c r="D273" s="305"/>
      <c r="E273" s="305"/>
      <c r="J273" s="303" t="s">
        <v>70</v>
      </c>
      <c r="K273" s="303"/>
      <c r="L273" s="303"/>
      <c r="M273" s="303"/>
      <c r="N273" s="303"/>
      <c r="O273" s="303"/>
    </row>
    <row r="274" spans="2:15" ht="18" x14ac:dyDescent="0.25">
      <c r="B274" s="305"/>
      <c r="C274" s="305"/>
      <c r="D274" s="305"/>
      <c r="E274" s="305"/>
      <c r="J274" s="303" t="s">
        <v>74</v>
      </c>
      <c r="K274" s="303"/>
      <c r="L274" s="303"/>
      <c r="M274" s="13"/>
      <c r="N274" s="306" t="s">
        <v>75</v>
      </c>
      <c r="O274" s="307"/>
    </row>
    <row r="275" spans="2:15" x14ac:dyDescent="0.2">
      <c r="B275" s="305"/>
      <c r="C275" s="305"/>
      <c r="D275" s="305"/>
      <c r="E275" s="305"/>
      <c r="J275" s="303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3"/>
      <c r="L275" s="303"/>
      <c r="M275" s="303"/>
      <c r="N275" s="303"/>
      <c r="O275" s="303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523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D285" s="3" t="s">
        <v>5</v>
      </c>
      <c r="E285" s="132" t="s">
        <v>323</v>
      </c>
      <c r="F285" s="3" t="s">
        <v>394</v>
      </c>
      <c r="G285" s="3" t="s">
        <v>605</v>
      </c>
      <c r="H285" s="3" t="s">
        <v>605</v>
      </c>
    </row>
    <row r="286" spans="2:15" ht="18" x14ac:dyDescent="0.25">
      <c r="D286" s="19" t="s">
        <v>85</v>
      </c>
      <c r="E286" s="13" t="s">
        <v>99</v>
      </c>
      <c r="F286" s="13" t="s">
        <v>347</v>
      </c>
      <c r="G286" s="3" t="s">
        <v>347</v>
      </c>
      <c r="H286" s="3" t="s">
        <v>58</v>
      </c>
    </row>
    <row r="287" spans="2:15" x14ac:dyDescent="0.2">
      <c r="B287" s="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7" x14ac:dyDescent="0.2">
      <c r="B290" s="3" t="s">
        <v>603</v>
      </c>
      <c r="C290" s="3">
        <f>C287/C288</f>
        <v>0.33567230039130802</v>
      </c>
    </row>
    <row r="291" spans="2:7" x14ac:dyDescent="0.2">
      <c r="B291" s="3" t="s">
        <v>604</v>
      </c>
      <c r="C291" s="3">
        <f>(1-C290)</f>
        <v>0.66432769960869198</v>
      </c>
    </row>
    <row r="293" spans="2:7" x14ac:dyDescent="0.2">
      <c r="C293" s="3">
        <f>1.7354*(1173.15-298.15)</f>
        <v>1518.4750000000001</v>
      </c>
    </row>
    <row r="294" spans="2:7" x14ac:dyDescent="0.2">
      <c r="C294" s="3">
        <f>2.2537*LN(1173.15/298.15)</f>
        <v>3.0872332035378269</v>
      </c>
      <c r="D294" s="3">
        <f>C294*298.15</f>
        <v>920.45857963480307</v>
      </c>
      <c r="E294" s="3">
        <f>RT0</f>
        <v>2.2709690999999999</v>
      </c>
      <c r="F294" s="3">
        <f>-C293+D294-E294</f>
        <v>-600.28738946519707</v>
      </c>
      <c r="G294" s="3">
        <f>F294*D280</f>
        <v>-9.6302665202166846</v>
      </c>
    </row>
    <row r="297" spans="2:7" x14ac:dyDescent="0.2">
      <c r="B297" s="3">
        <f>((0.7487*94052)+(0.2513*28898))/0.7487</f>
        <v>103751.56911980767</v>
      </c>
      <c r="C297" s="3">
        <f>cal_to_kJ*B297</f>
        <v>434.09656519727531</v>
      </c>
    </row>
  </sheetData>
  <mergeCells count="67">
    <mergeCell ref="H51:M52"/>
    <mergeCell ref="B44:C44"/>
    <mergeCell ref="B35:B36"/>
    <mergeCell ref="C47:F48"/>
    <mergeCell ref="H48:M48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B240:E242"/>
    <mergeCell ref="J240:O240"/>
    <mergeCell ref="J241:L241"/>
    <mergeCell ref="N241:O241"/>
    <mergeCell ref="J242:O242"/>
    <mergeCell ref="B257:E259"/>
    <mergeCell ref="J257:O257"/>
    <mergeCell ref="J258:L258"/>
    <mergeCell ref="N258:O258"/>
    <mergeCell ref="J259:O259"/>
    <mergeCell ref="B273:E275"/>
    <mergeCell ref="J273:O273"/>
    <mergeCell ref="J274:L274"/>
    <mergeCell ref="N274:O274"/>
    <mergeCell ref="J275:O275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V97" r:id="rId3" xr:uid="{308A9F46-42FF-1140-813D-6092AB213401}"/>
  </hyperlinks>
  <pageMargins left="0.7" right="0.7" top="0.75" bottom="0.75" header="0.3" footer="0.3"/>
  <pageSetup paperSize="9" orientation="portrait" horizontalDpi="0" verticalDpi="0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W17" sqref="W17"/>
    </sheetView>
  </sheetViews>
  <sheetFormatPr baseColWidth="10" defaultRowHeight="15" x14ac:dyDescent="0.2"/>
  <sheetData>
    <row r="1" spans="2:22" x14ac:dyDescent="0.2">
      <c r="C1" s="3" t="s">
        <v>639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4" t="s">
        <v>629</v>
      </c>
      <c r="E3" s="3" t="s">
        <v>628</v>
      </c>
      <c r="F3" s="294" t="s">
        <v>623</v>
      </c>
      <c r="G3" s="294" t="s">
        <v>631</v>
      </c>
      <c r="H3" s="3" t="s">
        <v>632</v>
      </c>
      <c r="I3" s="294" t="s">
        <v>633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640</v>
      </c>
      <c r="V3" s="3" t="s">
        <v>641</v>
      </c>
    </row>
    <row r="4" spans="2:22" x14ac:dyDescent="0.2">
      <c r="B4" s="3"/>
      <c r="C4" s="171" t="s">
        <v>612</v>
      </c>
      <c r="D4" s="13" t="s">
        <v>630</v>
      </c>
      <c r="E4" s="13" t="s">
        <v>63</v>
      </c>
      <c r="F4" s="13" t="s">
        <v>347</v>
      </c>
      <c r="G4" s="13" t="s">
        <v>630</v>
      </c>
      <c r="H4" s="13" t="s">
        <v>99</v>
      </c>
      <c r="I4" s="13" t="s">
        <v>630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612</v>
      </c>
      <c r="U4" s="13" t="s">
        <v>58</v>
      </c>
      <c r="V4" s="13" t="s">
        <v>58</v>
      </c>
    </row>
    <row r="5" spans="2:22" ht="15" customHeight="1" x14ac:dyDescent="0.2">
      <c r="B5" s="326" t="s">
        <v>606</v>
      </c>
      <c r="C5" s="3" t="s">
        <v>611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611</v>
      </c>
      <c r="U5" s="3">
        <f>K5</f>
        <v>-9.8484726160779719</v>
      </c>
      <c r="V5">
        <f>K15</f>
        <v>880.83108552905367</v>
      </c>
    </row>
    <row r="6" spans="2:22" ht="18" x14ac:dyDescent="0.25">
      <c r="B6" s="326"/>
      <c r="C6" s="3"/>
      <c r="D6" s="3" t="s">
        <v>54</v>
      </c>
      <c r="E6" s="1" t="s">
        <v>616</v>
      </c>
      <c r="F6" s="1" t="s">
        <v>617</v>
      </c>
      <c r="G6" s="1" t="s">
        <v>618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614</v>
      </c>
      <c r="U6" s="3">
        <f>H8</f>
        <v>831.8</v>
      </c>
      <c r="V6" s="3">
        <f>H18</f>
        <v>831.8</v>
      </c>
    </row>
    <row r="7" spans="2:22" ht="16" x14ac:dyDescent="0.2">
      <c r="B7" s="326"/>
      <c r="C7" s="3"/>
      <c r="D7" s="13" t="s">
        <v>58</v>
      </c>
      <c r="E7" s="298" t="s">
        <v>58</v>
      </c>
      <c r="F7" s="298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613</v>
      </c>
      <c r="U7" s="3">
        <f>Q11</f>
        <v>-293.51452993154498</v>
      </c>
      <c r="V7">
        <f>P21</f>
        <v>-2123.0450060933322</v>
      </c>
    </row>
    <row r="8" spans="2:22" x14ac:dyDescent="0.2">
      <c r="B8" s="326"/>
      <c r="C8" s="3" t="s">
        <v>614</v>
      </c>
      <c r="D8" s="3">
        <f>Constants!C18</f>
        <v>-50.7</v>
      </c>
      <c r="E8" s="3">
        <f>b_ch_H2</f>
        <v>236.1</v>
      </c>
      <c r="F8" s="3">
        <f>Constants!H5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6"/>
      <c r="C9" s="3"/>
      <c r="D9" s="3" t="s">
        <v>40</v>
      </c>
      <c r="E9" s="3" t="s">
        <v>608</v>
      </c>
      <c r="F9" s="3" t="s">
        <v>609</v>
      </c>
      <c r="G9" s="294" t="s">
        <v>620</v>
      </c>
      <c r="H9" s="294" t="s">
        <v>621</v>
      </c>
      <c r="I9" s="3" t="s">
        <v>622</v>
      </c>
      <c r="J9" s="294" t="s">
        <v>623</v>
      </c>
      <c r="K9" s="294" t="s">
        <v>624</v>
      </c>
      <c r="L9" s="294" t="s">
        <v>102</v>
      </c>
      <c r="M9" s="294" t="s">
        <v>625</v>
      </c>
      <c r="N9" s="294" t="s">
        <v>626</v>
      </c>
      <c r="O9" s="3" t="s">
        <v>54</v>
      </c>
      <c r="P9" s="294" t="s">
        <v>627</v>
      </c>
      <c r="Q9" s="294" t="s">
        <v>34</v>
      </c>
    </row>
    <row r="10" spans="2:22" ht="17" x14ac:dyDescent="0.25">
      <c r="B10" s="326"/>
      <c r="C10" s="3"/>
      <c r="D10" s="13" t="s">
        <v>642</v>
      </c>
      <c r="E10" s="13" t="s">
        <v>241</v>
      </c>
      <c r="F10" s="13" t="s">
        <v>241</v>
      </c>
      <c r="G10" s="13" t="s">
        <v>507</v>
      </c>
      <c r="H10" s="13" t="s">
        <v>507</v>
      </c>
      <c r="I10" s="13" t="s">
        <v>241</v>
      </c>
      <c r="J10" s="13" t="s">
        <v>507</v>
      </c>
      <c r="K10" s="13" t="s">
        <v>509</v>
      </c>
      <c r="L10" s="13" t="s">
        <v>509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640</v>
      </c>
      <c r="V10" s="3" t="s">
        <v>641</v>
      </c>
    </row>
    <row r="11" spans="2:22" x14ac:dyDescent="0.2">
      <c r="B11" s="326"/>
      <c r="C11" s="3" t="s">
        <v>613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Constants!K5*((2.928*LN(Constants!L5))+(0.002569*Constants!L5)+((0.000007844)*((Constants!L5^2)/2))+((-0.00000000491)*((Constants!L5^3)/3))+((0.000000000000204)*((Constants!L5^4)/4))+4.634)</f>
        <v>0.18308605958078478</v>
      </c>
      <c r="L11" s="3">
        <f>((E11*('Fuel Exergy'!K11-(Constants!K5*LN(1))))+(F11*('Fuel Exergy'!K11-(Constants!K5*LN(1)))))/I11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612</v>
      </c>
      <c r="U11" s="13" t="s">
        <v>58</v>
      </c>
      <c r="V11" s="13" t="s">
        <v>58</v>
      </c>
    </row>
    <row r="12" spans="2:22" x14ac:dyDescent="0.2">
      <c r="S12" s="327" t="s">
        <v>643</v>
      </c>
      <c r="T12" s="13" t="s">
        <v>611</v>
      </c>
      <c r="U12" s="240" t="s">
        <v>482</v>
      </c>
      <c r="V12" s="240">
        <v>880.83</v>
      </c>
    </row>
    <row r="13" spans="2:22" x14ac:dyDescent="0.2">
      <c r="B13" s="240"/>
      <c r="C13" s="240"/>
      <c r="D13" s="240" t="s">
        <v>610</v>
      </c>
      <c r="E13" s="240" t="s">
        <v>608</v>
      </c>
      <c r="F13" s="240" t="s">
        <v>609</v>
      </c>
      <c r="G13" s="240" t="s">
        <v>33</v>
      </c>
      <c r="H13" s="240" t="s">
        <v>34</v>
      </c>
      <c r="I13" s="295" t="s">
        <v>323</v>
      </c>
      <c r="J13" s="295" t="s">
        <v>346</v>
      </c>
      <c r="K13" s="295" t="s">
        <v>34</v>
      </c>
      <c r="L13" s="240"/>
      <c r="M13" s="240"/>
      <c r="N13" s="240"/>
      <c r="O13" s="240"/>
      <c r="P13" s="240"/>
      <c r="S13" s="327"/>
      <c r="T13" s="13" t="s">
        <v>614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6" t="s">
        <v>11</v>
      </c>
      <c r="E14" s="296" t="s">
        <v>241</v>
      </c>
      <c r="F14" s="296" t="s">
        <v>241</v>
      </c>
      <c r="G14" s="296" t="s">
        <v>615</v>
      </c>
      <c r="H14" s="296" t="s">
        <v>615</v>
      </c>
      <c r="I14" s="296" t="s">
        <v>99</v>
      </c>
      <c r="J14" s="296" t="s">
        <v>347</v>
      </c>
      <c r="K14" s="296" t="s">
        <v>58</v>
      </c>
      <c r="L14" s="240"/>
      <c r="M14" s="240"/>
      <c r="N14" s="240"/>
      <c r="O14" s="240"/>
      <c r="P14" s="240"/>
      <c r="S14" s="327"/>
      <c r="T14" s="13" t="s">
        <v>613</v>
      </c>
      <c r="U14" s="240">
        <v>-2162.2800000000002</v>
      </c>
      <c r="V14" s="240">
        <f>-2464.812</f>
        <v>-2464.8119999999999</v>
      </c>
    </row>
    <row r="15" spans="2:22" x14ac:dyDescent="0.2">
      <c r="B15" s="326" t="s">
        <v>607</v>
      </c>
      <c r="C15" s="240" t="s">
        <v>611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26"/>
      <c r="C16" s="240"/>
      <c r="D16" s="240" t="s">
        <v>54</v>
      </c>
      <c r="E16" s="297" t="s">
        <v>616</v>
      </c>
      <c r="F16" s="297" t="s">
        <v>617</v>
      </c>
      <c r="G16" s="297" t="s">
        <v>618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26"/>
      <c r="C17" s="240"/>
      <c r="D17" s="296" t="s">
        <v>58</v>
      </c>
      <c r="E17" s="298" t="s">
        <v>58</v>
      </c>
      <c r="F17" s="298" t="s">
        <v>58</v>
      </c>
      <c r="G17" s="298" t="s">
        <v>58</v>
      </c>
      <c r="H17" s="298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26"/>
      <c r="C18" s="240" t="s">
        <v>614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26"/>
      <c r="C19" s="240"/>
      <c r="D19" s="240" t="s">
        <v>506</v>
      </c>
      <c r="E19" s="240" t="s">
        <v>506</v>
      </c>
      <c r="F19" s="299" t="s">
        <v>635</v>
      </c>
      <c r="G19" s="299" t="s">
        <v>636</v>
      </c>
      <c r="H19" s="299" t="s">
        <v>623</v>
      </c>
      <c r="I19" s="299" t="s">
        <v>633</v>
      </c>
      <c r="J19" s="299" t="s">
        <v>633</v>
      </c>
      <c r="K19" s="240" t="s">
        <v>40</v>
      </c>
      <c r="L19" s="299" t="s">
        <v>625</v>
      </c>
      <c r="M19" s="299" t="s">
        <v>626</v>
      </c>
      <c r="N19" s="299" t="s">
        <v>637</v>
      </c>
      <c r="O19" s="299" t="s">
        <v>638</v>
      </c>
      <c r="P19" s="299" t="s">
        <v>34</v>
      </c>
    </row>
    <row r="20" spans="2:16" x14ac:dyDescent="0.2">
      <c r="B20" s="326"/>
      <c r="C20" s="240"/>
      <c r="D20" s="296" t="s">
        <v>507</v>
      </c>
      <c r="E20" s="296" t="s">
        <v>58</v>
      </c>
      <c r="F20" s="296" t="s">
        <v>58</v>
      </c>
      <c r="G20" s="296" t="s">
        <v>58</v>
      </c>
      <c r="H20" s="296" t="s">
        <v>58</v>
      </c>
      <c r="I20" s="296" t="s">
        <v>509</v>
      </c>
      <c r="J20" s="296" t="s">
        <v>634</v>
      </c>
      <c r="K20" s="296" t="s">
        <v>619</v>
      </c>
      <c r="L20" s="296" t="s">
        <v>99</v>
      </c>
      <c r="M20" s="296" t="s">
        <v>99</v>
      </c>
      <c r="N20" s="296" t="s">
        <v>58</v>
      </c>
      <c r="O20" s="296" t="s">
        <v>58</v>
      </c>
      <c r="P20" s="296" t="s">
        <v>58</v>
      </c>
    </row>
    <row r="21" spans="2:16" x14ac:dyDescent="0.2">
      <c r="B21" s="326"/>
      <c r="C21" s="240" t="s">
        <v>613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583</v>
      </c>
    </row>
    <row r="33" spans="3:3" x14ac:dyDescent="0.2">
      <c r="C33" s="3" t="s">
        <v>584</v>
      </c>
    </row>
    <row r="34" spans="3:3" x14ac:dyDescent="0.2">
      <c r="C34" s="3" t="s">
        <v>568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DL69" zoomScale="120" zoomScaleNormal="120" workbookViewId="0">
      <selection activeCell="O194" sqref="O194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53" t="s">
        <v>365</v>
      </c>
      <c r="O23" s="353"/>
      <c r="P23" s="353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54"/>
      <c r="O24" s="354"/>
      <c r="P24" s="354"/>
    </row>
    <row r="25" spans="14:63" ht="18" x14ac:dyDescent="0.25">
      <c r="N25" s="100" t="s">
        <v>82</v>
      </c>
      <c r="O25" s="341" t="s">
        <v>345</v>
      </c>
      <c r="P25" s="138" t="s">
        <v>318</v>
      </c>
      <c r="AM25" s="338" t="s">
        <v>441</v>
      </c>
      <c r="AN25" s="338"/>
      <c r="AO25" s="338"/>
      <c r="AP25" s="338"/>
      <c r="AQ25" s="338"/>
      <c r="AR25" s="338"/>
      <c r="AS25" s="338"/>
      <c r="BE25" s="338" t="s">
        <v>445</v>
      </c>
      <c r="BF25" s="338"/>
      <c r="BG25" s="338"/>
      <c r="BH25" s="338"/>
      <c r="BI25" s="338"/>
      <c r="BJ25" s="338"/>
      <c r="BK25" s="338"/>
    </row>
    <row r="26" spans="14:63" ht="16" x14ac:dyDescent="0.2">
      <c r="N26" s="75" t="s">
        <v>48</v>
      </c>
      <c r="O26" s="342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649</v>
      </c>
      <c r="P28" s="136">
        <f>U42/U59</f>
        <v>1.2482139892596125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1.0480771193974399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40" t="s">
        <v>425</v>
      </c>
      <c r="F42" s="340"/>
      <c r="G42" s="340"/>
      <c r="H42" s="340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55" t="s">
        <v>418</v>
      </c>
      <c r="W42" s="355"/>
      <c r="X42" s="355"/>
      <c r="Y42" s="355"/>
      <c r="Z42" s="355"/>
      <c r="AA42" s="4"/>
      <c r="AB42" s="4"/>
      <c r="AC42" s="4"/>
      <c r="AD42" s="4"/>
      <c r="AE42" s="4"/>
      <c r="AF42" s="4"/>
      <c r="AG42" s="97"/>
      <c r="AH42" s="4" t="s">
        <v>562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55" t="s">
        <v>576</v>
      </c>
      <c r="AO42" s="355"/>
      <c r="AP42" s="355"/>
      <c r="AQ42" s="355"/>
      <c r="AR42" s="355"/>
      <c r="AT42" s="4"/>
      <c r="AU42" s="4"/>
      <c r="AV42" s="4"/>
      <c r="AW42" s="4"/>
      <c r="AX42" s="4"/>
      <c r="AY42" s="4"/>
      <c r="AZ42" s="4" t="s">
        <v>561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55" t="s">
        <v>446</v>
      </c>
      <c r="BG42" s="355"/>
      <c r="BH42" s="355"/>
      <c r="BI42" s="355"/>
      <c r="BJ42" s="355"/>
      <c r="BR42" s="3" t="s">
        <v>559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40"/>
      <c r="F43" s="340"/>
      <c r="G43" s="340"/>
      <c r="H43" s="340"/>
      <c r="J43" s="4"/>
      <c r="K43" s="4"/>
      <c r="L43" s="4"/>
      <c r="M43" s="4"/>
      <c r="N43" s="4"/>
      <c r="O43" s="4"/>
      <c r="P43" s="4"/>
      <c r="Q43" s="4"/>
      <c r="R43" s="4"/>
      <c r="V43" s="356"/>
      <c r="W43" s="356"/>
      <c r="X43" s="356"/>
      <c r="Y43" s="356"/>
      <c r="Z43" s="356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55"/>
      <c r="AO43" s="355"/>
      <c r="AP43" s="355"/>
      <c r="AQ43" s="355"/>
      <c r="AR43" s="355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55"/>
      <c r="BG43" s="355"/>
      <c r="BH43" s="355"/>
      <c r="BI43" s="355"/>
      <c r="BJ43" s="355"/>
    </row>
    <row r="44" spans="5:76" ht="19.25" customHeight="1" x14ac:dyDescent="0.25">
      <c r="J44" s="4"/>
      <c r="K44" s="1" t="s">
        <v>569</v>
      </c>
      <c r="L44" s="1" t="s">
        <v>570</v>
      </c>
      <c r="M44" s="1" t="s">
        <v>572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571</v>
      </c>
      <c r="U44" s="1" t="s">
        <v>50</v>
      </c>
      <c r="V44" s="22" t="s">
        <v>434</v>
      </c>
      <c r="W44" s="100" t="s">
        <v>483</v>
      </c>
      <c r="X44" s="192" t="s">
        <v>338</v>
      </c>
      <c r="Y44" s="360" t="s">
        <v>345</v>
      </c>
      <c r="Z44" s="138" t="s">
        <v>318</v>
      </c>
      <c r="AA44" s="4"/>
      <c r="AB44" s="4"/>
      <c r="AC44" s="1" t="s">
        <v>569</v>
      </c>
      <c r="AD44" s="1" t="s">
        <v>570</v>
      </c>
      <c r="AE44" s="1" t="s">
        <v>572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571</v>
      </c>
      <c r="AM44" s="1" t="s">
        <v>50</v>
      </c>
      <c r="AN44" s="22" t="s">
        <v>434</v>
      </c>
      <c r="AO44" s="22" t="s">
        <v>483</v>
      </c>
      <c r="AP44" s="161" t="s">
        <v>338</v>
      </c>
      <c r="AQ44" s="341" t="s">
        <v>345</v>
      </c>
      <c r="AR44" s="138" t="s">
        <v>318</v>
      </c>
      <c r="AS44" s="4"/>
      <c r="AT44" s="4"/>
      <c r="AU44" s="1" t="s">
        <v>569</v>
      </c>
      <c r="AV44" s="1" t="s">
        <v>570</v>
      </c>
      <c r="AW44" s="1" t="s">
        <v>572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571</v>
      </c>
      <c r="BE44" s="1" t="s">
        <v>50</v>
      </c>
      <c r="BF44" s="22" t="s">
        <v>434</v>
      </c>
      <c r="BG44" s="22" t="s">
        <v>483</v>
      </c>
      <c r="BH44" s="192" t="s">
        <v>338</v>
      </c>
      <c r="BI44" s="341" t="s">
        <v>345</v>
      </c>
      <c r="BJ44" s="138" t="s">
        <v>318</v>
      </c>
      <c r="BK44" s="1"/>
      <c r="BL44" s="4"/>
      <c r="BM44" s="1" t="s">
        <v>569</v>
      </c>
      <c r="BN44" s="1" t="s">
        <v>570</v>
      </c>
      <c r="BO44" s="1" t="s">
        <v>572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571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61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42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42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31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2396.1586162428257</v>
      </c>
      <c r="W46" s="101">
        <f>SUM(U42,U59,U72) -AM63-AM42</f>
        <v>85349.672751740902</v>
      </c>
      <c r="X46" s="194">
        <f>T42+T59+T72-AL42-AL63</f>
        <v>0</v>
      </c>
      <c r="Y46" s="191" t="s">
        <v>342</v>
      </c>
      <c r="Z46" s="136">
        <f>(($AF$46*($AL$46-$T$46))/U59)</f>
        <v>0</v>
      </c>
      <c r="AA46" s="331" t="s">
        <v>562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31" t="s">
        <v>561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31" t="s">
        <v>559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31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649</v>
      </c>
      <c r="Z47" s="136">
        <f>($AM$42+AM63)/(U59+U72+$U$42)</f>
        <v>0.56670793822679022</v>
      </c>
      <c r="AA47" s="331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649</v>
      </c>
      <c r="AR47" s="136">
        <f>BE42/(AS28+AM42)</f>
        <v>0.15191900995389168</v>
      </c>
      <c r="AS47" s="331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649</v>
      </c>
      <c r="BJ47" s="136">
        <f>(BW42+BW55)/(BK35+BE42)</f>
        <v>0.9084965360427989</v>
      </c>
      <c r="BK47" s="331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31" t="s">
        <v>564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0.46562872171536246</v>
      </c>
      <c r="AA48" s="331" t="s">
        <v>563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31" t="s">
        <v>560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31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31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31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31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31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31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31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31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31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596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596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596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599</v>
      </c>
      <c r="Y53" s="1" t="s">
        <v>599</v>
      </c>
      <c r="Z53" s="1" t="s">
        <v>599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599</v>
      </c>
      <c r="AQ53" s="1" t="s">
        <v>599</v>
      </c>
      <c r="AR53" s="1" t="s">
        <v>599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599</v>
      </c>
      <c r="BH53" s="1" t="s">
        <v>599</v>
      </c>
      <c r="BI53" s="1" t="s">
        <v>599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598</v>
      </c>
      <c r="Y54" s="3" t="s">
        <v>598</v>
      </c>
      <c r="Z54" s="3" t="s">
        <v>598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598</v>
      </c>
      <c r="AQ54" s="3" t="s">
        <v>598</v>
      </c>
      <c r="AR54" s="3" t="s">
        <v>598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598</v>
      </c>
      <c r="BH54" s="3" t="s">
        <v>598</v>
      </c>
      <c r="BI54" s="3" t="s">
        <v>598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558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569</v>
      </c>
      <c r="BN57" s="1" t="s">
        <v>570</v>
      </c>
      <c r="BO57" s="1" t="s">
        <v>572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571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587</v>
      </c>
      <c r="Q59" s="4"/>
      <c r="R59" s="4"/>
      <c r="S59" s="4"/>
      <c r="T59" s="50">
        <f>L64</f>
        <v>2.05024783499473</v>
      </c>
      <c r="U59" s="48">
        <f>U64</f>
        <v>87512.008023532893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31" t="s">
        <v>558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31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29" t="s">
        <v>493</v>
      </c>
      <c r="C61" s="329"/>
      <c r="D61" s="329"/>
      <c r="E61" s="329"/>
      <c r="F61" s="329"/>
      <c r="G61" s="329"/>
      <c r="H61" s="329"/>
      <c r="J61" s="4"/>
      <c r="K61" s="3" t="s">
        <v>575</v>
      </c>
      <c r="L61" s="1" t="s">
        <v>569</v>
      </c>
      <c r="M61" s="1" t="s">
        <v>572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571</v>
      </c>
      <c r="U61" s="1" t="s">
        <v>50</v>
      </c>
      <c r="W61" s="4" t="s">
        <v>18</v>
      </c>
      <c r="X61" s="286">
        <f>12*N63</f>
        <v>147.04616978442624</v>
      </c>
      <c r="Y61" s="286">
        <f>AF67</f>
        <v>147.04616978442624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31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30"/>
      <c r="C62" s="330"/>
      <c r="D62" s="330"/>
      <c r="E62" s="330"/>
      <c r="F62" s="330"/>
      <c r="G62" s="330"/>
      <c r="H62" s="330"/>
      <c r="J62" s="4" t="s">
        <v>41</v>
      </c>
      <c r="K62" s="3" t="s">
        <v>574</v>
      </c>
      <c r="L62" s="1" t="s">
        <v>89</v>
      </c>
      <c r="M62" s="1" t="s">
        <v>91</v>
      </c>
      <c r="N62" s="1" t="s">
        <v>87</v>
      </c>
      <c r="O62" s="1" t="s">
        <v>96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281.83849208681698</v>
      </c>
      <c r="Y62" s="286">
        <f>2*AF68</f>
        <v>281.83849208681698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31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587</v>
      </c>
      <c r="J63" s="62" t="s">
        <v>496</v>
      </c>
      <c r="K63" s="17">
        <f>F72</f>
        <v>88160.656904773379</v>
      </c>
      <c r="L63" s="17">
        <f>K63/LHV_Diesel</f>
        <v>2.05024783499473</v>
      </c>
      <c r="M63" s="17">
        <f>MW_C12H23</f>
        <v>0.16731462</v>
      </c>
      <c r="N63" s="17">
        <f>L63/M63</f>
        <v>12.253847482035521</v>
      </c>
      <c r="O63" s="17">
        <f>b_ch_C12H23</f>
        <v>7141.5943565339712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7141.5943565339712</v>
      </c>
      <c r="T63" s="17">
        <f>P63*S63</f>
        <v>7141.5943565339712</v>
      </c>
      <c r="U63" s="17">
        <f>T63*N64</f>
        <v>87512.008023532893</v>
      </c>
      <c r="W63" s="4" t="s">
        <v>29</v>
      </c>
      <c r="X63" s="286">
        <f>(3*N46)+(2*N47)+N48+(3*N49)+(2*N76)</f>
        <v>21253.736002658654</v>
      </c>
      <c r="Y63" s="286">
        <f>(3*AF46)+(2*AF47)+AF48+(3*AF49)+(2*AF67)+AF68</f>
        <v>21253.736002658654</v>
      </c>
      <c r="Z63" s="3">
        <f t="shared" si="28"/>
        <v>0</v>
      </c>
      <c r="AA63" s="1"/>
      <c r="AB63" s="1"/>
      <c r="AC63" s="1"/>
      <c r="AF63" s="4"/>
      <c r="AG63" s="4"/>
      <c r="AH63" s="3" t="s">
        <v>527</v>
      </c>
      <c r="AL63" s="50">
        <f>AC70</f>
        <v>31.920206302076174</v>
      </c>
      <c r="AM63" s="48">
        <f>AM70</f>
        <v>2396.1586162428257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2.05024783499473</v>
      </c>
      <c r="M64" s="17">
        <f>SUM(M63)</f>
        <v>0.16731462</v>
      </c>
      <c r="N64" s="17">
        <f>SUM(N63)</f>
        <v>12.253847482035521</v>
      </c>
      <c r="O64" s="17"/>
      <c r="P64" s="17"/>
      <c r="Q64" s="17"/>
      <c r="R64" s="17"/>
      <c r="S64" s="17"/>
      <c r="T64" s="17">
        <f>SUM(T63)</f>
        <v>7141.5943565339712</v>
      </c>
      <c r="U64" s="17">
        <f>SUM(U63)</f>
        <v>87512.008023532893</v>
      </c>
      <c r="W64" s="4" t="s">
        <v>364</v>
      </c>
      <c r="X64" s="286">
        <f>2*N77</f>
        <v>1635.6435619021013</v>
      </c>
      <c r="Y64" s="286">
        <f>2*AF69</f>
        <v>1635.6435619021013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569</v>
      </c>
      <c r="AD65" s="1" t="s">
        <v>570</v>
      </c>
      <c r="AE65" s="1" t="s">
        <v>572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571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31" t="s">
        <v>527</v>
      </c>
      <c r="AB67" s="3" t="s">
        <v>23</v>
      </c>
      <c r="AC67" s="1">
        <f>AE67*AF67</f>
        <v>6.4714725229786421</v>
      </c>
      <c r="AD67" s="8">
        <f>AC67/AC70</f>
        <v>0.20273905693891836</v>
      </c>
      <c r="AE67" s="1">
        <f>MW_CO2</f>
        <v>4.4009800000000002E-2</v>
      </c>
      <c r="AF67" s="1">
        <f>CO2_molcoeff*N63</f>
        <v>147.04616978442624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2252.4781741821816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31"/>
      <c r="AB68" s="3" t="s">
        <v>68</v>
      </c>
      <c r="AC68" s="1">
        <f t="shared" ref="AC68:AC69" si="39">AE68*AF68</f>
        <v>2.5386996748608963</v>
      </c>
      <c r="AD68" s="1">
        <f>AC68/AC70</f>
        <v>7.9532683806488202E-2</v>
      </c>
      <c r="AE68" s="6">
        <f>MW_H2O</f>
        <v>1.8015280000000002E-2</v>
      </c>
      <c r="AF68" s="1">
        <f>H2O_molcoeff*N63</f>
        <v>140.91924604340849</v>
      </c>
      <c r="AG68" s="6">
        <f>b_ch_H2O</f>
        <v>9.5113440000000082</v>
      </c>
      <c r="AH68" s="1">
        <f>AF68/AF70</f>
        <v>0.12743794326241137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0.61589000281072404</v>
      </c>
      <c r="AM68" s="1">
        <f>AF70*AL68</f>
        <v>681.04327973221029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31"/>
      <c r="AB69" s="7" t="s">
        <v>67</v>
      </c>
      <c r="AC69" s="1">
        <f t="shared" si="39"/>
        <v>22.910034104236637</v>
      </c>
      <c r="AD69" s="1">
        <f>AC69/AC70</f>
        <v>0.71772825925459349</v>
      </c>
      <c r="AE69" s="6">
        <f>MW_N2</f>
        <v>2.801348E-2</v>
      </c>
      <c r="AF69" s="1">
        <f>N77</f>
        <v>817.82178095105064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-537.36283767156601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31"/>
      <c r="AB70" s="17" t="s">
        <v>19</v>
      </c>
      <c r="AC70" s="8">
        <f>SUM(AC67:AC69)</f>
        <v>31.920206302076174</v>
      </c>
      <c r="AD70" s="8">
        <f>SUM(AD67:AD69)</f>
        <v>1</v>
      </c>
      <c r="AE70" s="8">
        <f>SUM(AE67:AE69)</f>
        <v>9.0038560000000004E-2</v>
      </c>
      <c r="AF70" s="8">
        <f>SUM(AF67:AF69)</f>
        <v>1105.7871967788853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2396.1586162428257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538</v>
      </c>
      <c r="T72" s="50">
        <f>K78</f>
        <v>29.869958467081446</v>
      </c>
      <c r="U72" s="48">
        <f>U78</f>
        <v>233.82334445083558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29" t="s">
        <v>532</v>
      </c>
      <c r="F74" s="329"/>
      <c r="G74" s="329"/>
      <c r="H74" s="329"/>
      <c r="K74" s="1" t="s">
        <v>569</v>
      </c>
      <c r="L74" s="1" t="s">
        <v>570</v>
      </c>
      <c r="M74" s="1" t="s">
        <v>572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571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29"/>
      <c r="F75" s="329"/>
      <c r="G75" s="329"/>
      <c r="H75" s="329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31" t="s">
        <v>538</v>
      </c>
      <c r="J76" s="1" t="s">
        <v>304</v>
      </c>
      <c r="K76" s="17">
        <f>M76*N76</f>
        <v>6.9599243628448084</v>
      </c>
      <c r="L76" s="17">
        <f>K76/K78</f>
        <v>0.23300750051310176</v>
      </c>
      <c r="M76" s="3">
        <f>MW_O2</f>
        <v>3.1998800000000001E-2</v>
      </c>
      <c r="N76" s="3">
        <f>O2_molcoeff*N63</f>
        <v>217.5057928061305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99.340497887001604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31"/>
      <c r="J77" s="60" t="s">
        <v>67</v>
      </c>
      <c r="K77" s="17">
        <f>M77*N77</f>
        <v>22.910034104236637</v>
      </c>
      <c r="L77" s="3">
        <f>K77/K78</f>
        <v>0.76699249948689818</v>
      </c>
      <c r="M77" s="28">
        <f>MW_N2</f>
        <v>2.801348E-2</v>
      </c>
      <c r="N77" s="28">
        <f>N2_molcoeff*N76</f>
        <v>817.82178095105064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134.48284656383399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29.869958467081446</v>
      </c>
      <c r="L78" s="17">
        <f>SUM(L76:L77)</f>
        <v>1</v>
      </c>
      <c r="M78" s="3">
        <f>SUM(M76:M77)</f>
        <v>6.0012280000000001E-2</v>
      </c>
      <c r="N78" s="3">
        <f>SUM(N76:N77)</f>
        <v>1035.3275737571812</v>
      </c>
      <c r="T78" s="3">
        <f>SUM(T76:T77)</f>
        <v>0.22584479577057509</v>
      </c>
      <c r="U78" s="3">
        <f>SUM(U76:U77)</f>
        <v>233.82334445083558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529</v>
      </c>
      <c r="EC101" s="4"/>
      <c r="ED101" s="4"/>
      <c r="EE101" s="4"/>
      <c r="EF101" s="50">
        <f>DX106</f>
        <v>4.8979947555174279</v>
      </c>
      <c r="EG101" s="48">
        <f>EG106</f>
        <v>203313.0005430537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29" t="s">
        <v>528</v>
      </c>
      <c r="DP103" s="329"/>
      <c r="DQ103" s="329"/>
      <c r="DR103" s="329"/>
      <c r="DS103" s="329"/>
      <c r="DT103" s="329"/>
      <c r="DV103" s="4"/>
      <c r="DW103" s="3" t="s">
        <v>575</v>
      </c>
      <c r="DX103" s="1" t="s">
        <v>569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571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30"/>
      <c r="DP104" s="330"/>
      <c r="DQ104" s="330"/>
      <c r="DR104" s="330"/>
      <c r="DS104" s="330"/>
      <c r="DT104" s="330"/>
      <c r="DV104" s="4" t="s">
        <v>41</v>
      </c>
      <c r="DW104" s="3" t="s">
        <v>574</v>
      </c>
      <c r="DX104" s="1" t="s">
        <v>89</v>
      </c>
      <c r="DY104" s="1" t="s">
        <v>91</v>
      </c>
      <c r="DZ104" s="1" t="s">
        <v>87</v>
      </c>
      <c r="EA104" s="1" t="s">
        <v>96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95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578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529</v>
      </c>
      <c r="DV105" s="96" t="s">
        <v>520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b_ch_oil</f>
        <v>5822.4787967460325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5822.4787967460325</v>
      </c>
      <c r="EF105" s="17">
        <f>EB105*EE105</f>
        <v>5822.4787967460325</v>
      </c>
      <c r="EG105" s="17">
        <f>EF105*DZ106</f>
        <v>203313.0005430537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5822.4787967460325</v>
      </c>
      <c r="EG106" s="17">
        <f>SUM(EG105)</f>
        <v>203313.0005430537</v>
      </c>
      <c r="EU106" s="1"/>
      <c r="EV106" s="1" t="s">
        <v>1</v>
      </c>
      <c r="EW106" s="1" t="s">
        <v>570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571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568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573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578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57" t="s">
        <v>441</v>
      </c>
      <c r="AN110" s="350"/>
      <c r="AO110" s="350"/>
      <c r="AP110" s="350"/>
      <c r="AQ110" s="350"/>
      <c r="AR110" s="350"/>
      <c r="AS110" s="350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50" t="s">
        <v>445</v>
      </c>
      <c r="BE110" s="350"/>
      <c r="BF110" s="350"/>
      <c r="BG110" s="350"/>
      <c r="BH110" s="350"/>
      <c r="BI110" s="350"/>
      <c r="BJ110" s="350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58" t="s">
        <v>365</v>
      </c>
      <c r="O111" s="358"/>
      <c r="P111" s="358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59"/>
      <c r="O112" s="359"/>
      <c r="P112" s="359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483</v>
      </c>
      <c r="O113" s="341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42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545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481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50" t="s">
        <v>447</v>
      </c>
      <c r="EK114" s="350"/>
      <c r="EL114" s="350"/>
      <c r="EM114" s="350"/>
      <c r="EN114" s="350"/>
      <c r="EO114" s="350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649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569</v>
      </c>
      <c r="CI116" s="1" t="s">
        <v>570</v>
      </c>
      <c r="CJ116" s="1" t="s">
        <v>572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571</v>
      </c>
      <c r="CR116" s="1" t="s">
        <v>50</v>
      </c>
      <c r="CS116" s="6"/>
      <c r="CT116" s="4"/>
      <c r="CW116" s="4"/>
      <c r="CX116" s="4"/>
      <c r="DO116" s="329" t="s">
        <v>480</v>
      </c>
      <c r="DP116" s="329"/>
      <c r="DQ116" s="329"/>
      <c r="DR116" s="329"/>
      <c r="DS116" s="329"/>
      <c r="DT116" s="329"/>
      <c r="DV116" s="4"/>
      <c r="DW116" s="3" t="s">
        <v>575</v>
      </c>
      <c r="DX116" s="1" t="s">
        <v>569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571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30"/>
      <c r="DP117" s="330"/>
      <c r="DQ117" s="330"/>
      <c r="DR117" s="330"/>
      <c r="DS117" s="330"/>
      <c r="DT117" s="330"/>
      <c r="DV117" s="4" t="s">
        <v>41</v>
      </c>
      <c r="DW117" s="3" t="s">
        <v>574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545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481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543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40" t="s">
        <v>531</v>
      </c>
      <c r="F126" s="340"/>
      <c r="G126" s="340"/>
      <c r="H126" s="340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51" t="s">
        <v>419</v>
      </c>
      <c r="W126" s="351"/>
      <c r="X126" s="351"/>
      <c r="Y126" s="351"/>
      <c r="Z126" s="351"/>
      <c r="AA126" s="6"/>
      <c r="AB126" s="6"/>
      <c r="AC126" s="6"/>
      <c r="AD126" s="121"/>
      <c r="AE126" s="6"/>
      <c r="AF126" s="6"/>
      <c r="AG126" s="6"/>
      <c r="AH126" s="6"/>
      <c r="AI126" s="6" t="s">
        <v>530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51" t="s">
        <v>555</v>
      </c>
      <c r="AP126" s="351"/>
      <c r="AQ126" s="351"/>
      <c r="AR126" s="351"/>
      <c r="AS126" s="351"/>
      <c r="AT126" s="6"/>
      <c r="AU126" s="6"/>
      <c r="AV126" s="121"/>
      <c r="AW126" s="6"/>
      <c r="AX126" s="6"/>
      <c r="AY126" s="6"/>
      <c r="AZ126" s="6"/>
      <c r="BA126" s="6" t="s">
        <v>556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51" t="s">
        <v>443</v>
      </c>
      <c r="BH126" s="351"/>
      <c r="BI126" s="351"/>
      <c r="BJ126" s="351"/>
      <c r="BK126" s="351"/>
      <c r="BL126" s="6"/>
      <c r="BM126" s="6"/>
      <c r="BN126" s="121"/>
      <c r="BO126" s="6"/>
      <c r="BP126" s="6"/>
      <c r="BQ126" s="6"/>
      <c r="BR126" s="6"/>
      <c r="BS126" s="6" t="s">
        <v>489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51" t="s">
        <v>444</v>
      </c>
      <c r="BZ126" s="351"/>
      <c r="CA126" s="351"/>
      <c r="CB126" s="351"/>
      <c r="CC126" s="351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62" t="s">
        <v>81</v>
      </c>
      <c r="DO126" s="362"/>
      <c r="DP126" s="362"/>
      <c r="DQ126" s="362"/>
      <c r="DR126" s="362"/>
      <c r="DS126" s="362"/>
      <c r="DT126" s="362"/>
      <c r="EA126" s="3" t="s">
        <v>565</v>
      </c>
      <c r="EF126" s="173">
        <f>DW134</f>
        <v>1309.8157778632656</v>
      </c>
      <c r="EG126" s="174">
        <f>EG134</f>
        <v>7072531.8830895294</v>
      </c>
      <c r="EH126" s="328" t="s">
        <v>430</v>
      </c>
      <c r="EI126" s="328"/>
      <c r="EJ126" s="328"/>
      <c r="EK126" s="328"/>
      <c r="EL126" s="328"/>
      <c r="EM126" s="328"/>
      <c r="EN126" s="328"/>
      <c r="ES126" s="1"/>
      <c r="ET126" s="1"/>
      <c r="EU126" s="1"/>
      <c r="EV126" s="1"/>
      <c r="EW126" s="1"/>
      <c r="EX126" s="1"/>
      <c r="EY126" s="3" t="s">
        <v>566</v>
      </c>
      <c r="FE126" s="50">
        <f>EV131</f>
        <v>616.23583583508366</v>
      </c>
      <c r="FF126" s="48">
        <f>FF131</f>
        <v>4157895.2984628798</v>
      </c>
      <c r="FG126" s="328" t="s">
        <v>424</v>
      </c>
      <c r="FH126" s="328"/>
      <c r="FI126" s="328"/>
      <c r="FJ126" s="328"/>
      <c r="FK126" s="328"/>
      <c r="FL126" s="328"/>
      <c r="FM126" s="328"/>
    </row>
    <row r="127" spans="5:169" ht="16.25" customHeight="1" thickBot="1" x14ac:dyDescent="0.25">
      <c r="E127" s="340"/>
      <c r="F127" s="340"/>
      <c r="G127" s="340"/>
      <c r="H127" s="34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52"/>
      <c r="W127" s="352"/>
      <c r="X127" s="352"/>
      <c r="Y127" s="352"/>
      <c r="Z127" s="352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51"/>
      <c r="AP127" s="351"/>
      <c r="AQ127" s="351"/>
      <c r="AR127" s="351"/>
      <c r="AS127" s="351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51"/>
      <c r="BH127" s="351"/>
      <c r="BI127" s="351"/>
      <c r="BJ127" s="351"/>
      <c r="BK127" s="351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51"/>
      <c r="BZ127" s="351"/>
      <c r="CA127" s="351"/>
      <c r="CB127" s="351"/>
      <c r="CC127" s="351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62"/>
      <c r="DO127" s="362"/>
      <c r="DP127" s="362"/>
      <c r="DQ127" s="362"/>
      <c r="DR127" s="362"/>
      <c r="DS127" s="362"/>
      <c r="DT127" s="362"/>
      <c r="EH127" s="328"/>
      <c r="EI127" s="328"/>
      <c r="EJ127" s="328"/>
      <c r="EK127" s="328"/>
      <c r="EL127" s="328"/>
      <c r="EM127" s="328"/>
      <c r="EN127" s="328"/>
      <c r="ES127" s="1"/>
      <c r="ET127" s="1"/>
      <c r="EU127" s="1"/>
      <c r="EV127" s="1"/>
      <c r="EW127" s="1"/>
      <c r="EX127" s="1"/>
      <c r="EY127" s="1"/>
      <c r="EZ127" s="1"/>
      <c r="FG127" s="328"/>
      <c r="FH127" s="328"/>
      <c r="FI127" s="328"/>
      <c r="FJ127" s="328"/>
      <c r="FK127" s="328"/>
      <c r="FL127" s="328"/>
      <c r="FM127" s="328"/>
    </row>
    <row r="128" spans="5:169" ht="19.75" customHeight="1" thickBot="1" x14ac:dyDescent="0.3">
      <c r="J128" s="4"/>
      <c r="K128" s="1" t="s">
        <v>569</v>
      </c>
      <c r="L128" s="1" t="s">
        <v>570</v>
      </c>
      <c r="M128" s="1" t="s">
        <v>572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571</v>
      </c>
      <c r="U128" s="1" t="s">
        <v>50</v>
      </c>
      <c r="V128" s="22" t="s">
        <v>434</v>
      </c>
      <c r="W128" s="100" t="s">
        <v>483</v>
      </c>
      <c r="X128" s="135" t="s">
        <v>349</v>
      </c>
      <c r="Y128" s="341" t="s">
        <v>345</v>
      </c>
      <c r="Z128" s="138" t="s">
        <v>318</v>
      </c>
      <c r="AA128" s="1"/>
      <c r="AB128" s="6"/>
      <c r="AC128" s="4"/>
      <c r="AD128" s="1" t="s">
        <v>569</v>
      </c>
      <c r="AE128" s="1" t="s">
        <v>570</v>
      </c>
      <c r="AF128" s="1" t="s">
        <v>572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571</v>
      </c>
      <c r="AN128" s="1" t="s">
        <v>50</v>
      </c>
      <c r="AO128" s="22" t="s">
        <v>434</v>
      </c>
      <c r="AP128" s="100" t="s">
        <v>483</v>
      </c>
      <c r="AQ128" s="135" t="s">
        <v>349</v>
      </c>
      <c r="AR128" s="341" t="s">
        <v>345</v>
      </c>
      <c r="AS128" s="138" t="s">
        <v>318</v>
      </c>
      <c r="AT128" s="1"/>
      <c r="AU128" s="4"/>
      <c r="AV128" s="1" t="s">
        <v>569</v>
      </c>
      <c r="AW128" s="1" t="s">
        <v>570</v>
      </c>
      <c r="AX128" s="1" t="s">
        <v>572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571</v>
      </c>
      <c r="BF128" s="1" t="s">
        <v>50</v>
      </c>
      <c r="BG128" s="22" t="s">
        <v>434</v>
      </c>
      <c r="BH128" s="100" t="s">
        <v>483</v>
      </c>
      <c r="BI128" s="135" t="s">
        <v>349</v>
      </c>
      <c r="BJ128" s="341" t="s">
        <v>345</v>
      </c>
      <c r="BK128" s="138" t="s">
        <v>318</v>
      </c>
      <c r="BL128" s="1"/>
      <c r="BM128" s="4"/>
      <c r="BN128" s="1" t="s">
        <v>569</v>
      </c>
      <c r="BO128" s="1" t="s">
        <v>570</v>
      </c>
      <c r="BP128" s="1" t="s">
        <v>572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571</v>
      </c>
      <c r="BX128" s="1" t="s">
        <v>50</v>
      </c>
      <c r="BY128" s="22" t="s">
        <v>434</v>
      </c>
      <c r="BZ128" s="100" t="s">
        <v>483</v>
      </c>
      <c r="CA128" s="135" t="s">
        <v>349</v>
      </c>
      <c r="CB128" s="341" t="s">
        <v>345</v>
      </c>
      <c r="CC128" s="138" t="s">
        <v>318</v>
      </c>
      <c r="CD128" s="113"/>
      <c r="CE128" s="113"/>
      <c r="CF128" s="113"/>
      <c r="CG128" s="4"/>
      <c r="CH128" s="1" t="s">
        <v>569</v>
      </c>
      <c r="CI128" s="1" t="s">
        <v>570</v>
      </c>
      <c r="CJ128" s="1" t="s">
        <v>572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571</v>
      </c>
      <c r="CR128" s="1" t="s">
        <v>50</v>
      </c>
      <c r="DN128" s="362"/>
      <c r="DO128" s="362"/>
      <c r="DP128" s="362"/>
      <c r="DQ128" s="362"/>
      <c r="DR128" s="362"/>
      <c r="DS128" s="362"/>
      <c r="DT128" s="362"/>
      <c r="DV128" s="4"/>
      <c r="DW128" s="1" t="s">
        <v>569</v>
      </c>
      <c r="DX128" s="1" t="s">
        <v>570</v>
      </c>
      <c r="DY128" s="1" t="s">
        <v>572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571</v>
      </c>
      <c r="EG128" s="1" t="s">
        <v>50</v>
      </c>
      <c r="EH128" s="328"/>
      <c r="EI128" s="328"/>
      <c r="EJ128" s="328"/>
      <c r="EK128" s="328"/>
      <c r="EL128" s="328"/>
      <c r="EM128" s="328"/>
      <c r="EN128" s="328"/>
      <c r="ET128" s="1"/>
      <c r="EU128" s="1"/>
      <c r="EV128" s="1" t="s">
        <v>569</v>
      </c>
      <c r="EW128" s="1" t="s">
        <v>570</v>
      </c>
      <c r="EX128" s="1" t="s">
        <v>572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571</v>
      </c>
      <c r="FF128" s="1" t="s">
        <v>50</v>
      </c>
      <c r="FG128" s="328"/>
      <c r="FH128" s="328"/>
      <c r="FI128" s="328"/>
      <c r="FJ128" s="328"/>
      <c r="FK128" s="328"/>
      <c r="FL128" s="328"/>
      <c r="FM128" s="328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42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42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42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42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483</v>
      </c>
      <c r="DQ129" s="161" t="s">
        <v>338</v>
      </c>
      <c r="DR129" s="363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573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483</v>
      </c>
      <c r="EK129" s="192" t="s">
        <v>338</v>
      </c>
      <c r="EL129" s="332" t="s">
        <v>345</v>
      </c>
      <c r="EM129" s="102" t="s">
        <v>318</v>
      </c>
      <c r="EU129" s="2" t="s">
        <v>41</v>
      </c>
      <c r="EV129" s="1" t="s">
        <v>89</v>
      </c>
      <c r="EW129" s="1" t="s">
        <v>573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34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7.1782646247188149</v>
      </c>
      <c r="W130" s="124">
        <f>SUM(U126,U140,U163,U151)-$AN$126-AN142</f>
        <v>257.85050016817019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34" t="s">
        <v>530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9" t="s">
        <v>556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34" t="s">
        <v>542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1135567923.5739617</v>
      </c>
      <c r="BZ130" s="124">
        <f>BX126+BX140+BX152-CR114-CR126-CR138</f>
        <v>-57404829.121883631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543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64"/>
      <c r="DS130" s="136" t="s">
        <v>83</v>
      </c>
      <c r="DT130" s="4"/>
      <c r="DU130" s="334" t="s">
        <v>565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33"/>
      <c r="EM130" s="136" t="s">
        <v>83</v>
      </c>
      <c r="ET130" s="222" t="s">
        <v>566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34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649</v>
      </c>
      <c r="Z131" s="136">
        <f>($AN$126+AN142)/(SUM(U126,U140,U163,U151))</f>
        <v>0.98995098054731168</v>
      </c>
      <c r="AA131" s="4"/>
      <c r="AB131" s="334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649</v>
      </c>
      <c r="AS131" s="136">
        <f>BF126/(AS113+AN126)</f>
        <v>0.89989464623142024</v>
      </c>
      <c r="AT131" s="349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649</v>
      </c>
      <c r="BK131" s="136">
        <f>BX126/(BJ113+BF126)</f>
        <v>0.99885105550639652</v>
      </c>
      <c r="BL131" s="334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649</v>
      </c>
      <c r="CC131" s="136">
        <f>(CR138+CR126+CR114)/(BX140+BX126+BX152)</f>
        <v>1.0532312287483219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34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9123683.0829609409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0.85781780627735493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649</v>
      </c>
      <c r="DS132" s="103">
        <f>EG126/(CR126+CP206+BW42)</f>
        <v>0.99300939590335358</v>
      </c>
      <c r="DT132" s="4"/>
      <c r="DU132" s="334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649</v>
      </c>
      <c r="EM132" s="103">
        <f>SUM(FF104,FF126,FF141)/SUM(EO117,EG101,EG114,EG126,EG140,EG152)</f>
        <v>0.33038859066202669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34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0.29488597008746631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596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596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596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599</v>
      </c>
      <c r="AQ135" s="1" t="s">
        <v>599</v>
      </c>
      <c r="AR135" s="1" t="s">
        <v>599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599</v>
      </c>
      <c r="BI135" s="1" t="s">
        <v>599</v>
      </c>
      <c r="BJ135" s="1" t="s">
        <v>599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599</v>
      </c>
      <c r="Y136" s="1" t="s">
        <v>599</v>
      </c>
      <c r="Z136" s="1" t="s">
        <v>599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598</v>
      </c>
      <c r="AQ136" s="3" t="s">
        <v>598</v>
      </c>
      <c r="AR136" s="3" t="s">
        <v>598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598</v>
      </c>
      <c r="BI136" s="3" t="s">
        <v>598</v>
      </c>
      <c r="BJ136" s="3" t="s">
        <v>598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596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29" t="s">
        <v>493</v>
      </c>
      <c r="C137" s="329"/>
      <c r="D137" s="329"/>
      <c r="E137" s="329"/>
      <c r="F137" s="329"/>
      <c r="G137" s="329"/>
      <c r="H137" s="329"/>
      <c r="S137" s="4"/>
      <c r="T137" s="4"/>
      <c r="U137" s="4"/>
      <c r="V137" s="4"/>
      <c r="W137" s="4" t="s">
        <v>60</v>
      </c>
      <c r="X137" s="3" t="s">
        <v>598</v>
      </c>
      <c r="Y137" s="3" t="s">
        <v>598</v>
      </c>
      <c r="Z137" s="3" t="s">
        <v>598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599</v>
      </c>
      <c r="CB137" s="1" t="s">
        <v>599</v>
      </c>
      <c r="CC137" s="1" t="s">
        <v>599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596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30"/>
      <c r="C138" s="330"/>
      <c r="D138" s="330"/>
      <c r="E138" s="330"/>
      <c r="F138" s="330"/>
      <c r="G138" s="330"/>
      <c r="H138" s="330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598</v>
      </c>
      <c r="CB138" s="3" t="s">
        <v>598</v>
      </c>
      <c r="CC138" s="3" t="s">
        <v>598</v>
      </c>
      <c r="CD138" s="1"/>
      <c r="CE138" s="1"/>
      <c r="CF138" s="1"/>
      <c r="CG138" s="1"/>
      <c r="CH138" s="1"/>
      <c r="CK138" s="4"/>
      <c r="CL138" s="4"/>
      <c r="CM138" s="3" t="s">
        <v>544</v>
      </c>
      <c r="CQ138" s="50">
        <f>CH147</f>
        <v>22064.067709118775</v>
      </c>
      <c r="CR138" s="48">
        <f>CR147</f>
        <v>1135560184.3227816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599</v>
      </c>
      <c r="EL138" s="1" t="s">
        <v>599</v>
      </c>
      <c r="EM138" s="1" t="s">
        <v>599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2103.6688654976547</v>
      </c>
      <c r="Y139" s="83">
        <f>AG130+AG131+AG146</f>
        <v>2103.6688654976547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598</v>
      </c>
      <c r="EL139" s="3" t="s">
        <v>598</v>
      </c>
      <c r="EM139" s="3" t="s">
        <v>598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587</v>
      </c>
      <c r="Q140" s="4"/>
      <c r="R140" s="4"/>
      <c r="S140" s="4"/>
      <c r="T140" s="50">
        <f>L145</f>
        <v>5.6184061187345121E-3</v>
      </c>
      <c r="U140" s="48">
        <f>U145</f>
        <v>239.81393514966189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538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CK142+CK144+CK143</f>
        <v>1298533.3000383398</v>
      </c>
      <c r="CC140" s="3">
        <f>CA140-CB140</f>
        <v>0</v>
      </c>
      <c r="CG140" s="4"/>
      <c r="CH140" s="1" t="s">
        <v>569</v>
      </c>
      <c r="CI140" s="1" t="s">
        <v>570</v>
      </c>
      <c r="CJ140" s="1" t="s">
        <v>572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571</v>
      </c>
      <c r="CR140" s="1" t="s">
        <v>50</v>
      </c>
      <c r="DW140" s="178"/>
      <c r="DX140" s="178"/>
      <c r="DY140" s="167"/>
      <c r="DZ140" s="167"/>
      <c r="EA140" s="167"/>
      <c r="EB140" s="167" t="s">
        <v>538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6310.9943337086333</v>
      </c>
      <c r="Y141" s="83">
        <f>(3*(AG130+AG131))+(2*AG146)+AG147</f>
        <v>6310.9943337086333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3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567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575</v>
      </c>
      <c r="L142" s="1" t="s">
        <v>569</v>
      </c>
      <c r="M142" s="1" t="s">
        <v>572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571</v>
      </c>
      <c r="U142" s="1" t="s">
        <v>50</v>
      </c>
      <c r="V142" s="4"/>
      <c r="W142" s="4" t="s">
        <v>183</v>
      </c>
      <c r="X142" s="286">
        <f>(23*N144)+(18*N155)</f>
        <v>0.85382628243907333</v>
      </c>
      <c r="Y142" s="286">
        <f>2*AG147</f>
        <v>0.85382628243907333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557</v>
      </c>
      <c r="AM142" s="50">
        <f>AD149</f>
        <v>9.5761232166267446E-2</v>
      </c>
      <c r="AN142" s="48">
        <f>AN149</f>
        <v>7.1782646247188149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29" t="s">
        <v>532</v>
      </c>
      <c r="BI142" s="329"/>
      <c r="BJ142" s="329"/>
      <c r="BK142" s="329"/>
      <c r="BM142" s="4"/>
      <c r="BN142" s="1" t="s">
        <v>569</v>
      </c>
      <c r="BO142" s="1" t="s">
        <v>570</v>
      </c>
      <c r="BP142" s="1" t="s">
        <v>572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571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31" t="s">
        <v>544</v>
      </c>
      <c r="CG142" s="17" t="s">
        <v>123</v>
      </c>
      <c r="CH142" s="8">
        <f>CO_Kiln_Out</f>
        <v>478.57864826468187</v>
      </c>
      <c r="CI142" s="8">
        <f>CH142/CH147</f>
        <v>2.1690408793791541E-2</v>
      </c>
      <c r="CJ142" s="1">
        <f>MW_CO</f>
        <v>2.8010399999999998E-2</v>
      </c>
      <c r="CK142" s="1">
        <f>CO_Kiln_Out/CJ142</f>
        <v>17085.748445744506</v>
      </c>
      <c r="CL142" s="1">
        <f>b_ch_CO</f>
        <v>275.02296000000001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262.67684004618081</v>
      </c>
      <c r="CQ142" s="1">
        <f>CP142*CM142</f>
        <v>1.1438801213735181</v>
      </c>
      <c r="CR142" s="8">
        <f>$CK$147*CQ142</f>
        <v>4488030.4115521116</v>
      </c>
      <c r="DQ142" s="329" t="s">
        <v>532</v>
      </c>
      <c r="DR142" s="329"/>
      <c r="DS142" s="329"/>
      <c r="DT142" s="329"/>
      <c r="DV142" s="4"/>
      <c r="DW142" s="1" t="s">
        <v>569</v>
      </c>
      <c r="DX142" s="1" t="s">
        <v>570</v>
      </c>
      <c r="DY142" s="1" t="s">
        <v>572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571</v>
      </c>
      <c r="EG142" s="1" t="s">
        <v>50</v>
      </c>
      <c r="EH142" s="1"/>
      <c r="EJ142" s="3" t="s">
        <v>31</v>
      </c>
      <c r="EK142" s="293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574</v>
      </c>
      <c r="L143" s="1" t="s">
        <v>89</v>
      </c>
      <c r="M143" s="1" t="s">
        <v>91</v>
      </c>
      <c r="N143" s="1" t="s">
        <v>87</v>
      </c>
      <c r="O143" s="1" t="s">
        <v>96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4.9077963711217496</v>
      </c>
      <c r="Y143" s="286">
        <f>2*AG148</f>
        <v>4.9077963711217496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29"/>
      <c r="BI143" s="329"/>
      <c r="BJ143" s="329"/>
      <c r="BK143" s="329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31"/>
      <c r="CG143" s="3" t="s">
        <v>602</v>
      </c>
      <c r="CH143" s="291">
        <f>CO2_Kiln_Out</f>
        <v>92.56271799213043</v>
      </c>
      <c r="CI143" s="291">
        <f>CH143/CH144</f>
        <v>6.0237853196793249E-3</v>
      </c>
      <c r="CJ143" s="291">
        <f>MW_CO2</f>
        <v>4.4009800000000002E-2</v>
      </c>
      <c r="CK143" s="291">
        <f>CH143/CJ143</f>
        <v>2103.2296895721051</v>
      </c>
      <c r="CL143" s="291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29"/>
      <c r="DR143" s="329"/>
      <c r="DS143" s="329"/>
      <c r="DT143" s="329"/>
      <c r="DV143" s="94" t="s">
        <v>41</v>
      </c>
      <c r="DW143" s="186" t="s">
        <v>89</v>
      </c>
      <c r="DX143" s="1" t="s">
        <v>573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569</v>
      </c>
      <c r="EW143" s="1" t="s">
        <v>570</v>
      </c>
      <c r="EX143" s="1" t="s">
        <v>572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571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587</v>
      </c>
      <c r="J144" s="62" t="s">
        <v>496</v>
      </c>
      <c r="K144" s="17">
        <f>F149</f>
        <v>241.59146310558401</v>
      </c>
      <c r="L144" s="17">
        <f>K144/LHV_Diesel</f>
        <v>5.6184061187345121E-3</v>
      </c>
      <c r="M144" s="17">
        <f>MW_C12H23</f>
        <v>0.16731462</v>
      </c>
      <c r="N144" s="17">
        <f>L144/M144</f>
        <v>3.3579887512128419E-2</v>
      </c>
      <c r="O144" s="17">
        <f>b_ch_C12H23</f>
        <v>7141.5943565339712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7141.5943565339712</v>
      </c>
      <c r="T144" s="17">
        <f>P144*S144</f>
        <v>7141.5943565339712</v>
      </c>
      <c r="U144" s="17">
        <f>T144*N145</f>
        <v>239.81393514966189</v>
      </c>
      <c r="V144" s="4"/>
      <c r="W144" s="4"/>
      <c r="X144" s="4"/>
      <c r="Y144" s="4"/>
      <c r="Z144" s="4"/>
      <c r="AA144" s="4"/>
      <c r="AC144" s="4"/>
      <c r="AD144" s="1" t="s">
        <v>569</v>
      </c>
      <c r="AE144" s="1" t="s">
        <v>570</v>
      </c>
      <c r="AF144" s="1" t="s">
        <v>572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571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31" t="s">
        <v>538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</f>
        <v>5185720.2813950712</v>
      </c>
      <c r="CC144" s="3">
        <f t="shared" si="57"/>
        <v>0</v>
      </c>
      <c r="CF144" s="331"/>
      <c r="CG144" s="3" t="s">
        <v>18</v>
      </c>
      <c r="CH144" s="145">
        <f>C_Kiln_out</f>
        <v>15366.204650377213</v>
      </c>
      <c r="CI144" s="1">
        <f>CH144/$CH$147</f>
        <v>0.69643570954174383</v>
      </c>
      <c r="CJ144" s="1">
        <f>MW_C</f>
        <v>1.2010999999999999E-2</v>
      </c>
      <c r="CK144" s="1">
        <f>CH144/CJ144</f>
        <v>1279344.3219030234</v>
      </c>
      <c r="CL144" s="1">
        <f>b_ch_C</f>
        <v>410.3</v>
      </c>
      <c r="CM144" s="1">
        <f t="shared" si="59"/>
        <v>0.32607099418269159</v>
      </c>
      <c r="CN144" s="1">
        <f t="shared" si="60"/>
        <v>-1.1206401477581118</v>
      </c>
      <c r="CO144" s="1">
        <f>RT0*CN144</f>
        <v>-2.544939147778106</v>
      </c>
      <c r="CP144" s="1">
        <f t="shared" si="61"/>
        <v>407.7550608522219</v>
      </c>
      <c r="CQ144" s="1">
        <f t="shared" si="62"/>
        <v>132.95709807510789</v>
      </c>
      <c r="CR144" s="1">
        <f t="shared" si="63"/>
        <v>521659121.82851183</v>
      </c>
      <c r="DU144" s="331" t="s">
        <v>538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573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5.6184061187345121E-3</v>
      </c>
      <c r="M145" s="17">
        <f>SUM(M144)</f>
        <v>0.16731462</v>
      </c>
      <c r="N145" s="17">
        <f>SUM(N144)</f>
        <v>3.3579887512128419E-2</v>
      </c>
      <c r="O145" s="17"/>
      <c r="P145" s="17"/>
      <c r="Q145" s="17"/>
      <c r="R145" s="17"/>
      <c r="S145" s="17"/>
      <c r="T145" s="17">
        <f>SUM(T144)</f>
        <v>7141.5943565339712</v>
      </c>
      <c r="U145" s="17">
        <f>SUM(U144)</f>
        <v>239.81393514966189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31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31"/>
      <c r="CG145" s="3" t="s">
        <v>66</v>
      </c>
      <c r="CH145" s="1">
        <f>H2_Kiln_Out</f>
        <v>5226.894900429349</v>
      </c>
      <c r="CI145" s="1">
        <f>CH145/$CH$147</f>
        <v>0.2368962500178127</v>
      </c>
      <c r="CJ145" s="6">
        <f>MW_H*2</f>
        <v>2.0158800000000003E-3</v>
      </c>
      <c r="CK145" s="1">
        <f>CH145/CJ145</f>
        <v>2592860.1406975356</v>
      </c>
      <c r="CL145" s="6">
        <f>b_ch_H2</f>
        <v>236.1</v>
      </c>
      <c r="CM145" s="1">
        <f t="shared" si="59"/>
        <v>0.66085139815706795</v>
      </c>
      <c r="CN145" s="1">
        <f t="shared" si="60"/>
        <v>-0.41422627808551826</v>
      </c>
      <c r="CO145" s="1">
        <f>RT0*CN145</f>
        <v>-0.94069507794021912</v>
      </c>
      <c r="CP145" s="1">
        <f t="shared" si="61"/>
        <v>235.15930492205979</v>
      </c>
      <c r="CQ145" s="1">
        <f t="shared" si="62"/>
        <v>155.40535544738748</v>
      </c>
      <c r="CR145" s="1">
        <f t="shared" si="63"/>
        <v>609735188.44654655</v>
      </c>
      <c r="DU145" s="331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31" t="s">
        <v>567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31" t="s">
        <v>505</v>
      </c>
      <c r="AC146" s="17" t="s">
        <v>23</v>
      </c>
      <c r="AD146" s="8">
        <f>AF146*AG146</f>
        <v>1.9328044648272091E-2</v>
      </c>
      <c r="AE146" s="8">
        <f>AD146/AD149</f>
        <v>0.20183579733720811</v>
      </c>
      <c r="AF146" s="1">
        <f>MW_CO2</f>
        <v>4.4009800000000002E-2</v>
      </c>
      <c r="AG146" s="1">
        <f>(CO2_molcoeff*N144) + (CO2_Gasoline_molcoeff*N155)</f>
        <v>0.43917592555003865</v>
      </c>
      <c r="AH146" s="1">
        <f>b_ch_CO2</f>
        <v>19.900000000000034</v>
      </c>
      <c r="AI146" s="1">
        <f>AG146/AG149</f>
        <v>0.13228241320558115</v>
      </c>
      <c r="AJ146" s="1">
        <f>LN(AI146)</f>
        <v>-2.0228161478721045</v>
      </c>
      <c r="AK146" s="1">
        <f>RT0*AJ146</f>
        <v>-4.5937529667985801</v>
      </c>
      <c r="AL146" s="1">
        <f>AH146+AK146</f>
        <v>15.306247033201455</v>
      </c>
      <c r="AM146" s="1">
        <f>AL146*AI146</f>
        <v>2.0247472946726552</v>
      </c>
      <c r="AN146" s="8">
        <f>AG149*AM146</f>
        <v>6.722135207503781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2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31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31"/>
      <c r="AC147" s="3" t="s">
        <v>68</v>
      </c>
      <c r="AD147" s="1">
        <f t="shared" ref="AD147:AD148" si="64">AF147*AG147</f>
        <v>7.6909597747494953E-3</v>
      </c>
      <c r="AE147" s="1">
        <f>AD147/AD149</f>
        <v>8.0313918281626803E-2</v>
      </c>
      <c r="AF147" s="6">
        <f>MW_H2O</f>
        <v>1.8015280000000002E-2</v>
      </c>
      <c r="AG147" s="1">
        <f>(H2O_molcoeff*N144)+(H2O_Gasoline_molcoeff*N155)</f>
        <v>0.42691314121953666</v>
      </c>
      <c r="AH147" s="6">
        <f>b_ch_H2O</f>
        <v>9.5113440000000082</v>
      </c>
      <c r="AI147" s="1">
        <f>AG147/AG149</f>
        <v>0.12858878928521997</v>
      </c>
      <c r="AJ147" s="1">
        <f t="shared" ref="AJ147:AJ148" si="65">LN(AI147)</f>
        <v>-2.0511356460546359</v>
      </c>
      <c r="AK147" s="1">
        <f>RT0*AJ147</f>
        <v>-4.6580656720986147</v>
      </c>
      <c r="AL147" s="1">
        <f t="shared" ref="AL147:AL148" si="66">AH147+AK147</f>
        <v>4.8532783279013936</v>
      </c>
      <c r="AM147" s="1">
        <f>AL147*AI147</f>
        <v>0.62407718424903702</v>
      </c>
      <c r="AN147" s="1">
        <f>AG149*AM147</f>
        <v>2.0719282961770844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1.0018286061164414</v>
      </c>
      <c r="CJ147" s="8">
        <f>SUM(CJ142:CJ146)</f>
        <v>0.11406056000000001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289.42422451653113</v>
      </c>
      <c r="CR147" s="8">
        <f>SUM(CR142:CR146)</f>
        <v>1135560184.3227816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31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31"/>
      <c r="AC148" s="7" t="s">
        <v>67</v>
      </c>
      <c r="AD148" s="1">
        <f t="shared" si="64"/>
        <v>6.8742227743245857E-2</v>
      </c>
      <c r="AE148" s="1">
        <f>AD148/AD149</f>
        <v>0.71785028438116505</v>
      </c>
      <c r="AF148" s="6">
        <f>MW_N2</f>
        <v>2.801348E-2</v>
      </c>
      <c r="AG148" s="1">
        <f>N168</f>
        <v>2.4538981855608748</v>
      </c>
      <c r="AH148" s="6">
        <f>MW_N2</f>
        <v>2.801348E-2</v>
      </c>
      <c r="AI148" s="1">
        <f>AG148/AG149</f>
        <v>0.73912879750919891</v>
      </c>
      <c r="AJ148" s="1">
        <f t="shared" si="65"/>
        <v>-0.30228308701000028</v>
      </c>
      <c r="AK148" s="1">
        <f>RT0*AJ148</f>
        <v>-0.68647555005232197</v>
      </c>
      <c r="AL148" s="1">
        <f t="shared" si="66"/>
        <v>-0.65846207005232193</v>
      </c>
      <c r="AM148" s="1">
        <f t="shared" ref="AM148" si="67">AL148*AI148</f>
        <v>-0.48668827804319059</v>
      </c>
      <c r="AN148" s="1">
        <f>AG149*AM148</f>
        <v>-1.6157988789620505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31"/>
      <c r="AC149" s="17" t="s">
        <v>19</v>
      </c>
      <c r="AD149" s="8">
        <f>SUM(AD146:AD148)</f>
        <v>9.5761232166267446E-2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3.3199872523304501</v>
      </c>
      <c r="AH149" s="62"/>
      <c r="AI149" s="8">
        <f>SUM(AI146:AI148)</f>
        <v>1</v>
      </c>
      <c r="AJ149" s="17"/>
      <c r="AK149" s="17"/>
      <c r="AL149" s="17"/>
      <c r="AM149" s="8">
        <f>SUM(AM146:AM148)</f>
        <v>2.1621362008785017</v>
      </c>
      <c r="AN149" s="8">
        <f>SUM(AN146:AN148)</f>
        <v>7.1782646247188149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588</v>
      </c>
      <c r="Q151" s="4"/>
      <c r="R151" s="4"/>
      <c r="S151" s="4"/>
      <c r="T151" s="50">
        <f>L156</f>
        <v>5.1714158616864253E-4</v>
      </c>
      <c r="U151" s="48">
        <f>U156</f>
        <v>24.513235855857225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481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537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29" t="s">
        <v>494</v>
      </c>
      <c r="C153" s="329"/>
      <c r="D153" s="329"/>
      <c r="E153" s="329"/>
      <c r="F153" s="329"/>
      <c r="G153" s="329"/>
      <c r="H153" s="329"/>
      <c r="J153" s="4"/>
      <c r="K153" s="3" t="s">
        <v>575</v>
      </c>
      <c r="L153" s="1" t="s">
        <v>569</v>
      </c>
      <c r="M153" s="1" t="s">
        <v>572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571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30"/>
      <c r="C154" s="330"/>
      <c r="D154" s="330"/>
      <c r="E154" s="330"/>
      <c r="F154" s="330"/>
      <c r="G154" s="330"/>
      <c r="H154" s="330"/>
      <c r="J154" s="4" t="s">
        <v>41</v>
      </c>
      <c r="K154" s="3" t="s">
        <v>574</v>
      </c>
      <c r="L154" s="1" t="s">
        <v>89</v>
      </c>
      <c r="M154" s="1" t="s">
        <v>91</v>
      </c>
      <c r="N154" s="1" t="s">
        <v>87</v>
      </c>
      <c r="O154" s="1" t="s">
        <v>96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29" t="s">
        <v>480</v>
      </c>
      <c r="BI154" s="329"/>
      <c r="BJ154" s="329"/>
      <c r="BK154" s="329"/>
      <c r="BM154" s="4"/>
      <c r="BN154" s="3" t="s">
        <v>575</v>
      </c>
      <c r="BO154" s="1" t="s">
        <v>569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569</v>
      </c>
      <c r="DX154" s="1" t="s">
        <v>570</v>
      </c>
      <c r="DY154" s="1" t="s">
        <v>572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571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588</v>
      </c>
      <c r="J155" s="62" t="s">
        <v>495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b_ch_C8H18</f>
        <v>5414.70568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5414.70568</v>
      </c>
      <c r="T155" s="17">
        <f>P155*S155</f>
        <v>5414.70568</v>
      </c>
      <c r="U155" s="17">
        <f>T155*N156</f>
        <v>24.513235855857225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29"/>
      <c r="BI155" s="329"/>
      <c r="BJ155" s="329"/>
      <c r="BK155" s="329"/>
      <c r="BM155" s="4"/>
      <c r="BN155" s="3" t="s">
        <v>574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573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5414.70568</v>
      </c>
      <c r="U156" s="17">
        <f>SUM(U155)</f>
        <v>24.513235855857225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481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35" t="s">
        <v>537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492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35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35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35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538</v>
      </c>
      <c r="T163" s="50">
        <f>K169</f>
        <v>8.9625684461364291E-2</v>
      </c>
      <c r="U163" s="48">
        <f>U169</f>
        <v>0.70159378736823275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29" t="s">
        <v>532</v>
      </c>
      <c r="F165" s="329"/>
      <c r="G165" s="329"/>
      <c r="H165" s="329"/>
      <c r="J165" s="4"/>
      <c r="K165" s="1" t="s">
        <v>569</v>
      </c>
      <c r="L165" s="1" t="s">
        <v>570</v>
      </c>
      <c r="M165" s="1" t="s">
        <v>572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571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29"/>
      <c r="F166" s="329"/>
      <c r="G166" s="329"/>
      <c r="H166" s="329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31" t="s">
        <v>538</v>
      </c>
      <c r="J167" s="8" t="s">
        <v>304</v>
      </c>
      <c r="K167" s="17">
        <f>M167*N167</f>
        <v>2.0883456718118438E-2</v>
      </c>
      <c r="L167" s="17">
        <f>K167/K169</f>
        <v>0.23300750051310176</v>
      </c>
      <c r="M167" s="3">
        <f>MW_O2</f>
        <v>3.1998800000000001E-2</v>
      </c>
      <c r="N167" s="3">
        <f>(O2_molcoeff*N144) + (O2_Gasoline_molcoeff*N155)</f>
        <v>0.65263249615980712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0.29807407089860533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31"/>
      <c r="J168" s="60" t="s">
        <v>67</v>
      </c>
      <c r="K168" s="3">
        <f>M168*N168</f>
        <v>6.8742227743245857E-2</v>
      </c>
      <c r="L168" s="3">
        <f>K168/K169</f>
        <v>0.76699249948689829</v>
      </c>
      <c r="M168" s="28">
        <f>MW_N2</f>
        <v>2.801348E-2</v>
      </c>
      <c r="N168" s="28">
        <f>N2_molcoeff*N167</f>
        <v>2.4538981855608748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0.40351971646962748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8.9625684461364291E-2</v>
      </c>
      <c r="L169" s="17">
        <f>SUM(L167:L168)</f>
        <v>1</v>
      </c>
      <c r="M169" s="3">
        <f>SUM(M167:M168)</f>
        <v>6.0012280000000001E-2</v>
      </c>
      <c r="N169" s="3">
        <f>SUM(N167:N168)</f>
        <v>3.1065306817206819</v>
      </c>
      <c r="T169" s="3">
        <f>SUM(T167:T168)</f>
        <v>0.22584479577057509</v>
      </c>
      <c r="U169" s="3">
        <f>SUM(U167:U168)</f>
        <v>0.70159378736823275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38" t="s">
        <v>440</v>
      </c>
      <c r="W182" s="338"/>
      <c r="X182" s="338"/>
      <c r="Y182" s="338"/>
      <c r="Z182" s="338"/>
      <c r="AA182" s="338"/>
      <c r="AB182" s="338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38" t="s">
        <v>441</v>
      </c>
      <c r="AN187" s="338"/>
      <c r="AO187" s="338"/>
      <c r="AP187" s="338"/>
      <c r="AQ187" s="338"/>
      <c r="AR187" s="338"/>
      <c r="AS187" s="338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38" t="s">
        <v>442</v>
      </c>
      <c r="BE187" s="338"/>
      <c r="BF187" s="338"/>
      <c r="BG187" s="338"/>
      <c r="BH187" s="338"/>
      <c r="BI187" s="338"/>
      <c r="BJ187" s="338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43" t="s">
        <v>365</v>
      </c>
      <c r="O190" s="343"/>
      <c r="P190" s="343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483</v>
      </c>
      <c r="O191" s="341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42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649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46" t="s">
        <v>516</v>
      </c>
      <c r="W195" s="347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535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553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39" t="s">
        <v>429</v>
      </c>
      <c r="P206" s="339"/>
      <c r="Q206" s="339"/>
      <c r="R206" s="4"/>
      <c r="S206" s="4"/>
      <c r="T206" s="50">
        <f>K217</f>
        <v>286.88405520213911</v>
      </c>
      <c r="U206" s="48">
        <f>U217</f>
        <v>8753719.7068998404</v>
      </c>
      <c r="V206" s="344" t="s">
        <v>420</v>
      </c>
      <c r="W206" s="344"/>
      <c r="X206" s="344"/>
      <c r="Y206" s="344"/>
      <c r="Z206" s="344"/>
      <c r="AA206" s="34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44" t="s">
        <v>554</v>
      </c>
      <c r="AP206" s="344"/>
      <c r="AQ206" s="344"/>
      <c r="AR206" s="344"/>
      <c r="AS206" s="344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44" t="s">
        <v>462</v>
      </c>
      <c r="BH206" s="344"/>
      <c r="BI206" s="344"/>
      <c r="BJ206" s="344"/>
      <c r="BK206" s="344"/>
      <c r="BL206" s="4"/>
      <c r="BM206" s="4"/>
      <c r="BN206" s="4"/>
      <c r="BO206" s="4"/>
      <c r="BP206" s="4"/>
      <c r="BQ206" s="4"/>
      <c r="BR206" s="4"/>
      <c r="BS206" s="4" t="s">
        <v>536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44" t="s">
        <v>439</v>
      </c>
      <c r="BZ206" s="344"/>
      <c r="CA206" s="344"/>
      <c r="CB206" s="344"/>
      <c r="CC206" s="344"/>
      <c r="CK206" s="3" t="s">
        <v>644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44"/>
      <c r="W207" s="344"/>
      <c r="X207" s="344"/>
      <c r="Y207" s="344"/>
      <c r="Z207" s="344"/>
      <c r="AA207" s="34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44"/>
      <c r="AP207" s="344"/>
      <c r="AQ207" s="344"/>
      <c r="AR207" s="344"/>
      <c r="AS207" s="344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44"/>
      <c r="BH207" s="344"/>
      <c r="BI207" s="344"/>
      <c r="BJ207" s="344"/>
      <c r="BK207" s="344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44"/>
      <c r="BZ207" s="344"/>
      <c r="CA207" s="344"/>
      <c r="CB207" s="344"/>
      <c r="CC207" s="344"/>
      <c r="CN207" s="4"/>
      <c r="CO207" s="4"/>
    </row>
    <row r="208" spans="5:94" ht="19.25" customHeight="1" x14ac:dyDescent="0.25">
      <c r="E208" s="329" t="s">
        <v>451</v>
      </c>
      <c r="F208" s="329"/>
      <c r="G208" s="329"/>
      <c r="H208" s="329"/>
      <c r="J208" s="4"/>
      <c r="K208" s="1" t="s">
        <v>569</v>
      </c>
      <c r="L208" s="1" t="s">
        <v>570</v>
      </c>
      <c r="M208" s="1" t="s">
        <v>572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571</v>
      </c>
      <c r="U208" s="1" t="s">
        <v>50</v>
      </c>
      <c r="V208" s="4"/>
      <c r="W208" s="22" t="s">
        <v>434</v>
      </c>
      <c r="X208" s="22" t="s">
        <v>483</v>
      </c>
      <c r="Y208" s="257" t="s">
        <v>338</v>
      </c>
      <c r="Z208" s="341" t="s">
        <v>345</v>
      </c>
      <c r="AA208" s="102" t="s">
        <v>318</v>
      </c>
      <c r="AB208" s="1"/>
      <c r="AC208" s="4"/>
      <c r="AD208" s="1" t="s">
        <v>569</v>
      </c>
      <c r="AE208" s="1" t="s">
        <v>570</v>
      </c>
      <c r="AF208" s="1" t="s">
        <v>572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571</v>
      </c>
      <c r="AN208" s="1" t="s">
        <v>50</v>
      </c>
      <c r="AO208" s="22" t="s">
        <v>434</v>
      </c>
      <c r="AP208" s="22" t="s">
        <v>483</v>
      </c>
      <c r="AQ208" s="161" t="s">
        <v>338</v>
      </c>
      <c r="AR208" s="341" t="s">
        <v>345</v>
      </c>
      <c r="AS208" s="138" t="s">
        <v>318</v>
      </c>
      <c r="AT208" s="1"/>
      <c r="AU208" s="4"/>
      <c r="AV208" s="1" t="s">
        <v>569</v>
      </c>
      <c r="AW208" s="1" t="s">
        <v>570</v>
      </c>
      <c r="AX208" s="1" t="s">
        <v>572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571</v>
      </c>
      <c r="BF208" s="1" t="s">
        <v>50</v>
      </c>
      <c r="BG208" s="22" t="s">
        <v>434</v>
      </c>
      <c r="BH208" s="22" t="s">
        <v>483</v>
      </c>
      <c r="BI208" s="161" t="s">
        <v>338</v>
      </c>
      <c r="BJ208" s="341" t="s">
        <v>345</v>
      </c>
      <c r="BK208" s="138" t="s">
        <v>318</v>
      </c>
      <c r="BL208" s="1"/>
      <c r="BM208" s="4"/>
      <c r="BN208" s="1" t="s">
        <v>569</v>
      </c>
      <c r="BO208" s="1" t="s">
        <v>570</v>
      </c>
      <c r="BP208" s="1" t="s">
        <v>572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571</v>
      </c>
      <c r="BX208" s="1" t="s">
        <v>50</v>
      </c>
      <c r="BY208" s="22" t="s">
        <v>434</v>
      </c>
      <c r="BZ208" s="22" t="s">
        <v>483</v>
      </c>
      <c r="CA208" s="192" t="s">
        <v>338</v>
      </c>
      <c r="CB208" s="341" t="s">
        <v>345</v>
      </c>
      <c r="CC208" s="138" t="s">
        <v>318</v>
      </c>
      <c r="CD208" s="1"/>
      <c r="CE208" s="4"/>
      <c r="CF208" s="1" t="s">
        <v>569</v>
      </c>
      <c r="CG208" s="1" t="s">
        <v>570</v>
      </c>
      <c r="CH208" s="1" t="s">
        <v>572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571</v>
      </c>
      <c r="CP208" s="1" t="s">
        <v>50</v>
      </c>
    </row>
    <row r="209" spans="2:94" ht="18" x14ac:dyDescent="0.25">
      <c r="E209" s="329"/>
      <c r="F209" s="329"/>
      <c r="G209" s="329"/>
      <c r="H209" s="329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42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42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42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42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569.94401045704944</v>
      </c>
      <c r="X210" s="99">
        <f>SUM(AB195,U206,U222,U236) - SUM(AN206,AN227)</f>
        <v>97750.477443439886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549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553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490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645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45" t="s">
        <v>551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649</v>
      </c>
      <c r="AA211" s="103">
        <f>(AN206+AN227)/($AB$195+U206+U222+U236)</f>
        <v>0.98895729390896703</v>
      </c>
      <c r="AB211" s="345" t="s">
        <v>550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649</v>
      </c>
      <c r="AS211" s="136">
        <f>BF206/(AN206+AS190)</f>
        <v>0.98202222166069097</v>
      </c>
      <c r="AT211" s="345" t="s">
        <v>548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649</v>
      </c>
      <c r="BK211" s="136">
        <f>BX206/(BJ195+BF206)</f>
        <v>0.9967429853184</v>
      </c>
      <c r="BL211" s="345" t="s">
        <v>547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649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45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0.98856755291423271</v>
      </c>
      <c r="AB212" s="345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45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45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45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45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45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45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45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45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45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45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45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45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596</v>
      </c>
      <c r="AS215" s="4"/>
      <c r="AT215" s="345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596</v>
      </c>
      <c r="BK215" s="4"/>
      <c r="BL215" s="345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596</v>
      </c>
      <c r="CN215" s="4"/>
      <c r="CO215" s="63" t="s">
        <v>1</v>
      </c>
      <c r="CP215" s="58" t="s">
        <v>0</v>
      </c>
    </row>
    <row r="216" spans="2:94" ht="18.5" customHeight="1" x14ac:dyDescent="0.25">
      <c r="I216" s="345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45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45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599</v>
      </c>
      <c r="AQ216" s="1" t="s">
        <v>599</v>
      </c>
      <c r="AR216" s="1" t="s">
        <v>599</v>
      </c>
      <c r="AS216" s="4"/>
      <c r="AT216" s="345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599</v>
      </c>
      <c r="BI216" s="1" t="s">
        <v>599</v>
      </c>
      <c r="BJ216" s="1" t="s">
        <v>599</v>
      </c>
      <c r="BK216" s="4"/>
      <c r="BL216" s="345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599</v>
      </c>
      <c r="CB216" s="1" t="s">
        <v>599</v>
      </c>
      <c r="CC216" s="1" t="s">
        <v>599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45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598</v>
      </c>
      <c r="AQ217" s="3" t="s">
        <v>598</v>
      </c>
      <c r="AR217" s="3" t="s">
        <v>598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598</v>
      </c>
      <c r="BI217" s="3" t="s">
        <v>598</v>
      </c>
      <c r="BJ217" s="3" t="s">
        <v>598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598</v>
      </c>
      <c r="CB217" s="3" t="s">
        <v>598</v>
      </c>
      <c r="CC217" s="3" t="s">
        <v>598</v>
      </c>
      <c r="CK217" s="3" t="s">
        <v>539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45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45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569</v>
      </c>
      <c r="CG219" s="1" t="s">
        <v>570</v>
      </c>
      <c r="CH219" s="1" t="s">
        <v>572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571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45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45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48" t="s">
        <v>539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29" t="s">
        <v>493</v>
      </c>
      <c r="C222" s="329"/>
      <c r="D222" s="329"/>
      <c r="E222" s="329"/>
      <c r="F222" s="329"/>
      <c r="G222" s="329"/>
      <c r="H222" s="329"/>
      <c r="J222" s="4"/>
      <c r="K222" s="4"/>
      <c r="L222" s="4"/>
      <c r="M222" s="4"/>
      <c r="N222" s="4"/>
      <c r="O222" s="4"/>
      <c r="P222" s="204" t="s">
        <v>587</v>
      </c>
      <c r="Q222" s="4"/>
      <c r="R222" s="4"/>
      <c r="S222" s="4"/>
      <c r="T222" s="50">
        <f>L227</f>
        <v>0.48766657832528126</v>
      </c>
      <c r="U222" s="48">
        <f>U227</f>
        <v>20815.376944573403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48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30"/>
      <c r="C223" s="330"/>
      <c r="D223" s="330"/>
      <c r="E223" s="330"/>
      <c r="F223" s="330"/>
      <c r="G223" s="330"/>
      <c r="H223" s="330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48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575</v>
      </c>
      <c r="L224" s="1" t="s">
        <v>569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571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48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574</v>
      </c>
      <c r="L225" s="1" t="s">
        <v>89</v>
      </c>
      <c r="M225" s="1" t="s">
        <v>91</v>
      </c>
      <c r="N225" s="1" t="s">
        <v>87</v>
      </c>
      <c r="O225" s="1" t="s">
        <v>96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537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48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646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587</v>
      </c>
      <c r="J226" s="96" t="s">
        <v>496</v>
      </c>
      <c r="K226" s="95">
        <f>F229</f>
        <v>20969.662867987096</v>
      </c>
      <c r="L226" s="95">
        <f>K226/LHV_Diesel</f>
        <v>0.48766657832528126</v>
      </c>
      <c r="M226" s="95">
        <f>MW_C12H23</f>
        <v>0.16731462</v>
      </c>
      <c r="N226" s="95">
        <f>L226/M226</f>
        <v>2.9146680566544707</v>
      </c>
      <c r="O226" s="95">
        <f>b_ch_C12H23</f>
        <v>7141.5943565339712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7141.5943565339712</v>
      </c>
      <c r="T226" s="95">
        <f>P226*S226</f>
        <v>7141.5943565339712</v>
      </c>
      <c r="U226" s="95">
        <f>T226*N227</f>
        <v>20815.376944573403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48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38" t="s">
        <v>442</v>
      </c>
      <c r="CS226" s="338"/>
      <c r="CT226" s="338"/>
      <c r="CU226" s="338"/>
      <c r="CV226" s="338"/>
      <c r="CW226" s="338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0.48766657832528126</v>
      </c>
      <c r="M227" s="17">
        <f>SUM(M226)</f>
        <v>0.16731462</v>
      </c>
      <c r="N227" s="17">
        <f>SUM(N226)</f>
        <v>2.9146680566544707</v>
      </c>
      <c r="O227" s="17"/>
      <c r="P227" s="17"/>
      <c r="Q227" s="17"/>
      <c r="R227" s="17"/>
      <c r="S227" s="17"/>
      <c r="T227" s="17">
        <f>SUM(T226)</f>
        <v>7141.5943565339712</v>
      </c>
      <c r="U227" s="17">
        <f>SUM(U226)</f>
        <v>20815.376944573403</v>
      </c>
      <c r="AB227" s="1"/>
      <c r="AC227" s="1"/>
      <c r="AD227" s="1"/>
      <c r="AG227" s="4"/>
      <c r="AH227" s="4"/>
      <c r="AI227" s="3" t="s">
        <v>534</v>
      </c>
      <c r="AM227" s="50">
        <f>AD234</f>
        <v>7.5924566391801989</v>
      </c>
      <c r="AN227" s="48">
        <f>AN234</f>
        <v>569.94401045704944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569</v>
      </c>
      <c r="BO227" s="1" t="s">
        <v>570</v>
      </c>
      <c r="BP227" s="1" t="s">
        <v>572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571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581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569</v>
      </c>
      <c r="AE229" s="1" t="s">
        <v>570</v>
      </c>
      <c r="AF229" s="1" t="s">
        <v>572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571</v>
      </c>
      <c r="AN229" s="1" t="s">
        <v>50</v>
      </c>
      <c r="BL229" s="331" t="s">
        <v>546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596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31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599</v>
      </c>
      <c r="Y231" s="1" t="s">
        <v>599</v>
      </c>
      <c r="Z231" s="1" t="s">
        <v>599</v>
      </c>
      <c r="AB231" s="331" t="s">
        <v>534</v>
      </c>
      <c r="AC231" s="17" t="s">
        <v>23</v>
      </c>
      <c r="AD231" s="8">
        <f>CO2_out_Coal_Ext</f>
        <v>1.5392874988770233</v>
      </c>
      <c r="AE231" s="8">
        <f>AD231/AD234</f>
        <v>0.20273905693891839</v>
      </c>
      <c r="AF231" s="1">
        <f>MW_CO2</f>
        <v>4.4009800000000002E-2</v>
      </c>
      <c r="AG231" s="1">
        <f>N226*CO2_Diesel_molcoeff</f>
        <v>34.97601667985365</v>
      </c>
      <c r="AH231" s="1">
        <f>b_ch_CO2</f>
        <v>19.900000000000034</v>
      </c>
      <c r="AI231" s="1">
        <f>AG231/$AG$234</f>
        <v>0.13297872340425532</v>
      </c>
      <c r="AJ231" s="1">
        <f>LN(AI231)</f>
        <v>-2.0175661379617487</v>
      </c>
      <c r="AK231" s="1">
        <f>RT0*AJ231</f>
        <v>-4.5818303565174681</v>
      </c>
      <c r="AL231" s="1">
        <f>AH231+AK231</f>
        <v>15.318169643482566</v>
      </c>
      <c r="AM231" s="1">
        <f>AL231*AI231</f>
        <v>2.0369906440801286</v>
      </c>
      <c r="AN231" s="8">
        <f>$AG$234*AM231</f>
        <v>535.76855695527411</v>
      </c>
      <c r="BL231" s="331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598</v>
      </c>
      <c r="Y232" s="3" t="s">
        <v>598</v>
      </c>
      <c r="Z232" s="3" t="s">
        <v>598</v>
      </c>
      <c r="AB232" s="331"/>
      <c r="AC232" s="3" t="s">
        <v>68</v>
      </c>
      <c r="AD232" s="1">
        <f>H2O_out_Coal_Ext</f>
        <v>0.60384845319839076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33.518682651526412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161.99117016469765</v>
      </c>
      <c r="BL232" s="331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18251.560597692416</v>
      </c>
      <c r="Y233" s="83">
        <f>AG210+AG231</f>
        <v>18251.560597692416</v>
      </c>
      <c r="Z233" s="3">
        <f>X233-Y233</f>
        <v>0</v>
      </c>
      <c r="AB233" s="331"/>
      <c r="AC233" s="7" t="s">
        <v>67</v>
      </c>
      <c r="AD233" s="28">
        <f>N2_in_Coal_Ext</f>
        <v>5.4493206871047848</v>
      </c>
      <c r="AE233" s="1">
        <f>AD233/AD234</f>
        <v>0.71772825925459338</v>
      </c>
      <c r="AF233" s="6">
        <f>MW_N2</f>
        <v>2.801348E-2</v>
      </c>
      <c r="AG233" s="1">
        <f>Diesel_N2_molcoeff*N226</f>
        <v>194.52494610111935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-127.81571666292231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540</v>
      </c>
      <c r="CO233" s="50">
        <f>CF243</f>
        <v>69.582675758133661</v>
      </c>
      <c r="CP233" s="48">
        <f>CP243</f>
        <v>5935408.0537775028</v>
      </c>
      <c r="CR233" s="344" t="s">
        <v>459</v>
      </c>
      <c r="CS233" s="344"/>
      <c r="CT233" s="344"/>
      <c r="CU233" s="344"/>
      <c r="CV233" s="344"/>
      <c r="DD233" s="3" t="s">
        <v>537</v>
      </c>
      <c r="DH233" s="50">
        <f>CY241</f>
        <v>69.582675758133661</v>
      </c>
      <c r="DI233" s="48">
        <f>DI241</f>
        <v>5944558.1059355522</v>
      </c>
      <c r="EH233" s="3" t="s">
        <v>537</v>
      </c>
      <c r="EM233" s="50">
        <f>ED241</f>
        <v>10.437401363720047</v>
      </c>
      <c r="EN233" s="48">
        <f>EN241</f>
        <v>891683.71589033271</v>
      </c>
      <c r="EP233" s="336" t="s">
        <v>424</v>
      </c>
      <c r="EQ233" s="337"/>
      <c r="ER233" s="337"/>
      <c r="ES233" s="337"/>
      <c r="ET233" s="337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45478.491734408562</v>
      </c>
      <c r="Y234" s="286">
        <f>(mol_H_Coal*AG210)+(2*AG232)</f>
        <v>45478.491734408562</v>
      </c>
      <c r="Z234" s="3">
        <f t="shared" ref="Z234:Z242" si="130">X234-Y234</f>
        <v>0</v>
      </c>
      <c r="AB234" s="331"/>
      <c r="AC234" s="17" t="s">
        <v>19</v>
      </c>
      <c r="AD234" s="1">
        <f>SUM(AD231:AD233)</f>
        <v>7.5924566391801989</v>
      </c>
      <c r="AE234" s="8">
        <f>SUM(AE231:AE233)</f>
        <v>1</v>
      </c>
      <c r="AF234" s="8">
        <f>SUM(AF231:AF233)</f>
        <v>9.0038560000000004E-2</v>
      </c>
      <c r="AG234" s="8">
        <f>SUM(AG231:AG233)</f>
        <v>263.01964543249943</v>
      </c>
      <c r="AH234" s="62"/>
      <c r="AI234" s="8">
        <f>SUM(AI231:AI233)</f>
        <v>0.99999999999999989</v>
      </c>
      <c r="AJ234" s="17"/>
      <c r="AK234" s="17"/>
      <c r="AL234" s="17"/>
      <c r="AM234" s="8">
        <f>SUM(AM231:AM233)</f>
        <v>2.1669256283873981</v>
      </c>
      <c r="AN234" s="8">
        <f>SUM(AN231:AN233)</f>
        <v>569.94401045704944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44"/>
      <c r="CS234" s="344"/>
      <c r="CT234" s="344"/>
      <c r="CU234" s="344"/>
      <c r="CV234" s="344"/>
      <c r="EP234" s="337"/>
      <c r="EQ234" s="337"/>
      <c r="ER234" s="337"/>
      <c r="ES234" s="337"/>
      <c r="ET234" s="337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813.79050274918313</v>
      </c>
      <c r="Y235" s="286">
        <f>(mol_O_Coal*AG210)+(3*AG211)+AG212+AG213+AG214+(3*AG215)+(2*AG216)+(2*AG231)+AG232</f>
        <v>813.79050274918325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569</v>
      </c>
      <c r="CG235" s="1" t="s">
        <v>570</v>
      </c>
      <c r="CH235" s="1" t="s">
        <v>572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571</v>
      </c>
      <c r="CP235" s="1" t="s">
        <v>50</v>
      </c>
      <c r="CR235" s="22" t="s">
        <v>434</v>
      </c>
      <c r="CS235" s="22" t="s">
        <v>483</v>
      </c>
      <c r="CT235" s="161" t="s">
        <v>338</v>
      </c>
      <c r="CU235" s="363" t="s">
        <v>345</v>
      </c>
      <c r="CV235" s="138" t="s">
        <v>318</v>
      </c>
      <c r="CX235" s="4"/>
      <c r="CY235" s="1" t="s">
        <v>569</v>
      </c>
      <c r="CZ235" s="1" t="s">
        <v>570</v>
      </c>
      <c r="DA235" s="1" t="s">
        <v>572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571</v>
      </c>
      <c r="DI235" s="1" t="s">
        <v>50</v>
      </c>
      <c r="EC235" s="4"/>
      <c r="ED235" s="1" t="s">
        <v>569</v>
      </c>
      <c r="EE235" s="1" t="s">
        <v>570</v>
      </c>
      <c r="EF235" s="1" t="s">
        <v>572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571</v>
      </c>
      <c r="EN235" s="1" t="s">
        <v>50</v>
      </c>
      <c r="EP235" s="337"/>
      <c r="EQ235" s="337"/>
      <c r="ER235" s="337"/>
      <c r="ES235" s="337"/>
      <c r="ET235" s="337"/>
    </row>
    <row r="236" spans="2:150" ht="19" thickBot="1" x14ac:dyDescent="0.3">
      <c r="P236" s="3" t="s">
        <v>552</v>
      </c>
      <c r="T236" s="50">
        <f>K242</f>
        <v>7.104790060854917</v>
      </c>
      <c r="U236" s="48">
        <f>U242</f>
        <v>55.616608087385551</v>
      </c>
      <c r="W236" s="3" t="s">
        <v>364</v>
      </c>
      <c r="X236" s="83">
        <f>(mol_N_Coal*N210)+(2*N241)</f>
        <v>483.43808241670257</v>
      </c>
      <c r="Y236" s="83">
        <f>(mol_N_Coal*AG210)+(2*AG233)</f>
        <v>483.43808241670257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64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31" t="s">
        <v>540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34" t="s">
        <v>537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35" t="s">
        <v>537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29" t="s">
        <v>532</v>
      </c>
      <c r="F238" s="329"/>
      <c r="G238" s="329"/>
      <c r="H238" s="329"/>
      <c r="J238" s="4"/>
      <c r="K238" s="1" t="s">
        <v>569</v>
      </c>
      <c r="L238" s="1" t="s">
        <v>570</v>
      </c>
      <c r="M238" s="1" t="s">
        <v>572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571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31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649</v>
      </c>
      <c r="CV238" s="136">
        <f>DI233/(CP233+CW229)</f>
        <v>0.99315856277211589</v>
      </c>
      <c r="CW238" s="334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596</v>
      </c>
      <c r="EB238" s="335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29"/>
      <c r="F239" s="329"/>
      <c r="G239" s="329"/>
      <c r="H239" s="329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31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34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599</v>
      </c>
      <c r="DQ239" s="1" t="s">
        <v>599</v>
      </c>
      <c r="DR239" s="1" t="s">
        <v>599</v>
      </c>
      <c r="EB239" s="335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31" t="s">
        <v>538</v>
      </c>
      <c r="J240" s="8" t="s">
        <v>304</v>
      </c>
      <c r="K240" s="17">
        <f>O2_in_Coal_Ext</f>
        <v>1.6554693737501325</v>
      </c>
      <c r="L240" s="17">
        <f>K240/$BN$248</f>
        <v>2.9723052172502405E-3</v>
      </c>
      <c r="M240" s="3">
        <f>MW_O2</f>
        <v>3.1998800000000001E-2</v>
      </c>
      <c r="N240" s="3">
        <f>O2_Diesel_molcoeff*N226</f>
        <v>51.735358005616852</v>
      </c>
      <c r="O240" s="3">
        <f>b_ch_O2</f>
        <v>4</v>
      </c>
      <c r="P240" s="3">
        <f>N240/N242</f>
        <v>0.21008403361344538</v>
      </c>
      <c r="Q240" s="1">
        <f>LN(P240)</f>
        <v>-1.5602476682433286</v>
      </c>
      <c r="R240" s="1">
        <f>RT0*Q240</f>
        <v>-3.5432742429276503</v>
      </c>
      <c r="S240" s="1">
        <f>O240+R240</f>
        <v>0.45672575707234975</v>
      </c>
      <c r="T240" s="1">
        <f>S240*P240</f>
        <v>9.5950789300913816E-2</v>
      </c>
      <c r="U240" s="1">
        <f>N242*T240</f>
        <v>23.628870552524408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31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34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598</v>
      </c>
      <c r="DQ240" s="3" t="s">
        <v>598</v>
      </c>
      <c r="DR240" s="3" t="s">
        <v>598</v>
      </c>
      <c r="EB240" s="335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31"/>
      <c r="J241" s="60" t="s">
        <v>67</v>
      </c>
      <c r="K241" s="3">
        <f>N2_in_Coal_Ext</f>
        <v>5.4493206871047848</v>
      </c>
      <c r="L241" s="3">
        <f>K241/$BN$248</f>
        <v>9.783958897445549E-3</v>
      </c>
      <c r="M241" s="28">
        <f>MW_N2</f>
        <v>2.801348E-2</v>
      </c>
      <c r="N241" s="28">
        <f>AG233</f>
        <v>194.52494610111935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31.987737534861143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31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7.104790060854917</v>
      </c>
      <c r="L242" s="17">
        <f>SUM(L240:L241)</f>
        <v>1.2756264114695789E-2</v>
      </c>
      <c r="M242" s="3">
        <f>SUM(M240:M241)</f>
        <v>6.0012280000000001E-2</v>
      </c>
      <c r="N242" s="3">
        <f>SUM(N240:N241)</f>
        <v>246.26030410673621</v>
      </c>
      <c r="T242" s="3">
        <f>SUM(T240:T241)</f>
        <v>0.22584479577057509</v>
      </c>
      <c r="U242" s="3">
        <f>SUM(U240:U241)</f>
        <v>55.616608087385551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538</v>
      </c>
      <c r="BW242" s="50">
        <f>BN248</f>
        <v>556.96479760636817</v>
      </c>
      <c r="BX242" s="48">
        <f>BX248</f>
        <v>4359.9448543333856</v>
      </c>
      <c r="CD242" s="331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596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29" t="s">
        <v>532</v>
      </c>
      <c r="BI244" s="329"/>
      <c r="BJ244" s="329"/>
      <c r="BK244" s="329"/>
      <c r="BM244" s="4"/>
      <c r="BN244" s="1" t="s">
        <v>569</v>
      </c>
      <c r="BO244" s="1" t="s">
        <v>570</v>
      </c>
      <c r="BP244" s="1" t="s">
        <v>572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571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599</v>
      </c>
      <c r="CT244" s="1" t="s">
        <v>599</v>
      </c>
      <c r="CU244" s="1" t="s">
        <v>599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29"/>
      <c r="BI245" s="329"/>
      <c r="BJ245" s="329"/>
      <c r="BK245" s="329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598</v>
      </c>
      <c r="CT245" s="3" t="s">
        <v>598</v>
      </c>
      <c r="CU245" s="3" t="s">
        <v>598</v>
      </c>
    </row>
    <row r="246" spans="9:144" ht="18" customHeight="1" x14ac:dyDescent="0.25">
      <c r="BL246" s="348" t="s">
        <v>533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48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541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569</v>
      </c>
      <c r="CG252" s="1" t="s">
        <v>570</v>
      </c>
      <c r="CH252" s="1" t="s">
        <v>572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571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481</v>
      </c>
      <c r="BW254" s="50">
        <f>BO259</f>
        <v>16.963528773956838</v>
      </c>
      <c r="BX254" s="48">
        <f>BX259</f>
        <v>879540.87913658854</v>
      </c>
      <c r="CD254" s="331" t="s">
        <v>541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467</v>
      </c>
      <c r="BL255" s="4"/>
      <c r="CD255" s="331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29" t="s">
        <v>480</v>
      </c>
      <c r="BG256" s="329"/>
      <c r="BH256" s="329"/>
      <c r="BI256" s="329"/>
      <c r="BJ256" s="329"/>
      <c r="BK256" s="329"/>
      <c r="BL256" s="329"/>
      <c r="BM256" s="1"/>
      <c r="BN256" s="3" t="s">
        <v>575</v>
      </c>
      <c r="BO256" s="1" t="s">
        <v>569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571</v>
      </c>
      <c r="BX256" s="1" t="s">
        <v>50</v>
      </c>
      <c r="CD256" s="331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30"/>
      <c r="BG257" s="330"/>
      <c r="BH257" s="330"/>
      <c r="BI257" s="330"/>
      <c r="BJ257" s="330"/>
      <c r="BK257" s="330"/>
      <c r="BL257" s="330"/>
      <c r="BM257" s="1"/>
      <c r="BN257" s="3" t="s">
        <v>574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464</v>
      </c>
      <c r="BH259" s="13" t="s">
        <v>465</v>
      </c>
      <c r="BI259" s="13" t="s">
        <v>466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abSelected="1"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65" t="s">
        <v>435</v>
      </c>
      <c r="E7" s="217" t="s">
        <v>583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66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67" t="s">
        <v>20</v>
      </c>
      <c r="E9" s="217" t="s">
        <v>583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68"/>
      <c r="E10" s="217" t="s">
        <v>584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68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69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70" t="s">
        <v>354</v>
      </c>
      <c r="E13" s="217" t="s">
        <v>583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71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72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73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73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74"/>
      <c r="E18" s="216" t="s">
        <v>568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586</v>
      </c>
      <c r="F23" s="3" t="s">
        <v>585</v>
      </c>
      <c r="G23" s="3" t="s">
        <v>652</v>
      </c>
    </row>
    <row r="24" spans="4:9" x14ac:dyDescent="0.2">
      <c r="E24" s="204" t="s">
        <v>583</v>
      </c>
      <c r="F24">
        <f>'Ore-&gt;PI'!U222+'Ore-&gt;PI'!U140+'Ore-&gt;PI'!U59</f>
        <v>108567.19890325595</v>
      </c>
      <c r="G24">
        <f t="shared" ref="G24:G27" si="2">F24/1000000000</f>
        <v>1.0856719890325595E-4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584</v>
      </c>
      <c r="F27">
        <f>'Ore-&gt;PI'!U151</f>
        <v>24.513235855857225</v>
      </c>
      <c r="G27">
        <f t="shared" si="2"/>
        <v>2.4513235855857225E-8</v>
      </c>
    </row>
    <row r="28" spans="4:9" x14ac:dyDescent="0.2">
      <c r="E28" s="204" t="s">
        <v>568</v>
      </c>
      <c r="F28">
        <f>'Ore-&gt;PI'!EG101</f>
        <v>203313.0005430537</v>
      </c>
      <c r="G28">
        <f>F28/1000000000</f>
        <v>2.0331300054305369E-4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595</v>
      </c>
      <c r="AR1" s="260"/>
      <c r="AS1" s="207" t="s">
        <v>418</v>
      </c>
      <c r="AT1" s="207" t="s">
        <v>419</v>
      </c>
      <c r="AU1" s="207" t="s">
        <v>420</v>
      </c>
      <c r="AV1" s="207" t="s">
        <v>576</v>
      </c>
      <c r="AW1" s="207" t="s">
        <v>555</v>
      </c>
      <c r="AX1" s="207" t="s">
        <v>554</v>
      </c>
      <c r="AY1" s="207" t="s">
        <v>446</v>
      </c>
      <c r="AZ1" s="207" t="s">
        <v>443</v>
      </c>
      <c r="BA1" s="207" t="s">
        <v>462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576</v>
      </c>
      <c r="BP1" s="207" t="s">
        <v>555</v>
      </c>
      <c r="BQ1" s="207" t="s">
        <v>554</v>
      </c>
      <c r="BR1" s="207" t="s">
        <v>446</v>
      </c>
      <c r="BS1" s="207" t="s">
        <v>443</v>
      </c>
      <c r="BT1" s="207" t="s">
        <v>462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481</v>
      </c>
      <c r="C6" s="284">
        <v>1</v>
      </c>
      <c r="AK6" s="204"/>
      <c r="AR6" s="204" t="s">
        <v>481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481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587</v>
      </c>
      <c r="C7" s="284">
        <v>1</v>
      </c>
      <c r="AK7" s="204"/>
      <c r="AR7" s="204" t="s">
        <v>587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587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588</v>
      </c>
      <c r="C8" s="284">
        <v>1</v>
      </c>
      <c r="AK8" s="204"/>
      <c r="AR8" s="204" t="s">
        <v>588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588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529</v>
      </c>
      <c r="C9" s="284">
        <v>1</v>
      </c>
      <c r="AK9" s="204"/>
      <c r="AR9" s="204" t="s">
        <v>529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529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580</v>
      </c>
      <c r="C10" s="284">
        <v>1</v>
      </c>
      <c r="AK10" s="204"/>
      <c r="AR10" s="204" t="s">
        <v>580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580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562</v>
      </c>
      <c r="C11" s="284">
        <v>1</v>
      </c>
      <c r="AR11" s="205" t="s">
        <v>562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562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527</v>
      </c>
      <c r="C12" s="284">
        <v>1</v>
      </c>
      <c r="AR12" s="204" t="s">
        <v>527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527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530</v>
      </c>
      <c r="C13" s="284">
        <v>1</v>
      </c>
      <c r="AR13" s="205" t="s">
        <v>530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530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557</v>
      </c>
      <c r="C14" s="284">
        <v>1</v>
      </c>
      <c r="AR14" s="204" t="s">
        <v>557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557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549</v>
      </c>
      <c r="C15" s="284">
        <v>1</v>
      </c>
      <c r="AR15" s="206" t="s">
        <v>549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549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534</v>
      </c>
      <c r="C16" s="284">
        <v>1</v>
      </c>
      <c r="AR16" s="204" t="s">
        <v>534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534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561</v>
      </c>
      <c r="C17" s="284">
        <v>1</v>
      </c>
      <c r="AR17" s="205" t="s">
        <v>561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561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556</v>
      </c>
      <c r="C18" s="284">
        <v>1</v>
      </c>
      <c r="AR18" s="205" t="s">
        <v>556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556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553</v>
      </c>
      <c r="C19" s="284">
        <v>1</v>
      </c>
      <c r="AR19" s="205" t="s">
        <v>553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553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559</v>
      </c>
      <c r="C20" s="284">
        <v>1</v>
      </c>
      <c r="AR20" s="205" t="s">
        <v>559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559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558</v>
      </c>
      <c r="C21" s="284">
        <v>1</v>
      </c>
      <c r="AR21" s="206" t="s">
        <v>558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558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542</v>
      </c>
      <c r="C22" s="284">
        <v>1</v>
      </c>
      <c r="AR22" s="206" t="s">
        <v>542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542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577</v>
      </c>
      <c r="C23" s="284">
        <v>1</v>
      </c>
      <c r="AR23" s="206" t="s">
        <v>577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577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543</v>
      </c>
      <c r="C24" s="284">
        <v>1</v>
      </c>
      <c r="AR24" s="206" t="s">
        <v>543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543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545</v>
      </c>
      <c r="C25" s="284">
        <v>1</v>
      </c>
      <c r="AR25" s="206" t="s">
        <v>545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545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544</v>
      </c>
      <c r="C26" s="284">
        <v>1</v>
      </c>
      <c r="AR26" s="206" t="s">
        <v>544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544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644</v>
      </c>
      <c r="C27" s="284">
        <v>1</v>
      </c>
      <c r="AR27" s="206" t="s">
        <v>644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644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540</v>
      </c>
      <c r="C28" s="284">
        <v>1</v>
      </c>
      <c r="AR28" s="253" t="s">
        <v>540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540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539</v>
      </c>
      <c r="C29" s="284">
        <v>1</v>
      </c>
      <c r="AR29" s="206" t="s">
        <v>539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539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541</v>
      </c>
      <c r="C30" s="284">
        <v>1</v>
      </c>
      <c r="AR30" s="204" t="s">
        <v>541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541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537</v>
      </c>
      <c r="C31" s="284">
        <v>1</v>
      </c>
      <c r="AR31" s="206" t="s">
        <v>537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537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565</v>
      </c>
      <c r="C32" s="284">
        <v>1</v>
      </c>
      <c r="AR32" s="206" t="s">
        <v>565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565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566</v>
      </c>
      <c r="C33" s="284">
        <v>1</v>
      </c>
      <c r="AR33" s="206" t="s">
        <v>566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566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567</v>
      </c>
      <c r="C34" s="284">
        <v>1</v>
      </c>
      <c r="AR34" s="206" t="s">
        <v>567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567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578</v>
      </c>
      <c r="C35" s="284">
        <v>1</v>
      </c>
      <c r="AR35" s="206" t="s">
        <v>578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578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594</v>
      </c>
      <c r="AR36" s="206"/>
      <c r="AS36" s="375" t="s">
        <v>591</v>
      </c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D36" s="375"/>
      <c r="BE36" s="375"/>
      <c r="BF36" s="375"/>
      <c r="BK36" s="206"/>
      <c r="BL36" s="375" t="s">
        <v>592</v>
      </c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  <c r="BW36" s="375"/>
      <c r="BX36" s="375"/>
      <c r="BY36" s="375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576</v>
      </c>
      <c r="AW39" s="207" t="s">
        <v>555</v>
      </c>
      <c r="AX39" s="207" t="s">
        <v>554</v>
      </c>
      <c r="AY39" s="207" t="s">
        <v>446</v>
      </c>
      <c r="AZ39" s="207" t="s">
        <v>443</v>
      </c>
      <c r="BA39" s="207" t="s">
        <v>462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233.82334445083558</v>
      </c>
      <c r="AT43" s="284">
        <f t="shared" si="3"/>
        <v>0.70159378736823275</v>
      </c>
      <c r="AU43" s="284">
        <f t="shared" si="3"/>
        <v>55.616608087385551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481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587</v>
      </c>
      <c r="AS45" s="284">
        <f t="shared" ref="AS45:BF45" si="5">AS88</f>
        <v>87512.008023532893</v>
      </c>
      <c r="AT45" s="284">
        <f t="shared" si="5"/>
        <v>239.81393514966189</v>
      </c>
      <c r="AU45" s="284">
        <f t="shared" si="5"/>
        <v>20815.376944573403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588</v>
      </c>
      <c r="AS46" s="284">
        <f t="shared" ref="AS46:BF46" si="6">AS89</f>
        <v>0</v>
      </c>
      <c r="AT46" s="284">
        <f t="shared" si="6"/>
        <v>24.513235855857225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529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203313.0005430537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580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562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527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530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557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549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534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561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556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553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559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558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542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577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543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545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544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644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540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539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541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537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565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566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567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578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75" t="s">
        <v>593</v>
      </c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  <c r="BD74" s="375"/>
      <c r="BE74" s="375"/>
      <c r="BF74" s="375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576</v>
      </c>
      <c r="AW82" s="207" t="s">
        <v>555</v>
      </c>
      <c r="AX82" s="207" t="s">
        <v>554</v>
      </c>
      <c r="AY82" s="207" t="s">
        <v>446</v>
      </c>
      <c r="AZ82" s="207" t="s">
        <v>443</v>
      </c>
      <c r="BA82" s="207" t="s">
        <v>462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233.82334445083558</v>
      </c>
      <c r="AT86" s="230">
        <f>'Ore-&gt;PI'!U163</f>
        <v>0.70159378736823275</v>
      </c>
      <c r="AU86" s="230">
        <f>'Ore-&gt;PI'!U236</f>
        <v>55.616608087385551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37445.150999277976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481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481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587</v>
      </c>
      <c r="AS88" s="230">
        <f>'Ore-&gt;PI'!U59</f>
        <v>87512.008023532893</v>
      </c>
      <c r="AT88" s="230">
        <f>'Ore-&gt;PI'!U140</f>
        <v>239.81393514966189</v>
      </c>
      <c r="AU88" s="230">
        <f>'Ore-&gt;PI'!U222</f>
        <v>20815.376944573403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108567.19890325596</v>
      </c>
      <c r="BK88" s="204" t="s">
        <v>587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588</v>
      </c>
      <c r="AS89" s="230"/>
      <c r="AT89" s="230">
        <f>'Ore-&gt;PI'!U151</f>
        <v>24.513235855857225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24.513235855857225</v>
      </c>
      <c r="BK89" s="204" t="s">
        <v>588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529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203313.0005430537</v>
      </c>
      <c r="BG90" s="252">
        <f t="shared" si="34"/>
        <v>203313.0005430537</v>
      </c>
      <c r="BK90" s="204" t="s">
        <v>529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580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580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562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562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527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527</v>
      </c>
      <c r="BL93" s="244"/>
      <c r="BM93" s="244">
        <f>'Ore-&gt;PI'!AM63</f>
        <v>2396.1586162428257</v>
      </c>
      <c r="BN93" s="252">
        <f t="shared" si="36"/>
        <v>2396.1586162428257</v>
      </c>
    </row>
    <row r="94" spans="35:66" ht="16" x14ac:dyDescent="0.2">
      <c r="AI94" s="206"/>
      <c r="AR94" s="205" t="s">
        <v>530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530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557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557</v>
      </c>
      <c r="BL95" s="244"/>
      <c r="BM95" s="244">
        <f>'Ore-&gt;PI'!AN142</f>
        <v>7.1782646247188149</v>
      </c>
      <c r="BN95" s="252">
        <f t="shared" si="36"/>
        <v>7.1782646247188149</v>
      </c>
    </row>
    <row r="96" spans="35:66" x14ac:dyDescent="0.2">
      <c r="AI96" s="206"/>
      <c r="AR96" s="206" t="s">
        <v>549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549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534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534</v>
      </c>
      <c r="BL97" s="244"/>
      <c r="BM97" s="244">
        <f>'Ore-&gt;PI'!AN227</f>
        <v>569.94401045704944</v>
      </c>
      <c r="BN97" s="252">
        <f t="shared" si="36"/>
        <v>569.94401045704944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561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561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556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556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553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553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559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559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558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558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542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542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577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577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543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543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545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545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544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544</v>
      </c>
      <c r="BL107" s="244"/>
      <c r="BM107" s="244">
        <f>'Ore-&gt;PI'!CR138</f>
        <v>1135560184.3227816</v>
      </c>
      <c r="BN107" s="252">
        <f t="shared" si="37"/>
        <v>1135560184.3227816</v>
      </c>
    </row>
    <row r="108" spans="35:71" x14ac:dyDescent="0.2">
      <c r="AI108" s="206"/>
      <c r="AR108" s="206" t="s">
        <v>644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644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540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540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539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539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541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541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537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537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565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565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566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566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567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567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578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578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75" t="s">
        <v>421</v>
      </c>
      <c r="AT117" s="375"/>
      <c r="AU117" s="375"/>
      <c r="AV117" s="375"/>
      <c r="AW117" s="375"/>
      <c r="AX117" s="375"/>
      <c r="AY117" s="375"/>
      <c r="AZ117" s="375"/>
      <c r="BA117" s="375"/>
      <c r="BB117" s="375"/>
      <c r="BC117" s="375"/>
      <c r="BD117" s="375"/>
      <c r="BE117" s="375"/>
      <c r="BF117" s="375"/>
      <c r="BG117" s="25" t="s">
        <v>473</v>
      </c>
      <c r="BL117" s="375" t="s">
        <v>423</v>
      </c>
      <c r="BM117" s="375"/>
      <c r="BN117" s="25" t="s">
        <v>488</v>
      </c>
    </row>
    <row r="118" spans="5:66" x14ac:dyDescent="0.2">
      <c r="AI118" s="206"/>
      <c r="AR118" s="206"/>
      <c r="AS118" s="252">
        <f>SUM(AS83:AS116)</f>
        <v>196979.54401115695</v>
      </c>
      <c r="AT118" s="252">
        <f>SUM(AT83:AT116)</f>
        <v>25659.269681201535</v>
      </c>
      <c r="AU118" s="252">
        <f>SUM(AU83:AU116)</f>
        <v>8852040.1283537373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14100010.581139561</v>
      </c>
      <c r="BL118" s="25"/>
      <c r="BM118" s="25"/>
    </row>
    <row r="119" spans="5:66" ht="13" customHeight="1" x14ac:dyDescent="0.2">
      <c r="F119" s="376"/>
      <c r="G119" s="376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75" t="s">
        <v>472</v>
      </c>
      <c r="AT119" s="375"/>
      <c r="AU119" s="375"/>
      <c r="AV119" s="375"/>
      <c r="AW119" s="375"/>
      <c r="AX119" s="375"/>
      <c r="AY119" s="375"/>
      <c r="AZ119" s="375"/>
      <c r="BA119" s="375"/>
      <c r="BB119" s="375"/>
      <c r="BC119" s="375"/>
      <c r="BD119" s="375"/>
      <c r="BE119" s="375"/>
      <c r="BF119" s="375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481</v>
      </c>
      <c r="K120" s="207" t="s">
        <v>587</v>
      </c>
      <c r="L120" s="207" t="s">
        <v>588</v>
      </c>
      <c r="M120" s="207" t="s">
        <v>529</v>
      </c>
      <c r="N120" s="207" t="s">
        <v>580</v>
      </c>
      <c r="O120" s="209" t="s">
        <v>562</v>
      </c>
      <c r="P120" s="207" t="s">
        <v>527</v>
      </c>
      <c r="Q120" s="209" t="s">
        <v>530</v>
      </c>
      <c r="R120" s="207" t="s">
        <v>557</v>
      </c>
      <c r="S120" s="210" t="s">
        <v>549</v>
      </c>
      <c r="T120" s="207" t="s">
        <v>534</v>
      </c>
      <c r="U120" s="209" t="s">
        <v>561</v>
      </c>
      <c r="V120" s="209" t="s">
        <v>556</v>
      </c>
      <c r="W120" s="209" t="s">
        <v>553</v>
      </c>
      <c r="X120" s="209" t="s">
        <v>559</v>
      </c>
      <c r="Y120" s="210" t="s">
        <v>558</v>
      </c>
      <c r="Z120" s="210" t="s">
        <v>542</v>
      </c>
      <c r="AA120" s="210" t="s">
        <v>577</v>
      </c>
      <c r="AB120" s="210" t="s">
        <v>543</v>
      </c>
      <c r="AC120" s="210" t="s">
        <v>545</v>
      </c>
      <c r="AD120" s="210" t="s">
        <v>544</v>
      </c>
      <c r="AE120" s="210" t="s">
        <v>644</v>
      </c>
      <c r="AF120" s="232" t="s">
        <v>540</v>
      </c>
      <c r="AG120" s="210" t="s">
        <v>539</v>
      </c>
      <c r="AH120" s="207" t="s">
        <v>541</v>
      </c>
      <c r="AI120" s="210" t="s">
        <v>537</v>
      </c>
      <c r="AJ120" s="210" t="s">
        <v>565</v>
      </c>
      <c r="AK120" s="210" t="s">
        <v>566</v>
      </c>
      <c r="AL120" s="210" t="s">
        <v>567</v>
      </c>
      <c r="AM120" s="210" t="s">
        <v>578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2396.1586162428257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111629.87125941603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7.1782646247188149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25401.419181033365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569.94401045704944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8754289.6509102974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576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555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554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462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1135560184.3227816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1135809939.6500413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75" t="s">
        <v>422</v>
      </c>
      <c r="G135" s="375"/>
      <c r="H135" s="375"/>
      <c r="I135" s="375"/>
      <c r="J135" s="375"/>
      <c r="K135" s="375"/>
      <c r="L135" s="375"/>
      <c r="M135" s="375"/>
      <c r="N135" s="375"/>
      <c r="O135" s="375"/>
      <c r="P135" s="375"/>
      <c r="Q135" s="375"/>
      <c r="R135" s="375"/>
      <c r="S135" s="375"/>
      <c r="T135" s="375"/>
      <c r="U135" s="375"/>
      <c r="V135" s="375"/>
      <c r="W135" s="375"/>
      <c r="X135" s="375"/>
      <c r="Y135" s="375"/>
      <c r="Z135" s="375"/>
      <c r="AA135" s="375"/>
      <c r="AB135" s="375"/>
      <c r="AC135" s="375"/>
      <c r="AD135" s="375"/>
      <c r="AE135" s="375"/>
      <c r="AF135" s="375"/>
      <c r="AG135" s="375"/>
      <c r="AH135" s="375"/>
      <c r="AI135" s="375"/>
      <c r="AJ135" s="375"/>
      <c r="AK135" s="375"/>
      <c r="AL135" s="375"/>
      <c r="AM135" s="375"/>
      <c r="AN135" s="25" t="s">
        <v>469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2396.1586162428257</v>
      </c>
      <c r="Q136" s="252">
        <f t="shared" si="40"/>
        <v>25394.240916408646</v>
      </c>
      <c r="R136" s="252">
        <f t="shared" si="40"/>
        <v>7.1782646247188149</v>
      </c>
      <c r="S136" s="252">
        <f t="shared" si="40"/>
        <v>8753719.7068998404</v>
      </c>
      <c r="T136" s="252">
        <f t="shared" si="40"/>
        <v>569.94401045704944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1135560184.3227816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75" t="s">
        <v>470</v>
      </c>
      <c r="G137" s="375"/>
      <c r="H137" s="375"/>
      <c r="I137" s="375"/>
      <c r="J137" s="375"/>
      <c r="K137" s="375"/>
      <c r="L137" s="375"/>
      <c r="M137" s="375"/>
      <c r="N137" s="375"/>
      <c r="O137" s="375"/>
      <c r="P137" s="375"/>
      <c r="Q137" s="375"/>
      <c r="R137" s="375"/>
      <c r="S137" s="375"/>
      <c r="T137" s="375"/>
      <c r="U137" s="375"/>
      <c r="V137" s="375"/>
      <c r="W137" s="375"/>
      <c r="X137" s="375"/>
      <c r="Y137" s="375"/>
      <c r="Z137" s="375"/>
      <c r="AA137" s="375"/>
      <c r="AB137" s="375"/>
      <c r="AC137" s="375"/>
      <c r="AD137" s="375"/>
      <c r="AE137" s="375"/>
      <c r="AF137" s="375"/>
      <c r="AG137" s="375"/>
      <c r="AH137" s="375"/>
      <c r="AI137" s="375"/>
      <c r="AJ137" s="375"/>
      <c r="AK137" s="375"/>
      <c r="AL137" s="375"/>
      <c r="AM137" s="375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481</v>
      </c>
      <c r="K148" s="207" t="s">
        <v>587</v>
      </c>
      <c r="L148" s="207" t="s">
        <v>588</v>
      </c>
      <c r="M148" s="207" t="s">
        <v>529</v>
      </c>
      <c r="N148" s="207" t="s">
        <v>580</v>
      </c>
      <c r="O148" s="209" t="s">
        <v>562</v>
      </c>
      <c r="P148" s="207" t="s">
        <v>527</v>
      </c>
      <c r="Q148" s="209" t="s">
        <v>530</v>
      </c>
      <c r="R148" s="207" t="s">
        <v>557</v>
      </c>
      <c r="S148" s="210" t="s">
        <v>549</v>
      </c>
      <c r="T148" s="207" t="s">
        <v>534</v>
      </c>
      <c r="U148" s="209" t="s">
        <v>561</v>
      </c>
      <c r="V148" s="209" t="s">
        <v>556</v>
      </c>
      <c r="W148" s="209" t="s">
        <v>553</v>
      </c>
      <c r="X148" s="209" t="s">
        <v>559</v>
      </c>
      <c r="Y148" s="210" t="s">
        <v>558</v>
      </c>
      <c r="Z148" s="210" t="s">
        <v>542</v>
      </c>
      <c r="AA148" s="210" t="s">
        <v>577</v>
      </c>
      <c r="AB148" s="210" t="s">
        <v>543</v>
      </c>
      <c r="AC148" s="210" t="s">
        <v>545</v>
      </c>
      <c r="AD148" s="210" t="s">
        <v>544</v>
      </c>
      <c r="AE148" s="210" t="s">
        <v>644</v>
      </c>
      <c r="AF148" s="232" t="s">
        <v>540</v>
      </c>
      <c r="AG148" s="210" t="s">
        <v>539</v>
      </c>
      <c r="AH148" s="207" t="s">
        <v>541</v>
      </c>
      <c r="AI148" s="210" t="s">
        <v>537</v>
      </c>
      <c r="AJ148" s="210" t="s">
        <v>565</v>
      </c>
      <c r="AK148" s="210" t="s">
        <v>566</v>
      </c>
      <c r="AL148" s="210" t="s">
        <v>567</v>
      </c>
      <c r="AM148" s="210" t="s">
        <v>578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487</v>
      </c>
      <c r="F152" s="244"/>
      <c r="G152" s="244"/>
      <c r="H152" s="244"/>
      <c r="I152" s="250">
        <f>'Ore-&gt;PI'!U236+'Ore-&gt;PI'!U163+'Ore-&gt;PI'!U72+'Ore-&gt;PI'!BX242+'Ore-&gt;PI'!BX140+'Ore-&gt;PI'!EG140</f>
        <v>37445.150999277976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480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590</v>
      </c>
      <c r="F154" s="244"/>
      <c r="G154" s="244"/>
      <c r="H154" s="244"/>
      <c r="I154" s="244"/>
      <c r="J154" s="244"/>
      <c r="K154" s="244">
        <f>'Ore-&gt;PI'!U59+'Ore-&gt;PI'!U140+'Ore-&gt;PI'!U222</f>
        <v>108567.19890325596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589</v>
      </c>
      <c r="F155" s="244"/>
      <c r="G155" s="244"/>
      <c r="H155" s="244"/>
      <c r="I155" s="244"/>
      <c r="J155" s="244"/>
      <c r="K155" s="244"/>
      <c r="L155" s="244">
        <f>'Ore-&gt;PI'!U151</f>
        <v>24.513235855857225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528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203313.0005430537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579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75" t="s">
        <v>57</v>
      </c>
      <c r="G158" s="375"/>
      <c r="H158" s="375"/>
      <c r="I158" s="375"/>
      <c r="J158" s="375"/>
      <c r="K158" s="375"/>
      <c r="L158" s="375"/>
      <c r="M158" s="375"/>
      <c r="N158" s="375"/>
      <c r="O158" s="375"/>
      <c r="P158" s="375"/>
      <c r="Q158" s="375"/>
      <c r="R158" s="375"/>
      <c r="S158" s="375"/>
      <c r="T158" s="375"/>
      <c r="U158" s="375"/>
      <c r="V158" s="375"/>
      <c r="W158" s="375"/>
      <c r="X158" s="375"/>
      <c r="Y158" s="375"/>
      <c r="Z158" s="375"/>
      <c r="AA158" s="375"/>
      <c r="AB158" s="375"/>
      <c r="AC158" s="375"/>
      <c r="AD158" s="375"/>
      <c r="AE158" s="375"/>
      <c r="AF158" s="375"/>
      <c r="AG158" s="375"/>
      <c r="AH158" s="375"/>
      <c r="AI158" s="375"/>
      <c r="AJ158" s="375"/>
      <c r="AK158" s="375"/>
      <c r="AL158" s="375"/>
      <c r="AM158" s="375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37445.150999277976</v>
      </c>
      <c r="J159" s="252">
        <f t="shared" si="41"/>
        <v>1081571592.2511754</v>
      </c>
      <c r="K159" s="252">
        <f t="shared" si="41"/>
        <v>108567.19890325596</v>
      </c>
      <c r="L159" s="252">
        <f t="shared" si="41"/>
        <v>24.513235855857225</v>
      </c>
      <c r="M159" s="252">
        <f t="shared" si="41"/>
        <v>203313.0005430537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75" t="s">
        <v>471</v>
      </c>
      <c r="G160" s="375"/>
      <c r="H160" s="375"/>
      <c r="I160" s="375"/>
      <c r="J160" s="375"/>
      <c r="K160" s="375"/>
      <c r="L160" s="375"/>
      <c r="M160" s="375"/>
      <c r="N160" s="375"/>
      <c r="O160" s="375"/>
      <c r="P160" s="375"/>
      <c r="Q160" s="375"/>
      <c r="R160" s="375"/>
      <c r="S160" s="375"/>
      <c r="T160" s="375"/>
      <c r="U160" s="375"/>
      <c r="V160" s="375"/>
      <c r="W160" s="375"/>
      <c r="X160" s="375"/>
      <c r="Y160" s="375"/>
      <c r="Z160" s="375"/>
      <c r="AA160" s="375"/>
      <c r="AB160" s="375"/>
      <c r="AC160" s="375"/>
      <c r="AD160" s="375"/>
      <c r="AE160" s="375"/>
      <c r="AF160" s="375"/>
      <c r="AG160" s="375"/>
      <c r="AH160" s="375"/>
      <c r="AI160" s="375"/>
      <c r="AJ160" s="375"/>
      <c r="AK160" s="375"/>
      <c r="AL160" s="375"/>
      <c r="AM160" s="375"/>
      <c r="AN160" s="25"/>
      <c r="AO160" s="25"/>
    </row>
    <row r="164" spans="5:25" x14ac:dyDescent="0.2">
      <c r="F164" s="375" t="s">
        <v>582</v>
      </c>
      <c r="G164" s="375"/>
      <c r="H164" s="375"/>
      <c r="I164" s="375"/>
      <c r="J164" s="375"/>
      <c r="K164" s="375"/>
      <c r="L164" s="375"/>
      <c r="M164" s="375"/>
      <c r="N164" s="375"/>
      <c r="O164" s="412"/>
      <c r="P164" s="412"/>
      <c r="Q164" s="412"/>
      <c r="R164" s="412"/>
      <c r="S164" s="412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413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413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413">
        <f>F169+H169-J169-L169</f>
        <v>0</v>
      </c>
    </row>
    <row r="170" spans="5:25" x14ac:dyDescent="0.2">
      <c r="E170" s="204" t="s">
        <v>450</v>
      </c>
      <c r="F170" s="252">
        <f>I159</f>
        <v>37445.150999277976</v>
      </c>
      <c r="H170" s="252">
        <v>0</v>
      </c>
      <c r="J170" s="252">
        <f t="shared" si="42"/>
        <v>37445.150999277976</v>
      </c>
      <c r="L170" s="252">
        <v>0</v>
      </c>
      <c r="N170" s="413">
        <f>ROUND(F170+H170-J170-L170, 10)</f>
        <v>0</v>
      </c>
    </row>
    <row r="171" spans="5:25" x14ac:dyDescent="0.2">
      <c r="E171" s="204" t="s">
        <v>481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413">
        <f t="shared" ref="N171:N186" si="43">F171+H171-J171-L171</f>
        <v>0</v>
      </c>
    </row>
    <row r="172" spans="5:25" x14ac:dyDescent="0.2">
      <c r="E172" s="204" t="s">
        <v>587</v>
      </c>
      <c r="F172" s="252">
        <f>K159</f>
        <v>108567.19890325596</v>
      </c>
      <c r="H172" s="252">
        <v>0</v>
      </c>
      <c r="J172" s="252">
        <f t="shared" si="42"/>
        <v>108567.19890325596</v>
      </c>
      <c r="L172" s="252">
        <v>0</v>
      </c>
      <c r="N172" s="413">
        <f t="shared" si="43"/>
        <v>0</v>
      </c>
    </row>
    <row r="173" spans="5:25" x14ac:dyDescent="0.2">
      <c r="E173" s="204" t="s">
        <v>588</v>
      </c>
      <c r="F173" s="252">
        <f>L159</f>
        <v>24.513235855857225</v>
      </c>
      <c r="H173" s="252">
        <v>0</v>
      </c>
      <c r="J173" s="252">
        <f t="shared" si="42"/>
        <v>24.513235855857225</v>
      </c>
      <c r="L173" s="252">
        <v>0</v>
      </c>
      <c r="N173" s="413">
        <f t="shared" si="43"/>
        <v>0</v>
      </c>
    </row>
    <row r="174" spans="5:25" x14ac:dyDescent="0.2">
      <c r="E174" s="204" t="s">
        <v>529</v>
      </c>
      <c r="F174" s="252">
        <f>M159</f>
        <v>203313.0005430537</v>
      </c>
      <c r="H174" s="252">
        <v>0</v>
      </c>
      <c r="J174" s="252">
        <f t="shared" si="42"/>
        <v>203313.0005430537</v>
      </c>
      <c r="L174" s="252">
        <v>0</v>
      </c>
      <c r="N174" s="413">
        <f t="shared" si="43"/>
        <v>0</v>
      </c>
    </row>
    <row r="175" spans="5:25" x14ac:dyDescent="0.2">
      <c r="E175" s="204" t="s">
        <v>580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413">
        <f t="shared" si="43"/>
        <v>0</v>
      </c>
    </row>
    <row r="176" spans="5:25" ht="16" x14ac:dyDescent="0.2">
      <c r="E176" s="205" t="s">
        <v>562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413">
        <f t="shared" si="43"/>
        <v>0</v>
      </c>
    </row>
    <row r="177" spans="5:21" x14ac:dyDescent="0.2">
      <c r="E177" s="204" t="s">
        <v>527</v>
      </c>
      <c r="F177" s="252">
        <f>P159</f>
        <v>0</v>
      </c>
      <c r="H177" s="252">
        <v>2396.1586162428257</v>
      </c>
      <c r="J177" s="252">
        <f t="shared" si="42"/>
        <v>0</v>
      </c>
      <c r="L177" s="252">
        <v>2396.1586162428257</v>
      </c>
      <c r="N177" s="413">
        <f t="shared" si="43"/>
        <v>0</v>
      </c>
    </row>
    <row r="178" spans="5:21" ht="16" x14ac:dyDescent="0.2">
      <c r="E178" s="205" t="s">
        <v>530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413">
        <f t="shared" si="43"/>
        <v>0</v>
      </c>
    </row>
    <row r="179" spans="5:21" x14ac:dyDescent="0.2">
      <c r="E179" s="204" t="s">
        <v>557</v>
      </c>
      <c r="F179" s="252">
        <f>R159</f>
        <v>0</v>
      </c>
      <c r="H179" s="252">
        <v>7.1782646247188149</v>
      </c>
      <c r="J179" s="252">
        <f t="shared" si="42"/>
        <v>0</v>
      </c>
      <c r="L179" s="252">
        <v>7.1782646247188149</v>
      </c>
      <c r="N179" s="413">
        <f t="shared" si="43"/>
        <v>0</v>
      </c>
    </row>
    <row r="180" spans="5:21" x14ac:dyDescent="0.2">
      <c r="E180" s="206" t="s">
        <v>549</v>
      </c>
      <c r="F180" s="252">
        <f>S159</f>
        <v>0</v>
      </c>
      <c r="G180" s="259" t="s">
        <v>475</v>
      </c>
      <c r="H180" s="252">
        <v>8753719.7068998404</v>
      </c>
      <c r="I180" s="171" t="s">
        <v>477</v>
      </c>
      <c r="J180" s="252">
        <f t="shared" si="42"/>
        <v>8753719.7068998404</v>
      </c>
      <c r="K180" s="171" t="s">
        <v>477</v>
      </c>
      <c r="L180" s="252">
        <v>0</v>
      </c>
      <c r="M180" s="259" t="s">
        <v>478</v>
      </c>
      <c r="N180" s="413">
        <f t="shared" si="43"/>
        <v>0</v>
      </c>
    </row>
    <row r="181" spans="5:21" x14ac:dyDescent="0.2">
      <c r="E181" s="204" t="s">
        <v>534</v>
      </c>
      <c r="F181" s="252">
        <f>T159</f>
        <v>0</v>
      </c>
      <c r="H181" s="252">
        <v>569.94401045704944</v>
      </c>
      <c r="J181" s="252">
        <f t="shared" si="42"/>
        <v>0</v>
      </c>
      <c r="L181" s="252">
        <v>569.94401045704944</v>
      </c>
      <c r="N181" s="413">
        <f t="shared" si="43"/>
        <v>0</v>
      </c>
    </row>
    <row r="182" spans="5:21" ht="16" x14ac:dyDescent="0.2">
      <c r="E182" s="205" t="s">
        <v>561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413">
        <f t="shared" si="43"/>
        <v>0</v>
      </c>
    </row>
    <row r="183" spans="5:21" ht="16" x14ac:dyDescent="0.2">
      <c r="E183" s="205" t="s">
        <v>556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413">
        <f t="shared" si="43"/>
        <v>0</v>
      </c>
    </row>
    <row r="184" spans="5:21" ht="16" x14ac:dyDescent="0.2">
      <c r="E184" s="205" t="s">
        <v>553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413">
        <f t="shared" si="43"/>
        <v>0</v>
      </c>
    </row>
    <row r="185" spans="5:21" ht="16" x14ac:dyDescent="0.2">
      <c r="E185" s="205" t="s">
        <v>559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413">
        <f t="shared" si="43"/>
        <v>0</v>
      </c>
    </row>
    <row r="186" spans="5:21" x14ac:dyDescent="0.2">
      <c r="E186" s="206" t="s">
        <v>558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413">
        <f t="shared" si="43"/>
        <v>0</v>
      </c>
    </row>
    <row r="187" spans="5:21" x14ac:dyDescent="0.2">
      <c r="E187" s="206" t="s">
        <v>542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413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577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413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543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413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545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413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544</v>
      </c>
      <c r="F191" s="252">
        <f>AD159</f>
        <v>0</v>
      </c>
      <c r="H191" s="252">
        <v>1135560184.3227816</v>
      </c>
      <c r="J191" s="252">
        <f t="shared" si="44"/>
        <v>0</v>
      </c>
      <c r="L191" s="252">
        <v>1135560184.3227816</v>
      </c>
      <c r="N191" s="413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644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413">
        <f t="shared" si="45"/>
        <v>0</v>
      </c>
    </row>
    <row r="193" spans="5:22" ht="16" x14ac:dyDescent="0.2">
      <c r="E193" s="253" t="s">
        <v>540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413">
        <f t="shared" si="45"/>
        <v>0</v>
      </c>
    </row>
    <row r="194" spans="5:22" x14ac:dyDescent="0.2">
      <c r="E194" s="206" t="s">
        <v>539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413">
        <f t="shared" ref="N194:N200" si="46">F194+H194-J194-L194</f>
        <v>0</v>
      </c>
      <c r="O194" s="25"/>
    </row>
    <row r="195" spans="5:22" x14ac:dyDescent="0.2">
      <c r="E195" s="204" t="s">
        <v>541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413">
        <f t="shared" si="46"/>
        <v>0</v>
      </c>
    </row>
    <row r="196" spans="5:22" x14ac:dyDescent="0.2">
      <c r="E196" s="206" t="s">
        <v>537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413">
        <f t="shared" si="46"/>
        <v>0</v>
      </c>
    </row>
    <row r="197" spans="5:22" x14ac:dyDescent="0.2">
      <c r="E197" s="206" t="s">
        <v>565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413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566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413">
        <f t="shared" si="46"/>
        <v>0</v>
      </c>
    </row>
    <row r="199" spans="5:22" x14ac:dyDescent="0.2">
      <c r="E199" s="206" t="s">
        <v>567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413">
        <f t="shared" si="46"/>
        <v>0</v>
      </c>
    </row>
    <row r="200" spans="5:22" x14ac:dyDescent="0.2">
      <c r="E200" s="206" t="s">
        <v>578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413">
        <f t="shared" si="46"/>
        <v>0</v>
      </c>
    </row>
    <row r="201" spans="5:22" ht="17" x14ac:dyDescent="0.2">
      <c r="E201" s="206"/>
      <c r="F201" s="3" t="s">
        <v>474</v>
      </c>
      <c r="H201" s="3" t="s">
        <v>476</v>
      </c>
      <c r="J201" s="25" t="s">
        <v>473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75" t="s">
        <v>650</v>
      </c>
      <c r="G204" s="375"/>
      <c r="H204" s="375"/>
      <c r="I204" s="375"/>
      <c r="J204" s="375"/>
      <c r="O204" s="245"/>
      <c r="P204" s="245"/>
    </row>
    <row r="207" spans="5:22" x14ac:dyDescent="0.2">
      <c r="E207" s="204" t="s">
        <v>418</v>
      </c>
      <c r="F207" s="252">
        <f>AS118</f>
        <v>196979.54401115695</v>
      </c>
      <c r="H207" s="252">
        <f>AN121</f>
        <v>111629.87125941603</v>
      </c>
      <c r="J207" s="252">
        <f>F207-H207</f>
        <v>85349.672751740916</v>
      </c>
    </row>
    <row r="208" spans="5:22" x14ac:dyDescent="0.2">
      <c r="E208" s="204" t="s">
        <v>419</v>
      </c>
      <c r="F208" s="252">
        <f>AT118</f>
        <v>25659.269681201535</v>
      </c>
      <c r="H208" s="252">
        <f t="shared" ref="H208:H220" si="47">AN122</f>
        <v>25401.419181033365</v>
      </c>
      <c r="J208" s="252">
        <f t="shared" ref="J208:J220" si="48">F208-H208</f>
        <v>257.85050016816967</v>
      </c>
      <c r="Q208" s="245"/>
      <c r="R208" s="245"/>
    </row>
    <row r="209" spans="5:14" x14ac:dyDescent="0.2">
      <c r="E209" s="204" t="s">
        <v>420</v>
      </c>
      <c r="F209" s="252">
        <f>AU118</f>
        <v>8852040.1283537373</v>
      </c>
      <c r="H209" s="252">
        <f t="shared" si="47"/>
        <v>8754289.6509102974</v>
      </c>
      <c r="J209" s="252">
        <f t="shared" si="48"/>
        <v>97750.477443439886</v>
      </c>
    </row>
    <row r="210" spans="5:14" x14ac:dyDescent="0.2">
      <c r="E210" s="204" t="s">
        <v>576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555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554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482</v>
      </c>
      <c r="H214" s="252">
        <f t="shared" si="47"/>
        <v>25394.240916408646</v>
      </c>
      <c r="I214" s="171" t="s">
        <v>478</v>
      </c>
      <c r="J214" s="252">
        <f t="shared" si="48"/>
        <v>34.678095164115803</v>
      </c>
    </row>
    <row r="215" spans="5:14" x14ac:dyDescent="0.2">
      <c r="E215" s="204" t="s">
        <v>462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1135809939.6500413</v>
      </c>
      <c r="J216" s="252">
        <f t="shared" si="48"/>
        <v>-57404829.121883392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14100010.581139561</v>
      </c>
      <c r="G220" s="171"/>
      <c r="H220" s="252">
        <f t="shared" si="47"/>
        <v>4658482.6242223633</v>
      </c>
      <c r="J220" s="252">
        <f t="shared" si="48"/>
        <v>9441527.9569171965</v>
      </c>
    </row>
    <row r="221" spans="5:14" x14ac:dyDescent="0.2">
      <c r="E221" s="206"/>
      <c r="F221" s="171" t="s">
        <v>472</v>
      </c>
      <c r="G221" s="171"/>
      <c r="H221" s="171" t="s">
        <v>469</v>
      </c>
      <c r="I221" s="171"/>
      <c r="J221" s="171" t="s">
        <v>483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600</v>
      </c>
      <c r="AO1" s="260"/>
      <c r="AP1" s="207" t="s">
        <v>418</v>
      </c>
      <c r="AQ1" s="207" t="s">
        <v>419</v>
      </c>
      <c r="AR1" s="207" t="s">
        <v>420</v>
      </c>
      <c r="AS1" s="207" t="s">
        <v>576</v>
      </c>
      <c r="AT1" s="207" t="s">
        <v>555</v>
      </c>
      <c r="AU1" s="207" t="s">
        <v>554</v>
      </c>
      <c r="AV1" s="207" t="s">
        <v>446</v>
      </c>
      <c r="AW1" s="207" t="s">
        <v>443</v>
      </c>
      <c r="AX1" s="207" t="s">
        <v>462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576</v>
      </c>
      <c r="BM1" s="207" t="s">
        <v>555</v>
      </c>
      <c r="BN1" s="207" t="s">
        <v>554</v>
      </c>
      <c r="BO1" s="207" t="s">
        <v>446</v>
      </c>
      <c r="BP1" s="207" t="s">
        <v>443</v>
      </c>
      <c r="BQ1" s="207" t="s">
        <v>462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481</v>
      </c>
      <c r="C6" s="284">
        <v>1</v>
      </c>
      <c r="AO6" s="204" t="s">
        <v>481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481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587</v>
      </c>
      <c r="C7" s="284">
        <v>1</v>
      </c>
      <c r="AO7" s="204" t="s">
        <v>587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587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588</v>
      </c>
      <c r="C8" s="284">
        <v>1</v>
      </c>
      <c r="AO8" s="204" t="s">
        <v>588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588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529</v>
      </c>
      <c r="C9" s="284">
        <v>1</v>
      </c>
      <c r="AO9" s="204" t="s">
        <v>529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529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580</v>
      </c>
      <c r="C10" s="284">
        <v>1</v>
      </c>
      <c r="AO10" s="204" t="s">
        <v>580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580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562</v>
      </c>
      <c r="C11" s="284">
        <v>1</v>
      </c>
      <c r="AO11" s="205" t="s">
        <v>562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562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527</v>
      </c>
      <c r="C12" s="284">
        <v>1</v>
      </c>
      <c r="AO12" s="204" t="s">
        <v>527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527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530</v>
      </c>
      <c r="C13" s="284">
        <v>1</v>
      </c>
      <c r="AO13" s="205" t="s">
        <v>530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530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557</v>
      </c>
      <c r="C14" s="284">
        <v>1</v>
      </c>
      <c r="AO14" s="204" t="s">
        <v>557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557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549</v>
      </c>
      <c r="C15" s="284">
        <v>1</v>
      </c>
      <c r="AO15" s="206" t="s">
        <v>549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549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534</v>
      </c>
      <c r="C16" s="284">
        <v>1</v>
      </c>
      <c r="AO16" s="204" t="s">
        <v>534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534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561</v>
      </c>
      <c r="C17" s="284">
        <v>1</v>
      </c>
      <c r="AO17" s="205" t="s">
        <v>561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561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556</v>
      </c>
      <c r="C18" s="284">
        <v>1</v>
      </c>
      <c r="AO18" s="205" t="s">
        <v>556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556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553</v>
      </c>
      <c r="C19" s="284">
        <v>1</v>
      </c>
      <c r="AO19" s="205" t="s">
        <v>553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553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559</v>
      </c>
      <c r="C20" s="284">
        <v>1</v>
      </c>
      <c r="AO20" s="205" t="s">
        <v>559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559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558</v>
      </c>
      <c r="C21" s="284">
        <v>1</v>
      </c>
      <c r="AO21" s="206" t="s">
        <v>558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558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542</v>
      </c>
      <c r="C22" s="284">
        <v>1</v>
      </c>
      <c r="AO22" s="206" t="s">
        <v>542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542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577</v>
      </c>
      <c r="C23" s="284">
        <v>1</v>
      </c>
      <c r="AO23" s="206" t="s">
        <v>577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577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543</v>
      </c>
      <c r="C24" s="284">
        <v>1</v>
      </c>
      <c r="AO24" s="206" t="s">
        <v>543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543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545</v>
      </c>
      <c r="C25" s="284">
        <v>1</v>
      </c>
      <c r="AO25" s="206" t="s">
        <v>545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545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544</v>
      </c>
      <c r="C26" s="284">
        <v>1</v>
      </c>
      <c r="AO26" s="206" t="s">
        <v>544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544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644</v>
      </c>
      <c r="C27" s="284">
        <v>1</v>
      </c>
      <c r="AO27" s="206" t="s">
        <v>644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644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540</v>
      </c>
      <c r="C28" s="284">
        <v>1</v>
      </c>
      <c r="AO28" s="253" t="s">
        <v>540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540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539</v>
      </c>
      <c r="C29" s="284">
        <v>1</v>
      </c>
      <c r="AO29" s="206" t="s">
        <v>539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539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541</v>
      </c>
      <c r="C30" s="284">
        <v>1</v>
      </c>
      <c r="AO30" s="204" t="s">
        <v>541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541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537</v>
      </c>
      <c r="C31" s="284">
        <v>1</v>
      </c>
      <c r="AO31" s="206" t="s">
        <v>537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537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565</v>
      </c>
      <c r="C32" s="284">
        <v>1</v>
      </c>
      <c r="AO32" s="206" t="s">
        <v>565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565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566</v>
      </c>
      <c r="C33" s="284">
        <v>1</v>
      </c>
      <c r="AO33" s="206" t="s">
        <v>566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566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567</v>
      </c>
      <c r="C34" s="284">
        <v>1</v>
      </c>
      <c r="AO34" s="206" t="s">
        <v>567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567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578</v>
      </c>
      <c r="C35" s="284">
        <v>1</v>
      </c>
      <c r="AO35" s="206" t="s">
        <v>578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578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594</v>
      </c>
      <c r="AO36" s="206"/>
      <c r="AP36" s="375" t="s">
        <v>591</v>
      </c>
      <c r="AQ36" s="375"/>
      <c r="AR36" s="375"/>
      <c r="AS36" s="375"/>
      <c r="AT36" s="375"/>
      <c r="AU36" s="375"/>
      <c r="AV36" s="375"/>
      <c r="AW36" s="375"/>
      <c r="AX36" s="375"/>
      <c r="AY36" s="375"/>
      <c r="AZ36" s="375"/>
      <c r="BA36" s="375"/>
      <c r="BB36" s="375"/>
      <c r="BC36" s="375"/>
      <c r="BH36" s="206"/>
      <c r="BI36" s="375" t="s">
        <v>592</v>
      </c>
      <c r="BJ36" s="375"/>
      <c r="BK36" s="375"/>
      <c r="BL36" s="375"/>
      <c r="BM36" s="375"/>
      <c r="BN36" s="375"/>
      <c r="BO36" s="375"/>
      <c r="BP36" s="375"/>
      <c r="BQ36" s="375"/>
      <c r="BR36" s="375"/>
      <c r="BS36" s="375"/>
      <c r="BT36" s="375"/>
      <c r="BU36" s="375"/>
      <c r="BV36" s="375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576</v>
      </c>
      <c r="AT39" s="207" t="s">
        <v>555</v>
      </c>
      <c r="AU39" s="207" t="s">
        <v>554</v>
      </c>
      <c r="AV39" s="207" t="s">
        <v>446</v>
      </c>
      <c r="AW39" s="207" t="s">
        <v>443</v>
      </c>
      <c r="AX39" s="207" t="s">
        <v>462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29.869958467081446</v>
      </c>
      <c r="AQ43" s="284">
        <f t="shared" si="3"/>
        <v>8.9625684461364291E-2</v>
      </c>
      <c r="AR43" s="284">
        <f t="shared" si="3"/>
        <v>7.104790060854917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481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587</v>
      </c>
      <c r="AP45" s="284">
        <f t="shared" ref="AP45:BC45" si="5">AP84</f>
        <v>2.05024783499473</v>
      </c>
      <c r="AQ45" s="284">
        <f t="shared" si="5"/>
        <v>5.6184061187345121E-3</v>
      </c>
      <c r="AR45" s="284">
        <f t="shared" si="5"/>
        <v>0.48766657832528126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588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529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580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562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527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530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557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549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534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561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556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553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559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558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542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577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543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545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544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644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540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539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541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537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565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566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567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578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75" t="s">
        <v>593</v>
      </c>
      <c r="AQ74" s="375"/>
      <c r="AR74" s="375"/>
      <c r="AS74" s="375"/>
      <c r="AT74" s="375"/>
      <c r="AU74" s="375"/>
      <c r="AV74" s="375"/>
      <c r="AW74" s="375"/>
      <c r="AX74" s="375"/>
      <c r="AY74" s="375"/>
      <c r="AZ74" s="375"/>
      <c r="BA74" s="375"/>
      <c r="BB74" s="375"/>
      <c r="BC74" s="375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576</v>
      </c>
      <c r="AT78" s="207" t="s">
        <v>555</v>
      </c>
      <c r="AU78" s="207" t="s">
        <v>554</v>
      </c>
      <c r="AV78" s="207" t="s">
        <v>446</v>
      </c>
      <c r="AW78" s="207" t="s">
        <v>443</v>
      </c>
      <c r="AX78" s="207" t="s">
        <v>462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29.869958467081446</v>
      </c>
      <c r="AQ82" s="230">
        <f>'Ore-&gt;PI'!T163</f>
        <v>8.9625684461364291E-2</v>
      </c>
      <c r="AR82" s="230">
        <f>'Ore-&gt;PI'!T236</f>
        <v>7.104790060854917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4638.0595220080186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481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481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587</v>
      </c>
      <c r="AP84" s="230">
        <f>'Ore-&gt;PI'!T59</f>
        <v>2.05024783499473</v>
      </c>
      <c r="AQ84" s="230">
        <f>'Ore-&gt;PI'!T140</f>
        <v>5.6184061187345121E-3</v>
      </c>
      <c r="AR84" s="230">
        <f>'Ore-&gt;PI'!T222</f>
        <v>0.48766657832528126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2.5435328194387457</v>
      </c>
      <c r="BH84" s="204" t="s">
        <v>587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588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588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529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529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580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580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562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562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527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527</v>
      </c>
      <c r="BI89" s="244"/>
      <c r="BJ89" s="244">
        <f>'Ore-&gt;PI'!AL63</f>
        <v>31.920206302076174</v>
      </c>
      <c r="BK89" s="252">
        <f t="shared" si="36"/>
        <v>31.920206302076174</v>
      </c>
    </row>
    <row r="90" spans="32:68" ht="16" x14ac:dyDescent="0.2">
      <c r="AF90" s="206"/>
      <c r="AO90" s="205" t="s">
        <v>530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530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557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557</v>
      </c>
      <c r="BI91" s="244"/>
      <c r="BJ91" s="244">
        <f>'Ore-&gt;PI'!AM142</f>
        <v>9.5761232166267446E-2</v>
      </c>
      <c r="BK91" s="252">
        <f t="shared" si="36"/>
        <v>9.5761232166267446E-2</v>
      </c>
    </row>
    <row r="92" spans="32:68" x14ac:dyDescent="0.2">
      <c r="AF92" s="206"/>
      <c r="AO92" s="206" t="s">
        <v>549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549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534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534</v>
      </c>
      <c r="BI93" s="244"/>
      <c r="BJ93" s="244">
        <f>'Ore-&gt;PI'!AM227</f>
        <v>7.5924566391801989</v>
      </c>
      <c r="BK93" s="252">
        <f t="shared" si="36"/>
        <v>7.5924566391801989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561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561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556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556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553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553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559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559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558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558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542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542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577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577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543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543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545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545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544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544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644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644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540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540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539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539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541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541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537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537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565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565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566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566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567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567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578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578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75" t="s">
        <v>421</v>
      </c>
      <c r="AQ113" s="375"/>
      <c r="AR113" s="375"/>
      <c r="AS113" s="375"/>
      <c r="AT113" s="375"/>
      <c r="AU113" s="375"/>
      <c r="AV113" s="375"/>
      <c r="AW113" s="375"/>
      <c r="AX113" s="375"/>
      <c r="AY113" s="375"/>
      <c r="AZ113" s="375"/>
      <c r="BA113" s="375"/>
      <c r="BB113" s="375"/>
      <c r="BC113" s="375"/>
      <c r="BD113" s="25" t="s">
        <v>473</v>
      </c>
      <c r="BI113" s="375" t="s">
        <v>423</v>
      </c>
      <c r="BJ113" s="375"/>
      <c r="BK113" s="25" t="s">
        <v>488</v>
      </c>
    </row>
    <row r="114" spans="2:63" x14ac:dyDescent="0.2">
      <c r="AF114" s="206"/>
      <c r="AO114" s="206"/>
      <c r="AP114" s="252">
        <f>SUM(AP79:AP112)</f>
        <v>1043.6876723039813</v>
      </c>
      <c r="AQ114" s="252">
        <f>SUM(AQ79:AQ112)</f>
        <v>208.65136460942125</v>
      </c>
      <c r="AR114" s="252">
        <f>SUM(AR79:AR112)</f>
        <v>294.47651184131928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76"/>
      <c r="D115" s="376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75" t="s">
        <v>472</v>
      </c>
      <c r="AQ115" s="375"/>
      <c r="AR115" s="375"/>
      <c r="AS115" s="375"/>
      <c r="AT115" s="375"/>
      <c r="AU115" s="375"/>
      <c r="AV115" s="375"/>
      <c r="AW115" s="375"/>
      <c r="AX115" s="375"/>
      <c r="AY115" s="375"/>
      <c r="AZ115" s="375"/>
      <c r="BA115" s="375"/>
      <c r="BB115" s="375"/>
      <c r="BC115" s="375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481</v>
      </c>
      <c r="H116" s="207" t="s">
        <v>525</v>
      </c>
      <c r="I116" s="207" t="s">
        <v>587</v>
      </c>
      <c r="J116" s="207" t="s">
        <v>588</v>
      </c>
      <c r="K116" s="207" t="s">
        <v>580</v>
      </c>
      <c r="L116" s="209" t="s">
        <v>562</v>
      </c>
      <c r="M116" s="207" t="s">
        <v>527</v>
      </c>
      <c r="N116" s="209" t="s">
        <v>530</v>
      </c>
      <c r="O116" s="207" t="s">
        <v>557</v>
      </c>
      <c r="P116" s="210" t="s">
        <v>549</v>
      </c>
      <c r="Q116" s="207" t="s">
        <v>534</v>
      </c>
      <c r="R116" s="209" t="s">
        <v>561</v>
      </c>
      <c r="S116" s="209" t="s">
        <v>556</v>
      </c>
      <c r="T116" s="209" t="s">
        <v>553</v>
      </c>
      <c r="U116" s="209" t="s">
        <v>559</v>
      </c>
      <c r="V116" s="210" t="s">
        <v>558</v>
      </c>
      <c r="W116" s="210" t="s">
        <v>542</v>
      </c>
      <c r="X116" s="210" t="s">
        <v>577</v>
      </c>
      <c r="Y116" s="210" t="s">
        <v>543</v>
      </c>
      <c r="Z116" s="210" t="s">
        <v>545</v>
      </c>
      <c r="AA116" s="210" t="s">
        <v>544</v>
      </c>
      <c r="AB116" s="210" t="s">
        <v>644</v>
      </c>
      <c r="AC116" s="232" t="s">
        <v>540</v>
      </c>
      <c r="AD116" s="210" t="s">
        <v>539</v>
      </c>
      <c r="AE116" s="207" t="s">
        <v>541</v>
      </c>
      <c r="AF116" s="210" t="s">
        <v>537</v>
      </c>
      <c r="AG116" s="210" t="s">
        <v>565</v>
      </c>
      <c r="AH116" s="210" t="s">
        <v>566</v>
      </c>
      <c r="AI116" s="210" t="s">
        <v>567</v>
      </c>
      <c r="AJ116" s="210" t="s">
        <v>578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31.920206302076174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1043.6876723039813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9.5761232166267446E-2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208.65136460942125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7.5924566391801989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294.47651184131928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576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555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554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462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75" t="s">
        <v>422</v>
      </c>
      <c r="D131" s="375"/>
      <c r="E131" s="375"/>
      <c r="F131" s="375"/>
      <c r="G131" s="375"/>
      <c r="H131" s="375"/>
      <c r="I131" s="375"/>
      <c r="J131" s="375"/>
      <c r="K131" s="375"/>
      <c r="L131" s="375"/>
      <c r="M131" s="375"/>
      <c r="N131" s="375"/>
      <c r="O131" s="375"/>
      <c r="P131" s="375"/>
      <c r="Q131" s="375"/>
      <c r="R131" s="375"/>
      <c r="S131" s="375"/>
      <c r="T131" s="375"/>
      <c r="U131" s="375"/>
      <c r="V131" s="375"/>
      <c r="W131" s="375"/>
      <c r="X131" s="375"/>
      <c r="Y131" s="375"/>
      <c r="Z131" s="375"/>
      <c r="AA131" s="375"/>
      <c r="AB131" s="375"/>
      <c r="AC131" s="375"/>
      <c r="AD131" s="375"/>
      <c r="AE131" s="375"/>
      <c r="AF131" s="375"/>
      <c r="AG131" s="375"/>
      <c r="AH131" s="375"/>
      <c r="AI131" s="375"/>
      <c r="AJ131" s="375"/>
      <c r="AK131" s="25" t="s">
        <v>469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31.920206302076174</v>
      </c>
      <c r="N132" s="252">
        <f t="shared" si="40"/>
        <v>208.55560337725498</v>
      </c>
      <c r="O132" s="252">
        <f t="shared" si="40"/>
        <v>9.5761232166267446E-2</v>
      </c>
      <c r="P132" s="252">
        <f t="shared" si="40"/>
        <v>286.88405520213911</v>
      </c>
      <c r="Q132" s="252">
        <f t="shared" si="40"/>
        <v>7.5924566391801989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75" t="s">
        <v>470</v>
      </c>
      <c r="D133" s="375"/>
      <c r="E133" s="375"/>
      <c r="F133" s="375"/>
      <c r="G133" s="375"/>
      <c r="H133" s="375"/>
      <c r="I133" s="375"/>
      <c r="J133" s="375"/>
      <c r="K133" s="375"/>
      <c r="L133" s="375"/>
      <c r="M133" s="375"/>
      <c r="N133" s="375"/>
      <c r="O133" s="375"/>
      <c r="P133" s="375"/>
      <c r="Q133" s="375"/>
      <c r="R133" s="375"/>
      <c r="S133" s="375"/>
      <c r="T133" s="375"/>
      <c r="U133" s="375"/>
      <c r="V133" s="375"/>
      <c r="W133" s="375"/>
      <c r="X133" s="375"/>
      <c r="Y133" s="375"/>
      <c r="Z133" s="375"/>
      <c r="AA133" s="375"/>
      <c r="AB133" s="375"/>
      <c r="AC133" s="375"/>
      <c r="AD133" s="375"/>
      <c r="AE133" s="375"/>
      <c r="AF133" s="375"/>
      <c r="AG133" s="375"/>
      <c r="AH133" s="375"/>
      <c r="AI133" s="375"/>
      <c r="AJ133" s="375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481</v>
      </c>
      <c r="H144" s="207" t="s">
        <v>525</v>
      </c>
      <c r="I144" s="207" t="s">
        <v>587</v>
      </c>
      <c r="J144" s="207" t="s">
        <v>588</v>
      </c>
      <c r="K144" s="207" t="s">
        <v>580</v>
      </c>
      <c r="L144" s="209" t="s">
        <v>562</v>
      </c>
      <c r="M144" s="207" t="s">
        <v>527</v>
      </c>
      <c r="N144" s="209" t="s">
        <v>530</v>
      </c>
      <c r="O144" s="207" t="s">
        <v>557</v>
      </c>
      <c r="P144" s="210" t="s">
        <v>549</v>
      </c>
      <c r="Q144" s="207" t="s">
        <v>534</v>
      </c>
      <c r="R144" s="209" t="s">
        <v>561</v>
      </c>
      <c r="S144" s="209" t="s">
        <v>556</v>
      </c>
      <c r="T144" s="209" t="s">
        <v>553</v>
      </c>
      <c r="U144" s="209" t="s">
        <v>559</v>
      </c>
      <c r="V144" s="210" t="s">
        <v>558</v>
      </c>
      <c r="W144" s="210" t="s">
        <v>542</v>
      </c>
      <c r="X144" s="210" t="s">
        <v>577</v>
      </c>
      <c r="Y144" s="210" t="s">
        <v>543</v>
      </c>
      <c r="Z144" s="210" t="s">
        <v>545</v>
      </c>
      <c r="AA144" s="210" t="s">
        <v>544</v>
      </c>
      <c r="AB144" s="210" t="s">
        <v>644</v>
      </c>
      <c r="AC144" s="232" t="s">
        <v>540</v>
      </c>
      <c r="AD144" s="210" t="s">
        <v>539</v>
      </c>
      <c r="AE144" s="207" t="s">
        <v>541</v>
      </c>
      <c r="AF144" s="210" t="s">
        <v>537</v>
      </c>
      <c r="AG144" s="210" t="s">
        <v>565</v>
      </c>
      <c r="AH144" s="210" t="s">
        <v>566</v>
      </c>
      <c r="AI144" s="210" t="s">
        <v>567</v>
      </c>
      <c r="AJ144" s="210" t="s">
        <v>578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487</v>
      </c>
      <c r="C148" s="244"/>
      <c r="D148" s="244"/>
      <c r="E148" s="244"/>
      <c r="F148" s="250">
        <f>'Ore-&gt;PI'!EF140+'Ore-&gt;PI'!BW140+'Ore-&gt;PI'!T163+'Ore-&gt;PI'!T72+'Ore-&gt;PI'!BW242+'Ore-&gt;PI'!T236</f>
        <v>4638.0595220080186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480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590</v>
      </c>
      <c r="C150" s="244"/>
      <c r="D150" s="244"/>
      <c r="E150" s="244"/>
      <c r="F150" s="244"/>
      <c r="G150" s="244"/>
      <c r="H150" s="244">
        <f>'Ore-&gt;PI'!T222+'Ore-&gt;PI'!T140+'Ore-&gt;PI'!T59</f>
        <v>2.5435328194387457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589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528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579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75" t="s">
        <v>57</v>
      </c>
      <c r="D154" s="375"/>
      <c r="E154" s="375"/>
      <c r="F154" s="375"/>
      <c r="G154" s="375"/>
      <c r="H154" s="375"/>
      <c r="I154" s="375"/>
      <c r="J154" s="375"/>
      <c r="K154" s="375"/>
      <c r="L154" s="375"/>
      <c r="M154" s="375"/>
      <c r="N154" s="375"/>
      <c r="O154" s="375"/>
      <c r="P154" s="375"/>
      <c r="Q154" s="375"/>
      <c r="R154" s="375"/>
      <c r="S154" s="375"/>
      <c r="T154" s="375"/>
      <c r="U154" s="375"/>
      <c r="V154" s="375"/>
      <c r="W154" s="375"/>
      <c r="X154" s="375"/>
      <c r="Y154" s="375"/>
      <c r="Z154" s="375"/>
      <c r="AA154" s="375"/>
      <c r="AB154" s="375"/>
      <c r="AC154" s="375"/>
      <c r="AD154" s="375"/>
      <c r="AE154" s="375"/>
      <c r="AF154" s="375"/>
      <c r="AG154" s="375"/>
      <c r="AH154" s="375"/>
      <c r="AI154" s="375"/>
      <c r="AJ154" s="375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4638.0595220080186</v>
      </c>
      <c r="G155" s="252">
        <f t="shared" si="41"/>
        <v>20860.054673363149</v>
      </c>
      <c r="H155" s="252">
        <f t="shared" si="41"/>
        <v>2.5435328194387457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75" t="s">
        <v>471</v>
      </c>
      <c r="D156" s="375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5"/>
      <c r="P156" s="375"/>
      <c r="Q156" s="375"/>
      <c r="R156" s="375"/>
      <c r="S156" s="375"/>
      <c r="T156" s="375"/>
      <c r="U156" s="375"/>
      <c r="V156" s="375"/>
      <c r="W156" s="375"/>
      <c r="X156" s="375"/>
      <c r="Y156" s="375"/>
      <c r="Z156" s="375"/>
      <c r="AA156" s="375"/>
      <c r="AB156" s="375"/>
      <c r="AC156" s="375"/>
      <c r="AD156" s="375"/>
      <c r="AE156" s="375"/>
      <c r="AF156" s="375"/>
      <c r="AG156" s="375"/>
      <c r="AH156" s="375"/>
      <c r="AI156" s="375"/>
      <c r="AJ156" s="375"/>
      <c r="AK156" s="25"/>
      <c r="AL156" s="25"/>
    </row>
    <row r="160" spans="2:42" x14ac:dyDescent="0.2">
      <c r="C160" s="375" t="s">
        <v>468</v>
      </c>
      <c r="D160" s="375"/>
      <c r="E160" s="375"/>
      <c r="F160" s="375"/>
      <c r="G160" s="375"/>
      <c r="H160" s="375"/>
      <c r="I160" s="375"/>
      <c r="J160" s="375"/>
      <c r="K160" s="375"/>
      <c r="L160" s="412"/>
      <c r="M160" s="412"/>
      <c r="N160" s="412"/>
      <c r="O160" s="412"/>
      <c r="P160" s="412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413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413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413">
        <f>C165+E165-G165-I165</f>
        <v>0</v>
      </c>
    </row>
    <row r="166" spans="2:11" x14ac:dyDescent="0.2">
      <c r="B166" s="204" t="s">
        <v>450</v>
      </c>
      <c r="C166" s="252">
        <f>F155</f>
        <v>4638.0595220080186</v>
      </c>
      <c r="E166" s="252">
        <v>0</v>
      </c>
      <c r="G166" s="252">
        <f t="shared" si="42"/>
        <v>4638.0595220080186</v>
      </c>
      <c r="I166" s="252">
        <v>0</v>
      </c>
      <c r="K166" s="413">
        <f>ROUND(C166+E166-G166-I166, 10)</f>
        <v>0</v>
      </c>
    </row>
    <row r="167" spans="2:11" x14ac:dyDescent="0.2">
      <c r="B167" s="204" t="s">
        <v>481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413">
        <f t="shared" ref="K167:K182" si="43">C167+E167-G167-I167</f>
        <v>0</v>
      </c>
    </row>
    <row r="168" spans="2:11" x14ac:dyDescent="0.2">
      <c r="B168" s="204" t="s">
        <v>525</v>
      </c>
      <c r="C168" s="252">
        <f>H155</f>
        <v>2.5435328194387457</v>
      </c>
      <c r="E168" s="252">
        <v>0</v>
      </c>
      <c r="G168" s="252">
        <f t="shared" si="42"/>
        <v>2.5435328194387457</v>
      </c>
      <c r="I168" s="252">
        <v>0</v>
      </c>
      <c r="K168" s="413">
        <f t="shared" si="43"/>
        <v>0</v>
      </c>
    </row>
    <row r="169" spans="2:11" x14ac:dyDescent="0.2">
      <c r="B169" s="204" t="s">
        <v>526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413">
        <f t="shared" si="43"/>
        <v>0</v>
      </c>
    </row>
    <row r="170" spans="2:11" x14ac:dyDescent="0.2">
      <c r="B170" s="204" t="s">
        <v>529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413">
        <f t="shared" si="43"/>
        <v>0</v>
      </c>
    </row>
    <row r="171" spans="2:11" x14ac:dyDescent="0.2">
      <c r="B171" s="204" t="s">
        <v>580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413">
        <f t="shared" si="43"/>
        <v>0</v>
      </c>
    </row>
    <row r="172" spans="2:11" ht="16" x14ac:dyDescent="0.2">
      <c r="B172" s="205" t="s">
        <v>562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413">
        <f t="shared" si="43"/>
        <v>0</v>
      </c>
    </row>
    <row r="173" spans="2:11" x14ac:dyDescent="0.2">
      <c r="B173" s="204" t="s">
        <v>527</v>
      </c>
      <c r="C173" s="252">
        <f>M155</f>
        <v>0</v>
      </c>
      <c r="E173" s="252">
        <v>31.920206302076174</v>
      </c>
      <c r="G173" s="252">
        <f t="shared" si="42"/>
        <v>0</v>
      </c>
      <c r="I173" s="252">
        <v>31.920206302076174</v>
      </c>
      <c r="K173" s="413">
        <f t="shared" si="43"/>
        <v>0</v>
      </c>
    </row>
    <row r="174" spans="2:11" ht="16" x14ac:dyDescent="0.2">
      <c r="B174" s="205" t="s">
        <v>530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413">
        <f t="shared" si="43"/>
        <v>0</v>
      </c>
    </row>
    <row r="175" spans="2:11" x14ac:dyDescent="0.2">
      <c r="B175" s="204" t="s">
        <v>557</v>
      </c>
      <c r="C175" s="252">
        <f>O155</f>
        <v>0</v>
      </c>
      <c r="E175" s="252">
        <v>9.5761232166267446E-2</v>
      </c>
      <c r="G175" s="252">
        <f t="shared" si="42"/>
        <v>0</v>
      </c>
      <c r="I175" s="252">
        <v>9.5761232166267446E-2</v>
      </c>
      <c r="K175" s="413">
        <f t="shared" si="43"/>
        <v>0</v>
      </c>
    </row>
    <row r="176" spans="2:11" x14ac:dyDescent="0.2">
      <c r="B176" s="206" t="s">
        <v>549</v>
      </c>
      <c r="C176" s="252">
        <f>P155</f>
        <v>0</v>
      </c>
      <c r="D176" s="259" t="s">
        <v>475</v>
      </c>
      <c r="E176" s="252">
        <v>286.88405520213911</v>
      </c>
      <c r="F176" s="171" t="s">
        <v>477</v>
      </c>
      <c r="G176" s="252">
        <f t="shared" si="42"/>
        <v>286.88405520213911</v>
      </c>
      <c r="H176" s="171" t="s">
        <v>477</v>
      </c>
      <c r="I176" s="252">
        <v>0</v>
      </c>
      <c r="J176" s="259" t="s">
        <v>478</v>
      </c>
      <c r="K176" s="413">
        <f t="shared" si="43"/>
        <v>0</v>
      </c>
    </row>
    <row r="177" spans="2:18" x14ac:dyDescent="0.2">
      <c r="B177" s="204" t="s">
        <v>534</v>
      </c>
      <c r="C177" s="252">
        <f>Q155</f>
        <v>0</v>
      </c>
      <c r="E177" s="252">
        <v>7.5924566391801989</v>
      </c>
      <c r="G177" s="252">
        <f t="shared" si="42"/>
        <v>0</v>
      </c>
      <c r="I177" s="252">
        <v>7.5924566391801989</v>
      </c>
      <c r="K177" s="413">
        <f t="shared" si="43"/>
        <v>0</v>
      </c>
    </row>
    <row r="178" spans="2:18" ht="16" x14ac:dyDescent="0.2">
      <c r="B178" s="205" t="s">
        <v>561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413">
        <f t="shared" si="43"/>
        <v>0</v>
      </c>
    </row>
    <row r="179" spans="2:18" ht="16" x14ac:dyDescent="0.2">
      <c r="B179" s="205" t="s">
        <v>556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413">
        <f t="shared" si="43"/>
        <v>0</v>
      </c>
    </row>
    <row r="180" spans="2:18" ht="16" x14ac:dyDescent="0.2">
      <c r="B180" s="205" t="s">
        <v>553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413">
        <f t="shared" si="43"/>
        <v>0</v>
      </c>
    </row>
    <row r="181" spans="2:18" ht="16" x14ac:dyDescent="0.2">
      <c r="B181" s="205" t="s">
        <v>559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413">
        <f t="shared" si="43"/>
        <v>0</v>
      </c>
    </row>
    <row r="182" spans="2:18" x14ac:dyDescent="0.2">
      <c r="B182" s="206" t="s">
        <v>558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413">
        <f t="shared" si="43"/>
        <v>0</v>
      </c>
    </row>
    <row r="183" spans="2:18" x14ac:dyDescent="0.2">
      <c r="B183" s="206" t="s">
        <v>542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413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577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413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543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413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545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413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544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413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644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413">
        <f t="shared" si="45"/>
        <v>0</v>
      </c>
    </row>
    <row r="189" spans="2:18" ht="16" x14ac:dyDescent="0.2">
      <c r="B189" s="253" t="s">
        <v>540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413">
        <f t="shared" si="45"/>
        <v>0</v>
      </c>
    </row>
    <row r="190" spans="2:18" x14ac:dyDescent="0.2">
      <c r="B190" s="206" t="s">
        <v>539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413">
        <f t="shared" ref="K190:K196" si="46">C190+E190-G190-I190</f>
        <v>0</v>
      </c>
      <c r="L190" s="25"/>
    </row>
    <row r="191" spans="2:18" x14ac:dyDescent="0.2">
      <c r="B191" s="204" t="s">
        <v>541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413">
        <f t="shared" si="46"/>
        <v>0</v>
      </c>
    </row>
    <row r="192" spans="2:18" x14ac:dyDescent="0.2">
      <c r="B192" s="206" t="s">
        <v>537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413">
        <f t="shared" si="46"/>
        <v>0</v>
      </c>
    </row>
    <row r="193" spans="2:19" x14ac:dyDescent="0.2">
      <c r="B193" s="206" t="s">
        <v>565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413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566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413">
        <f t="shared" si="46"/>
        <v>0</v>
      </c>
    </row>
    <row r="195" spans="2:19" x14ac:dyDescent="0.2">
      <c r="B195" s="206" t="s">
        <v>567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413">
        <f t="shared" si="46"/>
        <v>0</v>
      </c>
    </row>
    <row r="196" spans="2:19" x14ac:dyDescent="0.2">
      <c r="B196" s="206" t="s">
        <v>578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413">
        <f t="shared" si="46"/>
        <v>0</v>
      </c>
    </row>
    <row r="197" spans="2:19" ht="17" x14ac:dyDescent="0.2">
      <c r="B197" s="206"/>
      <c r="C197" s="3" t="s">
        <v>474</v>
      </c>
      <c r="E197" s="3" t="s">
        <v>476</v>
      </c>
      <c r="G197" s="25" t="s">
        <v>473</v>
      </c>
      <c r="I197" s="25" t="s">
        <v>39</v>
      </c>
      <c r="K197" s="25">
        <f>SUM(K163:K196)</f>
        <v>0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75" t="s">
        <v>479</v>
      </c>
      <c r="D200" s="375"/>
      <c r="E200" s="375"/>
      <c r="F200" s="375"/>
      <c r="G200" s="375"/>
      <c r="L200" s="245"/>
      <c r="M200" s="245"/>
    </row>
    <row r="203" spans="2:19" x14ac:dyDescent="0.2">
      <c r="B203" s="204" t="s">
        <v>418</v>
      </c>
      <c r="C203" s="252">
        <f>AP114</f>
        <v>1043.6876723039813</v>
      </c>
      <c r="E203" s="252">
        <f>AK117</f>
        <v>1043.6876723039813</v>
      </c>
      <c r="G203" s="413">
        <f>C203-E203</f>
        <v>0</v>
      </c>
    </row>
    <row r="204" spans="2:19" x14ac:dyDescent="0.2">
      <c r="B204" s="204" t="s">
        <v>419</v>
      </c>
      <c r="C204" s="252">
        <f>AQ114</f>
        <v>208.65136460942125</v>
      </c>
      <c r="E204" s="252">
        <f t="shared" ref="E204:E216" si="47">AK118</f>
        <v>208.65136460942125</v>
      </c>
      <c r="G204" s="413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294.47651184131928</v>
      </c>
      <c r="E205" s="252">
        <f t="shared" si="47"/>
        <v>294.47651184131928</v>
      </c>
      <c r="G205" s="413">
        <f t="shared" si="48"/>
        <v>0</v>
      </c>
    </row>
    <row r="206" spans="2:19" x14ac:dyDescent="0.2">
      <c r="B206" s="204" t="s">
        <v>576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413">
        <f t="shared" si="48"/>
        <v>0</v>
      </c>
    </row>
    <row r="207" spans="2:19" x14ac:dyDescent="0.2">
      <c r="B207" s="204" t="s">
        <v>555</v>
      </c>
      <c r="C207" s="252">
        <f>AT114</f>
        <v>208.55560337725498</v>
      </c>
      <c r="E207" s="252">
        <f t="shared" si="47"/>
        <v>208.55560337725498</v>
      </c>
      <c r="G207" s="413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554</v>
      </c>
      <c r="C208" s="252">
        <f>AU114</f>
        <v>286.88405520213911</v>
      </c>
      <c r="E208" s="252">
        <f t="shared" si="47"/>
        <v>286.88405520213911</v>
      </c>
      <c r="G208" s="413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413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482</v>
      </c>
      <c r="E210" s="252">
        <f t="shared" si="47"/>
        <v>208.55560337725498</v>
      </c>
      <c r="F210" s="171" t="s">
        <v>478</v>
      </c>
      <c r="G210" s="413">
        <f t="shared" si="48"/>
        <v>0</v>
      </c>
    </row>
    <row r="211" spans="2:11" x14ac:dyDescent="0.2">
      <c r="B211" s="204" t="s">
        <v>462</v>
      </c>
      <c r="C211" s="252">
        <f>AX114</f>
        <v>286.88405520213911</v>
      </c>
      <c r="E211" s="252">
        <f t="shared" si="47"/>
        <v>286.88405520213911</v>
      </c>
      <c r="G211" s="413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413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413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413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413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413">
        <f t="shared" si="48"/>
        <v>0</v>
      </c>
    </row>
    <row r="217" spans="2:11" x14ac:dyDescent="0.2">
      <c r="B217" s="206"/>
      <c r="C217" s="171" t="s">
        <v>472</v>
      </c>
      <c r="D217" s="171"/>
      <c r="E217" s="171" t="s">
        <v>469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75" t="s">
        <v>423</v>
      </c>
      <c r="AD50" s="375"/>
      <c r="AE50" s="375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75" t="s">
        <v>421</v>
      </c>
      <c r="L53" s="375"/>
      <c r="M53" s="375"/>
      <c r="N53" s="375"/>
      <c r="O53" s="375"/>
      <c r="P53" s="375"/>
      <c r="Q53" s="375"/>
      <c r="R53" s="375"/>
      <c r="S53" s="375"/>
      <c r="T53" s="375"/>
      <c r="U53" s="375"/>
      <c r="V53" s="375"/>
      <c r="W53" s="375"/>
      <c r="AD53" s="25"/>
      <c r="AE53" s="25"/>
      <c r="AF53" s="25"/>
      <c r="AG53" s="25"/>
      <c r="AH53" s="25"/>
      <c r="AI53" s="25"/>
    </row>
    <row r="58" spans="2:35" x14ac:dyDescent="0.2">
      <c r="C58" s="376"/>
      <c r="D58" s="376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75" t="s">
        <v>422</v>
      </c>
      <c r="D73" s="375"/>
      <c r="E73" s="375"/>
      <c r="F73" s="375"/>
      <c r="G73" s="375"/>
      <c r="H73" s="375"/>
      <c r="I73" s="375"/>
      <c r="J73" s="375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75" t="s">
        <v>57</v>
      </c>
      <c r="D92" s="375"/>
      <c r="E92" s="375"/>
      <c r="F92" s="375"/>
      <c r="G92" s="375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4" t="s">
        <v>318</v>
      </c>
      <c r="E2" s="304"/>
      <c r="F2" s="304"/>
      <c r="G2" s="304"/>
      <c r="V2" s="166"/>
    </row>
    <row r="3" spans="2:22" x14ac:dyDescent="0.2">
      <c r="B3" s="3"/>
      <c r="C3" s="3"/>
      <c r="D3" s="400" t="s">
        <v>83</v>
      </c>
      <c r="E3" s="400"/>
      <c r="F3" s="400"/>
      <c r="G3" s="400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80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77" t="s">
        <v>356</v>
      </c>
      <c r="S4" s="377"/>
      <c r="T4" s="377"/>
      <c r="U4" s="377"/>
      <c r="V4" s="166"/>
    </row>
    <row r="5" spans="2:22" ht="14.5" customHeight="1" x14ac:dyDescent="0.2">
      <c r="B5" s="380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77"/>
      <c r="S5" s="377"/>
      <c r="T5" s="377"/>
      <c r="U5" s="377"/>
      <c r="V5" s="166"/>
    </row>
    <row r="6" spans="2:22" x14ac:dyDescent="0.2">
      <c r="B6" s="380"/>
      <c r="C6" s="149" t="s">
        <v>649</v>
      </c>
      <c r="D6" s="3">
        <f>Student_MEROI_Iron</f>
        <v>1.2482139892596125</v>
      </c>
      <c r="E6" s="3">
        <f>Student_IronExtraction</f>
        <v>0.56670793822679022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77"/>
      <c r="S6" s="377"/>
      <c r="T6" s="377"/>
      <c r="U6" s="377"/>
      <c r="V6" s="166"/>
    </row>
    <row r="7" spans="2:22" ht="16" thickBot="1" x14ac:dyDescent="0.25">
      <c r="B7" s="380"/>
      <c r="C7" s="148" t="s">
        <v>409</v>
      </c>
      <c r="D7" s="165">
        <f>Product_MEROI_Iron</f>
        <v>1.0480771193974399</v>
      </c>
      <c r="E7" s="3">
        <f>Product_IronExtraction</f>
        <v>0.46562872171536246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78"/>
      <c r="S7" s="378"/>
      <c r="T7" s="378"/>
      <c r="U7" s="378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77" t="s">
        <v>355</v>
      </c>
      <c r="Q8" s="393"/>
      <c r="R8" s="395" t="s">
        <v>342</v>
      </c>
      <c r="S8" s="396"/>
      <c r="T8" s="381" t="s">
        <v>409</v>
      </c>
      <c r="U8" s="382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77"/>
      <c r="Q9" s="393"/>
      <c r="R9" s="397"/>
      <c r="S9" s="398"/>
      <c r="T9" s="383"/>
      <c r="U9" s="384"/>
      <c r="V9" s="166"/>
    </row>
    <row r="10" spans="2:22" x14ac:dyDescent="0.2">
      <c r="L10" s="3"/>
      <c r="M10" s="3"/>
      <c r="O10" s="166"/>
      <c r="P10" s="377"/>
      <c r="Q10" s="393"/>
      <c r="R10" s="397"/>
      <c r="S10" s="398"/>
      <c r="T10" s="383"/>
      <c r="U10" s="384"/>
      <c r="V10" s="166"/>
    </row>
    <row r="11" spans="2:22" x14ac:dyDescent="0.2">
      <c r="B11" s="3"/>
      <c r="C11" s="3"/>
      <c r="D11" s="304" t="s">
        <v>318</v>
      </c>
      <c r="E11" s="304"/>
      <c r="F11" s="304"/>
      <c r="G11" s="304"/>
      <c r="H11" s="304"/>
      <c r="L11" s="3"/>
      <c r="M11" s="3"/>
      <c r="O11" s="166"/>
      <c r="P11" s="377"/>
      <c r="Q11" s="393"/>
      <c r="R11" s="397"/>
      <c r="S11" s="398"/>
      <c r="T11" s="383"/>
      <c r="U11" s="384"/>
      <c r="V11" s="166"/>
    </row>
    <row r="12" spans="2:22" x14ac:dyDescent="0.2">
      <c r="B12" s="3"/>
      <c r="C12" s="3"/>
      <c r="D12" s="400" t="s">
        <v>83</v>
      </c>
      <c r="E12" s="400"/>
      <c r="F12" s="400"/>
      <c r="G12" s="400"/>
      <c r="H12" s="400"/>
      <c r="L12" s="3"/>
      <c r="M12" s="3"/>
      <c r="O12" s="166"/>
      <c r="P12" s="394" t="s">
        <v>408</v>
      </c>
      <c r="Q12" s="393"/>
      <c r="R12" s="389" t="s">
        <v>317</v>
      </c>
      <c r="S12" s="390"/>
      <c r="T12" s="385" t="s">
        <v>649</v>
      </c>
      <c r="U12" s="386"/>
      <c r="V12" s="166"/>
    </row>
    <row r="13" spans="2:22" ht="14.5" customHeight="1" x14ac:dyDescent="0.2">
      <c r="B13" s="379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77"/>
      <c r="Q13" s="393"/>
      <c r="R13" s="389"/>
      <c r="S13" s="390"/>
      <c r="T13" s="385"/>
      <c r="U13" s="386"/>
      <c r="V13" s="166"/>
    </row>
    <row r="14" spans="2:22" x14ac:dyDescent="0.2">
      <c r="B14" s="379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77"/>
      <c r="Q14" s="393"/>
      <c r="R14" s="389"/>
      <c r="S14" s="390"/>
      <c r="T14" s="385"/>
      <c r="U14" s="386"/>
      <c r="V14" s="166"/>
    </row>
    <row r="15" spans="2:22" ht="16" thickBot="1" x14ac:dyDescent="0.25">
      <c r="B15" s="379"/>
      <c r="C15" s="149" t="s">
        <v>649</v>
      </c>
      <c r="D15" s="3">
        <f>Student_MEROI_Limestone</f>
        <v>25394.240916408646</v>
      </c>
      <c r="E15" s="3">
        <f>Student_LimeExtraction</f>
        <v>0.98995098054731168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1.0532312287483219</v>
      </c>
      <c r="J15" s="3"/>
      <c r="L15" s="3"/>
      <c r="M15" s="3"/>
      <c r="O15" s="166"/>
      <c r="P15" s="377"/>
      <c r="Q15" s="393"/>
      <c r="R15" s="391"/>
      <c r="S15" s="392"/>
      <c r="T15" s="387"/>
      <c r="U15" s="388"/>
      <c r="V15" s="166"/>
    </row>
    <row r="16" spans="2:22" x14ac:dyDescent="0.2">
      <c r="B16" s="379"/>
      <c r="C16" s="148" t="s">
        <v>409</v>
      </c>
      <c r="D16" s="165">
        <f>Product_MEROI_Limestone</f>
        <v>22010.978428607345</v>
      </c>
      <c r="E16" s="3">
        <f>Product_LimeExtraction</f>
        <v>0.85781780627735493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4" t="s">
        <v>318</v>
      </c>
      <c r="E19" s="304"/>
      <c r="F19" s="304"/>
      <c r="G19" s="304"/>
      <c r="L19" s="3"/>
      <c r="M19" s="3"/>
    </row>
    <row r="20" spans="2:13" x14ac:dyDescent="0.2">
      <c r="B20" s="3"/>
      <c r="C20" s="3"/>
      <c r="D20" s="400" t="s">
        <v>83</v>
      </c>
      <c r="E20" s="400"/>
      <c r="F20" s="400"/>
      <c r="G20" s="400"/>
      <c r="K20" s="3"/>
      <c r="L20" s="3"/>
    </row>
    <row r="21" spans="2:13" x14ac:dyDescent="0.2">
      <c r="B21" s="401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01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01"/>
      <c r="C23" s="149" t="s">
        <v>649</v>
      </c>
      <c r="D23" s="3">
        <f>Student_MEROI_Coal</f>
        <v>113.02497570495387</v>
      </c>
      <c r="E23" s="3">
        <f>Student_CoalExtraction</f>
        <v>0.98895729390896703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01"/>
      <c r="C24" s="148" t="s">
        <v>409</v>
      </c>
      <c r="D24" s="165">
        <f>Product_MEROI_Coal</f>
        <v>112.98778938876482</v>
      </c>
      <c r="E24" s="3">
        <f>Product_CoalExtraction</f>
        <v>0.98856755291423271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399" t="s">
        <v>405</v>
      </c>
      <c r="D30" s="195" t="s">
        <v>81</v>
      </c>
      <c r="E30" s="195" t="s">
        <v>353</v>
      </c>
    </row>
    <row r="31" spans="2:13" x14ac:dyDescent="0.2">
      <c r="B31" s="399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399"/>
      <c r="C32" s="149" t="s">
        <v>649</v>
      </c>
      <c r="D32" s="3">
        <f>Student_mixer</f>
        <v>0.99300939590335358</v>
      </c>
      <c r="E32" s="3">
        <f>Student_BF</f>
        <v>0.33038859066202669</v>
      </c>
    </row>
    <row r="33" spans="2:5" x14ac:dyDescent="0.2">
      <c r="B33" s="399"/>
      <c r="C33" s="148" t="s">
        <v>409</v>
      </c>
      <c r="D33" s="3">
        <f>Product_Mixer</f>
        <v>1.0717776463170951E-2</v>
      </c>
      <c r="E33" s="3">
        <f>Product_BF</f>
        <v>0.29488597008746631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648</v>
      </c>
    </row>
    <row r="38" spans="2:5" ht="18" x14ac:dyDescent="0.25">
      <c r="B38" s="300" t="s">
        <v>647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02" t="s">
        <v>357</v>
      </c>
      <c r="F3" s="402"/>
      <c r="G3" s="402"/>
      <c r="H3"/>
      <c r="I3"/>
      <c r="L3" s="375" t="s">
        <v>449</v>
      </c>
      <c r="M3" s="375"/>
      <c r="N3" s="375"/>
      <c r="P3"/>
      <c r="T3" s="171" t="s">
        <v>448</v>
      </c>
    </row>
    <row r="4" spans="3:20" ht="16" thickBot="1" x14ac:dyDescent="0.25">
      <c r="E4" s="400" t="s">
        <v>11</v>
      </c>
      <c r="F4" s="400"/>
      <c r="G4" s="400"/>
      <c r="H4"/>
      <c r="I4"/>
      <c r="L4" s="400" t="s">
        <v>48</v>
      </c>
      <c r="M4" s="400"/>
      <c r="N4" s="400"/>
      <c r="P4"/>
      <c r="T4" s="3" t="s">
        <v>48</v>
      </c>
    </row>
    <row r="5" spans="3:20" ht="14.5" customHeight="1" thickBot="1" x14ac:dyDescent="0.25">
      <c r="C5" s="380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-51729834.988773569</v>
      </c>
    </row>
    <row r="6" spans="3:20" x14ac:dyDescent="0.2">
      <c r="C6" s="380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2396.1586162428257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80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75" t="s">
        <v>449</v>
      </c>
      <c r="M9" s="375"/>
      <c r="N9" s="375"/>
      <c r="O9" s="375"/>
    </row>
    <row r="10" spans="3:20" x14ac:dyDescent="0.2">
      <c r="E10" s="402" t="s">
        <v>357</v>
      </c>
      <c r="F10" s="402"/>
      <c r="L10" s="400" t="s">
        <v>48</v>
      </c>
      <c r="M10" s="400"/>
      <c r="N10" s="400"/>
      <c r="O10" s="400"/>
    </row>
    <row r="11" spans="3:20" x14ac:dyDescent="0.2">
      <c r="E11" s="400" t="s">
        <v>11</v>
      </c>
      <c r="F11" s="400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79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7.1782646247188149</v>
      </c>
      <c r="M12" s="3">
        <f>B_lost_lime_haul</f>
        <v>0</v>
      </c>
      <c r="N12" s="3">
        <f>B_lost_lime_benef</f>
        <v>0</v>
      </c>
      <c r="O12" s="3">
        <f>B_lost_kiln</f>
        <v>1135567923.5739617</v>
      </c>
      <c r="P12"/>
    </row>
    <row r="13" spans="3:20" ht="14.5" customHeight="1" x14ac:dyDescent="0.2">
      <c r="C13" s="379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79"/>
      <c r="D14" s="155" t="s">
        <v>23</v>
      </c>
      <c r="E14" s="3" t="s">
        <v>99</v>
      </c>
      <c r="F14" s="3">
        <f>Kiln_CO2Waste</f>
        <v>478.57864826468187</v>
      </c>
      <c r="L14" s="375" t="s">
        <v>449</v>
      </c>
      <c r="M14" s="375"/>
      <c r="N14" s="375"/>
    </row>
    <row r="15" spans="3:20" x14ac:dyDescent="0.2">
      <c r="C15" s="379"/>
      <c r="D15" s="3" t="s">
        <v>19</v>
      </c>
      <c r="E15" s="17">
        <f>SUM(E13:E14)</f>
        <v>0</v>
      </c>
      <c r="F15" s="17">
        <f>SUM(F13:F14)</f>
        <v>483.56340080977998</v>
      </c>
      <c r="L15" s="400" t="s">
        <v>48</v>
      </c>
      <c r="M15" s="400"/>
      <c r="N15" s="400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569.94401045704944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75" t="s">
        <v>449</v>
      </c>
      <c r="M19" s="375"/>
    </row>
    <row r="20" spans="3:16" x14ac:dyDescent="0.2">
      <c r="C20" s="401" t="s">
        <v>354</v>
      </c>
      <c r="E20" s="156" t="s">
        <v>351</v>
      </c>
      <c r="L20" s="400" t="s">
        <v>48</v>
      </c>
      <c r="M20" s="400"/>
    </row>
    <row r="21" spans="3:16" ht="14.5" customHeight="1" x14ac:dyDescent="0.2">
      <c r="C21" s="401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01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01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3" t="s">
        <v>70</v>
      </c>
      <c r="I2" s="303"/>
      <c r="J2" s="303"/>
      <c r="K2" s="303"/>
      <c r="L2" s="303"/>
      <c r="M2" s="303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3" t="s">
        <v>74</v>
      </c>
      <c r="I3" s="303"/>
      <c r="J3" s="303"/>
      <c r="K3" s="13"/>
      <c r="L3" s="307" t="s">
        <v>75</v>
      </c>
      <c r="M3" s="307"/>
      <c r="N3" s="7"/>
      <c r="AN3" s="410" t="s">
        <v>78</v>
      </c>
      <c r="AO3" s="410"/>
      <c r="AP3" s="410"/>
      <c r="AQ3" s="410"/>
      <c r="AR3" s="410"/>
      <c r="AS3" s="410"/>
      <c r="AT3" s="410"/>
      <c r="AU3" s="410"/>
      <c r="AV3" s="410"/>
      <c r="AW3" s="410"/>
      <c r="AX3" s="410"/>
      <c r="AY3" s="410"/>
      <c r="AZ3" s="410"/>
      <c r="BA3" s="410"/>
      <c r="BB3" s="410"/>
      <c r="BC3" s="410"/>
      <c r="BD3" s="410"/>
      <c r="BE3" s="410"/>
      <c r="BF3" s="410"/>
      <c r="BG3" s="410"/>
      <c r="BH3" s="410"/>
      <c r="BI3" s="410"/>
      <c r="BJ3" s="410"/>
      <c r="BK3" s="410"/>
    </row>
    <row r="4" spans="3:69" ht="17" x14ac:dyDescent="0.25">
      <c r="C4" s="13" t="s">
        <v>11</v>
      </c>
      <c r="D4" s="13" t="s">
        <v>76</v>
      </c>
      <c r="E4" s="13"/>
      <c r="F4" s="13"/>
      <c r="AN4" s="410"/>
      <c r="AO4" s="410"/>
      <c r="AP4" s="410"/>
      <c r="AQ4" s="410"/>
      <c r="AR4" s="410"/>
      <c r="AS4" s="410"/>
      <c r="AT4" s="410"/>
      <c r="AU4" s="410"/>
      <c r="AV4" s="410"/>
      <c r="AW4" s="410"/>
      <c r="AX4" s="410"/>
      <c r="AY4" s="410"/>
      <c r="AZ4" s="410"/>
      <c r="BA4" s="410"/>
      <c r="BB4" s="410"/>
      <c r="BC4" s="410"/>
      <c r="BD4" s="410"/>
      <c r="BE4" s="410"/>
      <c r="BF4" s="410"/>
      <c r="BG4" s="410"/>
      <c r="BH4" s="410"/>
      <c r="BI4" s="410"/>
      <c r="BJ4" s="410"/>
      <c r="BK4" s="410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3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3"/>
      <c r="J5" s="303"/>
      <c r="K5" s="303"/>
      <c r="L5" s="303"/>
      <c r="M5" s="303"/>
      <c r="AN5" s="410"/>
      <c r="AO5" s="410"/>
      <c r="AP5" s="410"/>
      <c r="AQ5" s="410"/>
      <c r="AR5" s="410"/>
      <c r="AS5" s="410"/>
      <c r="AT5" s="410"/>
      <c r="AU5" s="410"/>
      <c r="AV5" s="410"/>
      <c r="AW5" s="410"/>
      <c r="AX5" s="410"/>
      <c r="AY5" s="410"/>
      <c r="AZ5" s="410"/>
      <c r="BA5" s="410"/>
      <c r="BB5" s="410"/>
      <c r="BC5" s="410"/>
      <c r="BD5" s="410"/>
      <c r="BE5" s="410"/>
      <c r="BF5" s="410"/>
      <c r="BG5" s="410"/>
      <c r="BH5" s="410"/>
      <c r="BI5" s="410"/>
      <c r="BJ5" s="410"/>
      <c r="BK5" s="410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09">
        <v>6</v>
      </c>
      <c r="BJ10" s="409"/>
      <c r="BK10" s="409"/>
      <c r="BL10" s="409"/>
      <c r="BM10" s="409"/>
      <c r="BN10" s="409"/>
      <c r="BO10" s="409"/>
      <c r="BP10" s="409"/>
      <c r="BQ10" s="409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09"/>
      <c r="BJ11" s="409"/>
      <c r="BK11" s="409"/>
      <c r="BL11" s="409"/>
      <c r="BM11" s="409"/>
      <c r="BN11" s="409"/>
      <c r="BO11" s="409"/>
      <c r="BP11" s="409"/>
      <c r="BQ11" s="409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06" t="s">
        <v>113</v>
      </c>
    </row>
    <row r="18" spans="3:87" ht="18.5" customHeight="1" x14ac:dyDescent="0.25">
      <c r="BI18" s="406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06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06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06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06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04">
        <v>1</v>
      </c>
      <c r="D28" s="404"/>
      <c r="E28" s="404"/>
      <c r="F28" s="404"/>
      <c r="G28" s="404"/>
      <c r="H28" s="404"/>
      <c r="I28" s="404"/>
      <c r="J28" s="404"/>
      <c r="K28" s="404"/>
      <c r="L28" s="404"/>
      <c r="M28" s="404"/>
      <c r="N28" s="404"/>
      <c r="O28" s="404"/>
      <c r="P28" s="1"/>
      <c r="Q28" s="1"/>
      <c r="R28" s="1"/>
      <c r="S28" s="1"/>
      <c r="T28" s="1"/>
      <c r="U28" s="1"/>
      <c r="V28" s="1"/>
      <c r="W28" s="403">
        <v>3</v>
      </c>
      <c r="X28" s="403"/>
      <c r="Y28" s="403"/>
      <c r="Z28" s="403"/>
      <c r="AA28" s="403"/>
      <c r="AB28" s="403"/>
      <c r="AC28" s="403"/>
      <c r="AD28" s="403"/>
      <c r="AE28" s="403"/>
      <c r="AF28" s="403"/>
      <c r="AG28" s="403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04">
        <v>4</v>
      </c>
      <c r="AU28" s="404"/>
      <c r="AV28" s="404"/>
      <c r="AW28" s="404"/>
      <c r="AX28" s="404"/>
      <c r="AY28" s="404"/>
      <c r="AZ28" s="404"/>
      <c r="BA28" s="404"/>
      <c r="BB28" s="404"/>
      <c r="BC28" s="404"/>
      <c r="BD28" s="404"/>
      <c r="BE28" s="404"/>
      <c r="BF28" s="404"/>
      <c r="BG28" s="404"/>
      <c r="BH28" s="404"/>
      <c r="BI28" s="404"/>
      <c r="BT28" s="404">
        <v>5</v>
      </c>
      <c r="BU28" s="404"/>
      <c r="BV28" s="404"/>
      <c r="BW28" s="404"/>
      <c r="BX28" s="404"/>
      <c r="BY28" s="404"/>
      <c r="BZ28" s="404"/>
      <c r="CA28" s="404"/>
      <c r="CB28" s="404"/>
      <c r="CC28" s="404"/>
      <c r="CD28" s="404"/>
      <c r="CE28" s="404"/>
      <c r="CF28" s="404"/>
      <c r="CG28" s="404"/>
      <c r="CH28" s="404"/>
      <c r="CI28" s="404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08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08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08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08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07" t="s">
        <v>80</v>
      </c>
      <c r="AK37" s="407"/>
      <c r="AL37" s="407"/>
      <c r="AM37" s="407"/>
      <c r="AN37" s="407"/>
      <c r="AO37" s="407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07" t="s">
        <v>81</v>
      </c>
      <c r="S38" s="407"/>
      <c r="T38" s="407"/>
      <c r="U38" s="407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07"/>
      <c r="AK38" s="407"/>
      <c r="AL38" s="407"/>
      <c r="AM38" s="407"/>
      <c r="AN38" s="407"/>
      <c r="AO38" s="407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07" t="s">
        <v>98</v>
      </c>
      <c r="BM38" s="407"/>
      <c r="BN38" s="407"/>
      <c r="BO38" s="407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07"/>
      <c r="S39" s="407"/>
      <c r="T39" s="407"/>
      <c r="U39" s="407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07"/>
      <c r="AK39" s="407"/>
      <c r="AL39" s="407"/>
      <c r="AM39" s="407"/>
      <c r="AN39" s="407"/>
      <c r="AO39" s="407"/>
      <c r="AP39" s="51"/>
      <c r="AQ39" s="51"/>
      <c r="AR39" s="1"/>
      <c r="AS39" s="1"/>
      <c r="AT39" s="1"/>
      <c r="AU39" s="1"/>
      <c r="AV39" s="1"/>
      <c r="AW39" s="1"/>
      <c r="AX39" s="1"/>
      <c r="BL39" s="407"/>
      <c r="BM39" s="407"/>
      <c r="BN39" s="407"/>
      <c r="BO39" s="407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07"/>
      <c r="S40" s="407"/>
      <c r="T40" s="407"/>
      <c r="U40" s="407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07"/>
      <c r="AK40" s="407"/>
      <c r="AL40" s="407"/>
      <c r="AM40" s="407"/>
      <c r="AN40" s="407"/>
      <c r="AO40" s="407"/>
      <c r="AP40" s="51"/>
      <c r="AQ40" s="51"/>
      <c r="AR40" s="1"/>
      <c r="AS40" s="56"/>
      <c r="AT40" s="1"/>
      <c r="AU40" s="1"/>
      <c r="AV40" s="1"/>
      <c r="AW40" s="1"/>
      <c r="AX40" s="1"/>
      <c r="BL40" s="407"/>
      <c r="BM40" s="407"/>
      <c r="BN40" s="407"/>
      <c r="BO40" s="407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07"/>
      <c r="AK41" s="407"/>
      <c r="AL41" s="407"/>
      <c r="AM41" s="407"/>
      <c r="AN41" s="407"/>
      <c r="AO41" s="407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63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07"/>
      <c r="AK42" s="407"/>
      <c r="AL42" s="407"/>
      <c r="AM42" s="407"/>
      <c r="AN42" s="407"/>
      <c r="AO42" s="407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41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64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42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41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42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05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05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05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05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05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03">
        <v>2</v>
      </c>
      <c r="D57" s="403"/>
      <c r="E57" s="403"/>
      <c r="F57" s="403"/>
      <c r="G57" s="403"/>
      <c r="H57" s="403"/>
      <c r="I57" s="403"/>
      <c r="J57" s="403"/>
      <c r="K57" s="403"/>
      <c r="L57" s="403"/>
      <c r="M57" s="403"/>
      <c r="N57" s="403"/>
      <c r="O57" s="403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4" t="s">
        <v>318</v>
      </c>
      <c r="E4" s="304"/>
      <c r="F4" s="304"/>
      <c r="G4" s="304"/>
      <c r="H4" s="166"/>
      <c r="I4" s="166"/>
      <c r="P4" s="166"/>
      <c r="Q4" s="166"/>
      <c r="R4" s="166"/>
      <c r="S4" s="377" t="s">
        <v>356</v>
      </c>
      <c r="T4" s="377"/>
      <c r="U4" s="377"/>
      <c r="V4" s="377"/>
      <c r="W4" s="166"/>
    </row>
    <row r="5" spans="1:23" x14ac:dyDescent="0.2">
      <c r="A5" s="166"/>
      <c r="B5" s="168"/>
      <c r="C5" s="168"/>
      <c r="D5" s="400" t="s">
        <v>83</v>
      </c>
      <c r="E5" s="400"/>
      <c r="F5" s="400"/>
      <c r="G5" s="400"/>
      <c r="H5" s="166"/>
      <c r="I5" s="166"/>
      <c r="P5" s="166"/>
      <c r="Q5" s="166"/>
      <c r="R5" s="166"/>
      <c r="S5" s="377"/>
      <c r="T5" s="377"/>
      <c r="U5" s="377"/>
      <c r="V5" s="377"/>
      <c r="W5" s="166"/>
    </row>
    <row r="6" spans="1:23" ht="15" customHeight="1" x14ac:dyDescent="0.2">
      <c r="A6" s="166"/>
      <c r="B6" s="380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77"/>
      <c r="T6" s="377"/>
      <c r="U6" s="377"/>
      <c r="V6" s="377"/>
      <c r="W6" s="166"/>
    </row>
    <row r="7" spans="1:23" ht="16" thickBot="1" x14ac:dyDescent="0.25">
      <c r="A7" s="166"/>
      <c r="B7" s="380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78"/>
      <c r="T7" s="378"/>
      <c r="U7" s="378"/>
      <c r="V7" s="378"/>
      <c r="W7" s="166"/>
    </row>
    <row r="8" spans="1:23" x14ac:dyDescent="0.2">
      <c r="A8" s="166"/>
      <c r="B8" s="380"/>
      <c r="C8" s="149" t="s">
        <v>343</v>
      </c>
      <c r="D8" s="3">
        <f>Student_MEROI_Iron</f>
        <v>1.2482139892596125</v>
      </c>
      <c r="E8" s="3">
        <f>Student_IronExtraction</f>
        <v>0.56670793822679022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77" t="s">
        <v>355</v>
      </c>
      <c r="R8" s="393"/>
      <c r="S8" s="395" t="s">
        <v>342</v>
      </c>
      <c r="T8" s="396"/>
      <c r="U8" s="381" t="s">
        <v>409</v>
      </c>
      <c r="V8" s="382"/>
      <c r="W8" s="166"/>
    </row>
    <row r="9" spans="1:23" x14ac:dyDescent="0.2">
      <c r="A9" s="166"/>
      <c r="B9" s="380"/>
      <c r="C9" s="148" t="s">
        <v>409</v>
      </c>
      <c r="D9" s="165">
        <f>Product_MEROI_Iron</f>
        <v>1.0480771193974399</v>
      </c>
      <c r="E9" s="3">
        <f>Product_IronExtraction</f>
        <v>0.46562872171536246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77"/>
      <c r="R9" s="393"/>
      <c r="S9" s="397"/>
      <c r="T9" s="398"/>
      <c r="U9" s="383"/>
      <c r="V9" s="384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77"/>
      <c r="R10" s="393"/>
      <c r="S10" s="397"/>
      <c r="T10" s="398"/>
      <c r="U10" s="383"/>
      <c r="V10" s="384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77"/>
      <c r="R11" s="393"/>
      <c r="S11" s="397"/>
      <c r="T11" s="398"/>
      <c r="U11" s="383"/>
      <c r="V11" s="384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11" t="s">
        <v>408</v>
      </c>
      <c r="R12" s="393"/>
      <c r="S12" s="389" t="s">
        <v>317</v>
      </c>
      <c r="T12" s="390"/>
      <c r="U12" s="385" t="s">
        <v>343</v>
      </c>
      <c r="V12" s="386"/>
      <c r="W12" s="166"/>
    </row>
    <row r="13" spans="1:23" x14ac:dyDescent="0.2">
      <c r="A13" s="166"/>
      <c r="B13" s="168"/>
      <c r="C13" s="168"/>
      <c r="D13" s="304" t="s">
        <v>318</v>
      </c>
      <c r="E13" s="304"/>
      <c r="F13" s="304"/>
      <c r="G13" s="304"/>
      <c r="H13" s="304"/>
      <c r="I13" s="166"/>
      <c r="P13" s="166"/>
      <c r="Q13" s="377"/>
      <c r="R13" s="393"/>
      <c r="S13" s="389"/>
      <c r="T13" s="390"/>
      <c r="U13" s="385"/>
      <c r="V13" s="386"/>
      <c r="W13" s="166"/>
    </row>
    <row r="14" spans="1:23" ht="15" customHeight="1" x14ac:dyDescent="0.2">
      <c r="A14" s="166"/>
      <c r="B14" s="168"/>
      <c r="C14" s="168"/>
      <c r="D14" s="400" t="s">
        <v>83</v>
      </c>
      <c r="E14" s="400"/>
      <c r="F14" s="400"/>
      <c r="G14" s="400"/>
      <c r="H14" s="400"/>
      <c r="I14" s="166"/>
      <c r="P14" s="166"/>
      <c r="Q14" s="377"/>
      <c r="R14" s="393"/>
      <c r="S14" s="389"/>
      <c r="T14" s="390"/>
      <c r="U14" s="385"/>
      <c r="V14" s="386"/>
      <c r="W14" s="166"/>
    </row>
    <row r="15" spans="1:23" ht="16" thickBot="1" x14ac:dyDescent="0.25">
      <c r="A15" s="166"/>
      <c r="B15" s="379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77"/>
      <c r="R15" s="393"/>
      <c r="S15" s="391"/>
      <c r="T15" s="392"/>
      <c r="U15" s="387"/>
      <c r="V15" s="388"/>
      <c r="W15" s="166"/>
    </row>
    <row r="16" spans="1:23" x14ac:dyDescent="0.2">
      <c r="A16" s="166"/>
      <c r="B16" s="379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79"/>
      <c r="C17" s="149" t="s">
        <v>343</v>
      </c>
      <c r="D17" s="3">
        <f>Student_MEROI_Limestone</f>
        <v>25394.240916408646</v>
      </c>
      <c r="E17" s="3">
        <f>Student_LimeExtraction</f>
        <v>0.98995098054731168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1.0532312287483219</v>
      </c>
      <c r="I17" s="166"/>
    </row>
    <row r="18" spans="1:12" x14ac:dyDescent="0.2">
      <c r="A18" s="166"/>
      <c r="B18" s="379"/>
      <c r="C18" s="148" t="s">
        <v>409</v>
      </c>
      <c r="D18" s="165">
        <f>Product_MEROI_Limestone</f>
        <v>22010.978428607345</v>
      </c>
      <c r="E18" s="3">
        <f>Product_LimeExtraction</f>
        <v>0.85781780627735493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4" t="s">
        <v>318</v>
      </c>
      <c r="E21" s="304"/>
      <c r="F21" s="304"/>
      <c r="G21" s="304"/>
      <c r="H21" s="166"/>
      <c r="I21" s="166"/>
    </row>
    <row r="22" spans="1:12" ht="15" customHeight="1" x14ac:dyDescent="0.2">
      <c r="A22" s="166"/>
      <c r="B22" s="168"/>
      <c r="C22" s="168"/>
      <c r="D22" s="400" t="s">
        <v>83</v>
      </c>
      <c r="E22" s="400"/>
      <c r="F22" s="400"/>
      <c r="G22" s="400"/>
      <c r="H22" s="166"/>
      <c r="I22" s="166"/>
    </row>
    <row r="23" spans="1:12" x14ac:dyDescent="0.2">
      <c r="A23" s="166"/>
      <c r="B23" s="401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01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01"/>
      <c r="C25" s="149" t="s">
        <v>343</v>
      </c>
      <c r="D25" s="3">
        <f>Student_MEROI_Coal</f>
        <v>113.02497570495387</v>
      </c>
      <c r="E25" s="3">
        <f>Student_CoalExtraction</f>
        <v>0.98895729390896703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01"/>
      <c r="C26" s="148" t="s">
        <v>409</v>
      </c>
      <c r="D26" s="165">
        <f>Product_MEROI_Coal</f>
        <v>112.98778938876482</v>
      </c>
      <c r="E26" s="3">
        <f>Product_CoalExtraction</f>
        <v>0.98856755291423271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399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399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399"/>
      <c r="C34" s="149" t="s">
        <v>343</v>
      </c>
      <c r="D34" s="3">
        <f>Student_mixer</f>
        <v>0.99300939590335358</v>
      </c>
      <c r="E34" s="3">
        <f>Student_BF</f>
        <v>0.33038859066202669</v>
      </c>
      <c r="F34" s="166"/>
      <c r="G34" s="166"/>
      <c r="H34" s="166"/>
      <c r="I34" s="166"/>
    </row>
    <row r="35" spans="1:9" x14ac:dyDescent="0.2">
      <c r="A35" s="166"/>
      <c r="B35" s="399"/>
      <c r="C35" s="148" t="s">
        <v>409</v>
      </c>
      <c r="D35" s="3">
        <f>Product_Mixer</f>
        <v>1.0717776463170951E-2</v>
      </c>
      <c r="E35" s="3">
        <f>Product_BF</f>
        <v>0.29488597008746631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BF Calculator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b_ch_C12H23</vt:lpstr>
      <vt:lpstr>b_ch_C2H4</vt:lpstr>
      <vt:lpstr>b_ch_C8H18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b_ch_Fe</vt:lpstr>
      <vt:lpstr>b_ch_Fe2O3</vt:lpstr>
      <vt:lpstr>b_ch_FeC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b_ch_oil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CO_Kiln_Out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Matthew Heun</cp:lastModifiedBy>
  <cp:revision/>
  <cp:lastPrinted>2025-06-04T17:14:24Z</cp:lastPrinted>
  <dcterms:created xsi:type="dcterms:W3CDTF">2025-05-19T15:01:37Z</dcterms:created>
  <dcterms:modified xsi:type="dcterms:W3CDTF">2025-07-09T15:06:46Z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