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A46ABFFD-2469-354C-8B01-94C56FCD98B1}" xr6:coauthVersionLast="47" xr6:coauthVersionMax="47" xr10:uidLastSave="{00000000-0000-0000-0000-000000000000}"/>
  <bookViews>
    <workbookView xWindow="2720" yWindow="1600" windowWidth="48480" windowHeight="25500" activeTab="12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Calculators!$O$97</definedName>
    <definedName name="b_ch_coke">Calculators!$P$97</definedName>
    <definedName name="b_ch_Diesel">Calculators!$P$237</definedName>
    <definedName name="b_ch_Fe">Constants!$E$9</definedName>
    <definedName name="b_ch_Fe2O3">Constants!$E$10</definedName>
    <definedName name="b_ch_FeC">Constants!$E$15</definedName>
    <definedName name="b_ch_fueloil">Calculators!$H$278</definedName>
    <definedName name="b_ch_Gasoline">Calculators!$H$261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Beneficiation">'Ore-&gt;PI'!$BN$210</definedName>
    <definedName name="Bejan_CoalExtraction">'Ore-&gt;PI'!$AB$210</definedName>
    <definedName name="Bejan_CoalHauling">'Ore-&gt;PI'!$AU$210</definedName>
    <definedName name="Bejan_COGtreatment">'Ore-&gt;PI'!$DC$237</definedName>
    <definedName name="Bejan_Cokeove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Calculators!$Z$94</definedName>
    <definedName name="CH4_to_BF">Calculators!$Z$106</definedName>
    <definedName name="CH4_to_coke_oven">Calculators!$AH$106</definedName>
    <definedName name="CO2_BF_Out">Calculators!$M$23</definedName>
    <definedName name="CO2_Diesel_molcoeff">Calculators!$M$229</definedName>
    <definedName name="CO2_from_coke_oven_comb">Calculators!$I$117</definedName>
    <definedName name="CO2_Gasoline_molcoeff">Calculators!$M$254</definedName>
    <definedName name="CO2_Kiln_Out">Calculators!$I$38</definedName>
    <definedName name="CO2_Kiln_out_from_methane">Calculators!$L$59</definedName>
    <definedName name="CO2_molcoeff">Calculators!$M$229</definedName>
    <definedName name="Co2_Naturalgas_molcoeff">Calculators!$M$287</definedName>
    <definedName name="Co2_Oil_molcoef">Calculators!$M$271</definedName>
    <definedName name="CO2_out_BF">Calculators!$M$160</definedName>
    <definedName name="CO2_out_Coal_Ext">Calculators!$I$229</definedName>
    <definedName name="CO2_out_coke_oven">Calculators!$M$194</definedName>
    <definedName name="COG_needed">Calculators!#REF!</definedName>
    <definedName name="Coking_BF_in">Calculators!$L$23</definedName>
    <definedName name="Diesel_N2_molcoeff">Calculators!$M$231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Calculators!$Z$105</definedName>
    <definedName name="H2_to_coke_oven">Calculators!$AH$105</definedName>
    <definedName name="H2O__Diesel_molcoeff">Calculators!$M$230</definedName>
    <definedName name="H2O_from_coke_oven_comb">Calculators!$I$118</definedName>
    <definedName name="H2O_Gasoline_molcoeff">Calculators!$M$255</definedName>
    <definedName name="H2O_Kiln_Out">Calculators!$L$60</definedName>
    <definedName name="H2O_molcoeff">Calculators!$M$230</definedName>
    <definedName name="H2O_Naturalgas_molcoeff">Calculators!$M$288</definedName>
    <definedName name="H2O_Oil_molcoeff">Calculators!$M$272</definedName>
    <definedName name="H2O_out_BF">Calculators!$M$159</definedName>
    <definedName name="H2O_out_Coal_Ext">Calculators!$I$230</definedName>
    <definedName name="H2O_out_coke_oven">Calculators!$M$193</definedName>
    <definedName name="kg_to_ton">Constants!$Y$4</definedName>
    <definedName name="Kiln_CO2waste">'Ore-&gt;PI'!$CL$143</definedName>
    <definedName name="Kiln_H2O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0H8">Constants!$D$42</definedName>
    <definedName name="MW_C12H23">Constants!$D$40</definedName>
    <definedName name="MW_C14H10">Constants!$D$43</definedName>
    <definedName name="MW_C16H10">Constants!$D$44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Calculators!$C$167</definedName>
    <definedName name="N2_BF_out">Calculators!$I$23</definedName>
    <definedName name="N2_for_coke_oven_comb">Calculators!$C$119</definedName>
    <definedName name="N2_from_coke_oven_comb">Calculators!$I$119</definedName>
    <definedName name="N2_in_Coal_Ext">Calculators!$C$231</definedName>
    <definedName name="N2_in_coke_oven">Calculators!$C$200</definedName>
    <definedName name="N2_Kiln_in">Calculators!$C$61</definedName>
    <definedName name="N2_molcoeff">Calculators!$G$231</definedName>
    <definedName name="N2_out_coke_oven">Calculators!$M$195</definedName>
    <definedName name="N2_out_COtreatment">Calculators!$Z$96</definedName>
    <definedName name="N2_to_BF_from_coke">Calculators!$Z$108</definedName>
    <definedName name="N2_to_coke_oven">Calculators!$AH$108</definedName>
    <definedName name="NCV_dry_anthrocite">Constants!$R$15</definedName>
    <definedName name="O2_added_BF">Calculators!$C$166</definedName>
    <definedName name="O2_BF_in">Calculators!$I$21</definedName>
    <definedName name="O2_Diesel_molcoeff">Calculators!$G$230</definedName>
    <definedName name="O2_for_coke_oven_comb">Calculators!$C$118</definedName>
    <definedName name="O2_Gasoline_molcoeff">Calculators!$G$255</definedName>
    <definedName name="O2_in_Coal_Ext">Calculators!$C$230</definedName>
    <definedName name="O2_in_coke_oven">Calculators!$C$199</definedName>
    <definedName name="O2_Kiln_in">Calculators!$C$60</definedName>
    <definedName name="O2_molcoeff">Calculators!$G$230</definedName>
    <definedName name="O2_Naturalgas_molcoeff">Calculators!$G$288</definedName>
    <definedName name="O2_Oil_molcoeff">Calculators!$G$272</definedName>
    <definedName name="O2_out_COtreatment">Calculators!$Z$95</definedName>
    <definedName name="O2_to_BF_from_coke">Calculators!$Z$107</definedName>
    <definedName name="O2_to_coke_oven">Calculators!$AH$107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'Ore-&gt;PI'!$ES$132</definedName>
    <definedName name="Rational_Coalbeneficiation">'Ore-&gt;PI'!$BN$211</definedName>
    <definedName name="Rational_CoalExtraction">'Ore-&gt;PI'!$AB$211</definedName>
    <definedName name="Rational_CoalHauling">'Ore-&gt;PI'!$AU$211</definedName>
    <definedName name="Rational_COGdistribution">'Ore-&gt;PI'!$DW$238</definedName>
    <definedName name="Rational_COGtreatment">'Ore-&gt;PI'!$DC$238</definedName>
    <definedName name="Rational_Cokeoven">'Ore-&gt;PI'!$CH$211</definedName>
    <definedName name="Rational_IronBeneficiation">'Ore-&gt;PI'!$BM$47</definedName>
    <definedName name="Rational_IronExtraction">'Ore-&gt;PI'!$AA$47</definedName>
    <definedName name="Rational_IronHauling">'Ore-&gt;PI'!$AT$47</definedName>
    <definedName name="Rational_Kiln">'Ore-&gt;PI'!$CG$131</definedName>
    <definedName name="Rational_LimeBeneficiation">'Ore-&gt;PI'!$BN$131</definedName>
    <definedName name="Rational_LimeExtraction">'Ore-&gt;PI'!$AA$131</definedName>
    <definedName name="Rational_LimeHauling">'Ore-&gt;PI'!$AU$131</definedName>
    <definedName name="Rational_MEROI_Coal">'Ore-&gt;PI'!$Q$194</definedName>
    <definedName name="Rational_MEROI_Iron">'Ore-&gt;PI'!$Q$28</definedName>
    <definedName name="Rational_MEROI_Limestone">'Ore-&gt;PI'!$Q$116</definedName>
    <definedName name="Rational_mixer">'Ore-&gt;PI'!$DX$132</definedName>
    <definedName name="Resource_BF">'Ore-&gt;PI'!$ES$133</definedName>
    <definedName name="Resource_Coalbeneficiation">'Ore-&gt;PI'!$BN$212</definedName>
    <definedName name="Resource_CoalExtraction">'Ore-&gt;PI'!$AB$212</definedName>
    <definedName name="Resource_CoalHauling">'Ore-&gt;PI'!$AU$212</definedName>
    <definedName name="Resource_COGdistribution">'Ore-&gt;PI'!$DW$239</definedName>
    <definedName name="Resource_COGtreatment">'Ore-&gt;PI'!$DC$239</definedName>
    <definedName name="Resource_CokeBeneficiation">'Ore-&gt;PI'!$CH$212</definedName>
    <definedName name="Resource_Cokeoven">'Ore-&gt;PI'!$CH$212</definedName>
    <definedName name="Resource_IronBeneficiation">'Ore-&gt;PI'!$BM$48</definedName>
    <definedName name="Resource_IronExtraction">'Ore-&gt;PI'!$AA$48</definedName>
    <definedName name="Resource_IronHauling">'Ore-&gt;PI'!$AT$48</definedName>
    <definedName name="Resource_Kiln">'Ore-&gt;PI'!$CG$132</definedName>
    <definedName name="Resource_LimeBeneficiation">'Ore-&gt;PI'!$BN$132</definedName>
    <definedName name="Resource_LimeExtraction">'Ore-&gt;PI'!$AA$132</definedName>
    <definedName name="Resource_LimeHauling">'Ore-&gt;PI'!$AU$132</definedName>
    <definedName name="Resource_MEROI_Coal">'Ore-&gt;PI'!$Q$195</definedName>
    <definedName name="Resource_MEROI_Iron">'Ore-&gt;PI'!$Q$29</definedName>
    <definedName name="Resource_MEROI_Limestone">'Ore-&gt;PI'!$Q$117</definedName>
    <definedName name="Resource_Mixer">'Ore-&gt;PI'!$DX$133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7" i="11" l="1"/>
  <c r="N97" i="11"/>
  <c r="E92" i="11"/>
  <c r="E91" i="11"/>
  <c r="E90" i="11"/>
  <c r="E89" i="11"/>
  <c r="E88" i="11"/>
  <c r="D93" i="11"/>
  <c r="J112" i="11"/>
  <c r="J111" i="11"/>
  <c r="J110" i="11"/>
  <c r="J109" i="11"/>
  <c r="J108" i="11"/>
  <c r="J107" i="11"/>
  <c r="J106" i="11"/>
  <c r="L113" i="11"/>
  <c r="D108" i="11"/>
  <c r="D107" i="11"/>
  <c r="D106" i="11"/>
  <c r="G43" i="3"/>
  <c r="G44" i="3"/>
  <c r="G42" i="3"/>
  <c r="D42" i="3"/>
  <c r="D43" i="3"/>
  <c r="D44" i="3"/>
  <c r="G106" i="11"/>
  <c r="F112" i="11" s="1"/>
  <c r="E29" i="3"/>
  <c r="F110" i="11" l="1"/>
  <c r="F109" i="11"/>
  <c r="F111" i="11"/>
  <c r="H154" i="22"/>
  <c r="F113" i="11" l="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AI210" i="9"/>
  <c r="BB210" i="9"/>
  <c r="O210" i="9"/>
  <c r="G15" i="3"/>
  <c r="D278" i="11"/>
  <c r="D261" i="11"/>
  <c r="L237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F119" i="11"/>
  <c r="L119" i="11" s="1"/>
  <c r="M229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72" i="11"/>
  <c r="M255" i="11"/>
  <c r="M254" i="11"/>
  <c r="W6" i="3"/>
  <c r="O21" i="21" s="1"/>
  <c r="M230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7" i="11"/>
  <c r="G97" i="11"/>
  <c r="D85" i="11"/>
  <c r="CQ237" i="9"/>
  <c r="CM243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D20" i="3"/>
  <c r="J272" i="11" s="1"/>
  <c r="D19" i="3"/>
  <c r="J289" i="11" s="1"/>
  <c r="D14" i="3"/>
  <c r="M47" i="9" s="1"/>
  <c r="D13" i="3"/>
  <c r="G13" i="3" s="1"/>
  <c r="D11" i="3"/>
  <c r="D7" i="3"/>
  <c r="D5" i="3"/>
  <c r="D10" i="3"/>
  <c r="AG215" i="9" s="1"/>
  <c r="D17" i="3"/>
  <c r="BS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94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G14" i="3" l="1"/>
  <c r="O47" i="9" s="1"/>
  <c r="G20" i="3"/>
  <c r="CP142" i="9" s="1"/>
  <c r="G7" i="3"/>
  <c r="FF108" i="9" s="1"/>
  <c r="FF109" i="9" s="1"/>
  <c r="BL115" i="22" s="1"/>
  <c r="EF240" i="9"/>
  <c r="G33" i="3"/>
  <c r="E81" i="11"/>
  <c r="E98" i="11"/>
  <c r="D110" i="11"/>
  <c r="G27" i="3"/>
  <c r="AH48" i="9" s="1"/>
  <c r="CN241" i="9"/>
  <c r="D111" i="11"/>
  <c r="EC237" i="9"/>
  <c r="AF51" i="9"/>
  <c r="AG51" i="9" s="1"/>
  <c r="AR60" i="9" s="1"/>
  <c r="E101" i="11"/>
  <c r="G11" i="3"/>
  <c r="EF238" i="9"/>
  <c r="J273" i="11"/>
  <c r="G19" i="3"/>
  <c r="AI233" i="9" s="1"/>
  <c r="EC240" i="9"/>
  <c r="G21" i="3"/>
  <c r="Y54" i="8"/>
  <c r="D109" i="11"/>
  <c r="O98" i="11"/>
  <c r="AK134" i="22"/>
  <c r="BE88" i="22"/>
  <c r="BE48" i="22" s="1"/>
  <c r="J156" i="22"/>
  <c r="AI147" i="9"/>
  <c r="EF131" i="9"/>
  <c r="G10" i="3"/>
  <c r="O215" i="9" s="1"/>
  <c r="AH47" i="9"/>
  <c r="AI216" i="9"/>
  <c r="AI232" i="9"/>
  <c r="G22" i="3"/>
  <c r="BT62" i="9" s="1"/>
  <c r="G24" i="3"/>
  <c r="BB211" i="9" s="1"/>
  <c r="BU216" i="9"/>
  <c r="G25" i="3"/>
  <c r="BU213" i="9" s="1"/>
  <c r="G26" i="3"/>
  <c r="G28" i="3"/>
  <c r="G29" i="3"/>
  <c r="AI131" i="9" s="1"/>
  <c r="CP254" i="9"/>
  <c r="G5" i="3"/>
  <c r="G6" i="3"/>
  <c r="BB131" i="9"/>
  <c r="AH68" i="9"/>
  <c r="BA47" i="9"/>
  <c r="FF146" i="9"/>
  <c r="BB216" i="9"/>
  <c r="BT47" i="9"/>
  <c r="G17" i="3"/>
  <c r="CP226" i="9"/>
  <c r="O216" i="9"/>
  <c r="AR57" i="9"/>
  <c r="EG118" i="9"/>
  <c r="M60" i="11"/>
  <c r="D289" i="11"/>
  <c r="G18" i="21"/>
  <c r="H18" i="21" s="1"/>
  <c r="V6" i="21" s="1"/>
  <c r="CN142" i="9"/>
  <c r="BV230" i="9"/>
  <c r="CQ142" i="9"/>
  <c r="D273" i="11"/>
  <c r="CQ144" i="9"/>
  <c r="N21" i="21"/>
  <c r="J15" i="21"/>
  <c r="J288" i="11"/>
  <c r="D64" i="11"/>
  <c r="D65" i="11"/>
  <c r="BV156" i="9"/>
  <c r="D295" i="11"/>
  <c r="D294" i="11"/>
  <c r="AJ148" i="9"/>
  <c r="D41" i="3"/>
  <c r="E278" i="11" s="1"/>
  <c r="F278" i="11" s="1"/>
  <c r="G278" i="11" s="1"/>
  <c r="H278" i="11" s="1"/>
  <c r="G8" i="21"/>
  <c r="H8" i="21" s="1"/>
  <c r="U6" i="21" s="1"/>
  <c r="D11" i="21"/>
  <c r="G230" i="11"/>
  <c r="P97" i="11"/>
  <c r="G255" i="11"/>
  <c r="J249" i="11"/>
  <c r="M256" i="11"/>
  <c r="E229" i="9"/>
  <c r="AG148" i="9"/>
  <c r="D256" i="11"/>
  <c r="J256" i="11"/>
  <c r="J255" i="11"/>
  <c r="M168" i="9"/>
  <c r="P168" i="9"/>
  <c r="AG147" i="9"/>
  <c r="AJ147" i="9"/>
  <c r="AF68" i="9"/>
  <c r="AI69" i="9"/>
  <c r="AI68" i="9"/>
  <c r="P241" i="9"/>
  <c r="AF69" i="9"/>
  <c r="J230" i="11"/>
  <c r="AG232" i="9"/>
  <c r="AJ232" i="9"/>
  <c r="AG233" i="9"/>
  <c r="AJ233" i="9"/>
  <c r="M241" i="9"/>
  <c r="M77" i="9"/>
  <c r="P77" i="9"/>
  <c r="J231" i="11"/>
  <c r="D231" i="11"/>
  <c r="E200" i="11"/>
  <c r="CN254" i="9"/>
  <c r="D119" i="11"/>
  <c r="AG211" i="9"/>
  <c r="AG214" i="9"/>
  <c r="E159" i="11"/>
  <c r="O159" i="11"/>
  <c r="D32" i="3"/>
  <c r="G32" i="3" s="1"/>
  <c r="EE237" i="9" s="1"/>
  <c r="J119" i="11"/>
  <c r="EG157" i="9"/>
  <c r="FA238" i="9"/>
  <c r="ED156" i="9"/>
  <c r="J118" i="11"/>
  <c r="E162" i="11"/>
  <c r="O161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EC238" i="9" s="1"/>
  <c r="AJ105" i="11"/>
  <c r="BV214" i="9"/>
  <c r="AB105" i="11"/>
  <c r="EX237" i="9"/>
  <c r="D16" i="3"/>
  <c r="G16" i="3" s="1"/>
  <c r="CP239" i="9" s="1"/>
  <c r="EG159" i="9"/>
  <c r="BV213" i="9"/>
  <c r="O195" i="11"/>
  <c r="AB108" i="11"/>
  <c r="BS215" i="9"/>
  <c r="AJ108" i="11"/>
  <c r="E167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6" i="11"/>
  <c r="BS247" i="9"/>
  <c r="BS211" i="9"/>
  <c r="D36" i="3"/>
  <c r="G36" i="3" s="1"/>
  <c r="CP238" i="9" s="1"/>
  <c r="BV211" i="9"/>
  <c r="E193" i="11"/>
  <c r="D8" i="3"/>
  <c r="M59" i="11" s="1"/>
  <c r="E196" i="11"/>
  <c r="E80" i="11"/>
  <c r="D12" i="3"/>
  <c r="ED159" i="9"/>
  <c r="BS213" i="9"/>
  <c r="O193" i="11"/>
  <c r="P214" i="9"/>
  <c r="M215" i="9"/>
  <c r="M216" i="9"/>
  <c r="P211" i="9"/>
  <c r="E100" i="11"/>
  <c r="E99" i="11"/>
  <c r="M213" i="9"/>
  <c r="CQ241" i="9"/>
  <c r="E97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J224" i="11" l="1"/>
  <c r="M231" i="11"/>
  <c r="BA48" i="9"/>
  <c r="CP221" i="9"/>
  <c r="O211" i="9"/>
  <c r="DJ240" i="9"/>
  <c r="BB215" i="9"/>
  <c r="CP118" i="9"/>
  <c r="CP119" i="9" s="1"/>
  <c r="Z129" i="22" s="1"/>
  <c r="CP241" i="9"/>
  <c r="Z60" i="9"/>
  <c r="BT59" i="9"/>
  <c r="AI148" i="9"/>
  <c r="O51" i="9"/>
  <c r="EF145" i="9"/>
  <c r="AH69" i="9"/>
  <c r="EE240" i="9"/>
  <c r="BU232" i="9"/>
  <c r="O168" i="9"/>
  <c r="E103" i="11"/>
  <c r="EF159" i="9"/>
  <c r="BU247" i="9"/>
  <c r="EZ240" i="9"/>
  <c r="FF147" i="9"/>
  <c r="CP256" i="9"/>
  <c r="O241" i="9"/>
  <c r="G12" i="3"/>
  <c r="EE239" i="9" s="1"/>
  <c r="D112" i="11"/>
  <c r="EC239" i="9"/>
  <c r="CP144" i="9"/>
  <c r="O77" i="9"/>
  <c r="BU145" i="9"/>
  <c r="O131" i="9"/>
  <c r="BA46" i="9"/>
  <c r="BU131" i="9"/>
  <c r="O48" i="9"/>
  <c r="M62" i="11"/>
  <c r="BT61" i="9"/>
  <c r="O50" i="9"/>
  <c r="AH50" i="9"/>
  <c r="CP223" i="9"/>
  <c r="BU214" i="9"/>
  <c r="CP224" i="9"/>
  <c r="AI214" i="9"/>
  <c r="BA51" i="9"/>
  <c r="BU211" i="9"/>
  <c r="AH49" i="9"/>
  <c r="BA50" i="9"/>
  <c r="AH51" i="9"/>
  <c r="BA49" i="9"/>
  <c r="O49" i="9"/>
  <c r="AI213" i="9"/>
  <c r="O130" i="9"/>
  <c r="AI130" i="9"/>
  <c r="BU130" i="9"/>
  <c r="BB130" i="9"/>
  <c r="AI215" i="9"/>
  <c r="EF130" i="9"/>
  <c r="CP225" i="9"/>
  <c r="BU215" i="9"/>
  <c r="O46" i="9"/>
  <c r="BT46" i="9"/>
  <c r="AH46" i="9"/>
  <c r="AI211" i="9"/>
  <c r="O214" i="9"/>
  <c r="BB21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DJ237" i="9"/>
  <c r="CN143" i="9"/>
  <c r="CN145" i="9" s="1"/>
  <c r="G8" i="3"/>
  <c r="E261" i="11"/>
  <c r="F261" i="11" s="1"/>
  <c r="G39" i="3"/>
  <c r="O155" i="9" s="1"/>
  <c r="O156" i="9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71" i="11"/>
  <c r="ED105" i="9"/>
  <c r="ED106" i="9" s="1"/>
  <c r="D272" i="11"/>
  <c r="ED144" i="9"/>
  <c r="D288" i="11"/>
  <c r="E84" i="11"/>
  <c r="D287" i="11"/>
  <c r="ED118" i="9"/>
  <c r="ED119" i="9" s="1"/>
  <c r="J271" i="11"/>
  <c r="J287" i="11"/>
  <c r="M273" i="11"/>
  <c r="J266" i="11" s="1"/>
  <c r="M144" i="9"/>
  <c r="M145" i="9" s="1"/>
  <c r="AF67" i="9"/>
  <c r="AF70" i="9" s="1"/>
  <c r="AG146" i="9"/>
  <c r="AG149" i="9" s="1"/>
  <c r="J254" i="11"/>
  <c r="M155" i="9"/>
  <c r="M156" i="9" s="1"/>
  <c r="D254" i="11"/>
  <c r="M167" i="9"/>
  <c r="M169" i="9" s="1"/>
  <c r="D255" i="11"/>
  <c r="D229" i="11"/>
  <c r="M63" i="9"/>
  <c r="M64" i="9" s="1"/>
  <c r="M226" i="9"/>
  <c r="M227" i="9" s="1"/>
  <c r="E12" i="8"/>
  <c r="D118" i="11"/>
  <c r="D230" i="11"/>
  <c r="M76" i="9"/>
  <c r="M78" i="9" s="1"/>
  <c r="M240" i="9"/>
  <c r="M242" i="9" s="1"/>
  <c r="J229" i="11"/>
  <c r="AG231" i="9"/>
  <c r="AG234" i="9" s="1"/>
  <c r="AB106" i="11"/>
  <c r="BS156" i="9" a="1"/>
  <c r="BS156" i="9" s="1"/>
  <c r="BS157" i="9" s="1"/>
  <c r="BS230" i="9"/>
  <c r="F37" i="8" a="1"/>
  <c r="F37" i="8" s="1"/>
  <c r="D59" i="11"/>
  <c r="E194" i="11"/>
  <c r="EX238" i="9"/>
  <c r="D117" i="11"/>
  <c r="BS258" i="9" a="1"/>
  <c r="BS258" i="9" s="1"/>
  <c r="BS259" i="9" s="1"/>
  <c r="J117" i="11"/>
  <c r="Y50" i="8"/>
  <c r="BS217" i="9"/>
  <c r="AB94" i="11"/>
  <c r="DH238" i="9"/>
  <c r="AB80" i="11"/>
  <c r="CN239" i="9"/>
  <c r="CN242" i="9"/>
  <c r="AJ106" i="11"/>
  <c r="E160" i="11"/>
  <c r="ED157" i="9"/>
  <c r="O160" i="11"/>
  <c r="E83" i="11"/>
  <c r="E195" i="11"/>
  <c r="ED158" i="9"/>
  <c r="EX239" i="9"/>
  <c r="DH239" i="9"/>
  <c r="E199" i="11"/>
  <c r="BS246" i="9"/>
  <c r="BS248" i="9" s="1"/>
  <c r="AG217" i="9"/>
  <c r="E161" i="11"/>
  <c r="O194" i="11"/>
  <c r="CN255" i="9"/>
  <c r="CN257" i="9" s="1"/>
  <c r="AJ107" i="11"/>
  <c r="AB76" i="11"/>
  <c r="CN238" i="9"/>
  <c r="AB78" i="11"/>
  <c r="Y51" i="8"/>
  <c r="BS231" i="9"/>
  <c r="AB107" i="11"/>
  <c r="E166" i="11"/>
  <c r="E168" i="11" s="1"/>
  <c r="CN240" i="9"/>
  <c r="AB95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E85" i="11" l="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46" i="9"/>
  <c r="BU248" i="9" s="1"/>
  <c r="BA84" i="22" s="1"/>
  <c r="BA44" i="22" s="1"/>
  <c r="G153" i="22"/>
  <c r="EE238" i="9"/>
  <c r="BU231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CP240" i="9"/>
  <c r="AI146" i="9"/>
  <c r="FF145" i="9"/>
  <c r="CP143" i="9"/>
  <c r="CP255" i="9"/>
  <c r="AH67" i="9"/>
  <c r="AI231" i="9"/>
  <c r="G261" i="11"/>
  <c r="H261" i="11" s="1"/>
  <c r="P155" i="9" s="1"/>
  <c r="BN20" i="8"/>
  <c r="EF157" i="9"/>
  <c r="BU230" i="9"/>
  <c r="EZ238" i="9"/>
  <c r="BU258" i="9"/>
  <c r="BU259" i="9" s="1"/>
  <c r="BU156" i="9"/>
  <c r="BU157" i="9" s="1"/>
  <c r="AZ85" i="22" s="1"/>
  <c r="AZ45" i="22" s="1"/>
  <c r="DJ238" i="9"/>
  <c r="EF118" i="9"/>
  <c r="EF119" i="9" s="1"/>
  <c r="BE85" i="22" s="1"/>
  <c r="BE45" i="22" s="1"/>
  <c r="CP242" i="9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Q11" i="21" l="1"/>
  <c r="U7" i="21" s="1"/>
  <c r="CQ243" i="9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K130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N130" i="9" l="1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Q210" i="9"/>
  <c r="CL210" i="9"/>
  <c r="B74" i="11"/>
  <c r="C88" i="11" s="1"/>
  <c r="V48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F88" i="11" l="1"/>
  <c r="C93" i="11"/>
  <c r="G74" i="11"/>
  <c r="G77" i="11" s="1"/>
  <c r="E113" i="11" s="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AX210" i="9"/>
  <c r="K210" i="9"/>
  <c r="AE210" i="9"/>
  <c r="G5" i="12"/>
  <c r="D5" i="12"/>
  <c r="F5" i="12"/>
  <c r="CL243" i="9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1" i="9"/>
  <c r="CV206" i="9" s="1"/>
  <c r="C90" i="11" l="1"/>
  <c r="F90" i="11" s="1"/>
  <c r="C91" i="11"/>
  <c r="F91" i="11" s="1"/>
  <c r="C92" i="11"/>
  <c r="F92" i="11" s="1"/>
  <c r="C89" i="11"/>
  <c r="F89" i="11" s="1"/>
  <c r="E107" i="11"/>
  <c r="C107" i="11" s="1"/>
  <c r="E108" i="11"/>
  <c r="C108" i="11" s="1"/>
  <c r="E109" i="11"/>
  <c r="C109" i="11" s="1"/>
  <c r="E110" i="11"/>
  <c r="C110" i="11" s="1"/>
  <c r="E111" i="11"/>
  <c r="C111" i="11" s="1"/>
  <c r="E112" i="11"/>
  <c r="C112" i="11" s="1"/>
  <c r="E106" i="11"/>
  <c r="C106" i="11" s="1"/>
  <c r="G76" i="11"/>
  <c r="G73" i="11"/>
  <c r="C103" i="11" s="1"/>
  <c r="G75" i="1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CL227" i="9"/>
  <c r="CL224" i="9" s="1"/>
  <c r="AX214" i="9" s="1"/>
  <c r="CV233" i="9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F100" i="11" l="1"/>
  <c r="K113" i="11"/>
  <c r="C85" i="11"/>
  <c r="BI85" i="20"/>
  <c r="J171" i="20" s="1"/>
  <c r="G8" i="14"/>
  <c r="D57" i="14"/>
  <c r="F8" i="14"/>
  <c r="D54" i="14"/>
  <c r="F9" i="14"/>
  <c r="E54" i="14"/>
  <c r="CP246" i="9"/>
  <c r="CP243" i="9" a="1"/>
  <c r="CP243" i="9" s="1"/>
  <c r="G9" i="14"/>
  <c r="E57" i="14"/>
  <c r="BI103" i="20"/>
  <c r="J189" i="20" s="1"/>
  <c r="BG59" i="20"/>
  <c r="CO237" i="9"/>
  <c r="DA229" i="9"/>
  <c r="DB229" i="9" s="1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CZ249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BF106" i="15"/>
  <c r="G193" i="15" s="1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L222" i="9"/>
  <c r="AX212" i="9" s="1"/>
  <c r="CL223" i="9"/>
  <c r="AX213" i="9" s="1"/>
  <c r="CL226" i="9"/>
  <c r="AX216" i="9" s="1"/>
  <c r="CL225" i="9"/>
  <c r="AX215" i="9" s="1"/>
  <c r="CL221" i="9"/>
  <c r="F7" i="12"/>
  <c r="F6" i="12"/>
  <c r="G6" i="12"/>
  <c r="CR210" i="9"/>
  <c r="CS210" i="9" s="1"/>
  <c r="CT210" i="9" s="1"/>
  <c r="CU210" i="9" s="1"/>
  <c r="C84" i="11" l="1"/>
  <c r="C83" i="11"/>
  <c r="C82" i="11"/>
  <c r="C80" i="11"/>
  <c r="F80" i="11" s="1"/>
  <c r="C81" i="11"/>
  <c r="K106" i="11"/>
  <c r="I106" i="11" s="1"/>
  <c r="K107" i="11"/>
  <c r="I107" i="11" s="1"/>
  <c r="K109" i="11"/>
  <c r="I109" i="11" s="1"/>
  <c r="K112" i="11"/>
  <c r="I112" i="11" s="1"/>
  <c r="K108" i="11"/>
  <c r="I108" i="11" s="1"/>
  <c r="K110" i="11"/>
  <c r="I110" i="11" s="1"/>
  <c r="K111" i="11"/>
  <c r="I111" i="11" s="1"/>
  <c r="F81" i="11"/>
  <c r="F82" i="11"/>
  <c r="F83" i="11"/>
  <c r="F84" i="11"/>
  <c r="Z81" i="11"/>
  <c r="CZ247" i="9"/>
  <c r="DD229" i="9"/>
  <c r="BE93" i="20" s="1"/>
  <c r="BE49" i="20" s="1"/>
  <c r="C220" i="22"/>
  <c r="AX211" i="9"/>
  <c r="BQ211" i="9" s="1"/>
  <c r="CP227" i="9" a="1"/>
  <c r="CP227" i="9" s="1"/>
  <c r="BI86" i="20"/>
  <c r="J172" i="20" s="1"/>
  <c r="BB107" i="22"/>
  <c r="BB67" i="22" s="1"/>
  <c r="AC130" i="22"/>
  <c r="AC136" i="22" s="1"/>
  <c r="CZ246" i="9"/>
  <c r="Y63" i="9"/>
  <c r="AA62" i="9"/>
  <c r="Z61" i="9"/>
  <c r="AA61" i="9" s="1"/>
  <c r="Z63" i="9"/>
  <c r="CZ248" i="9"/>
  <c r="BF107" i="15"/>
  <c r="G194" i="15" s="1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CV210" i="9"/>
  <c r="CW210" i="9" s="1"/>
  <c r="F97" i="11" l="1"/>
  <c r="C97" i="11" s="1"/>
  <c r="F99" i="11"/>
  <c r="F101" i="11"/>
  <c r="C101" i="11" s="1"/>
  <c r="F98" i="11"/>
  <c r="K80" i="11"/>
  <c r="Z77" i="11"/>
  <c r="AC77" i="11" s="1"/>
  <c r="Z76" i="11"/>
  <c r="AC76" i="11" s="1"/>
  <c r="Z75" i="11"/>
  <c r="AC75" i="11" s="1"/>
  <c r="Z80" i="11"/>
  <c r="AC80" i="11" s="1"/>
  <c r="Z78" i="11"/>
  <c r="AC78" i="11" s="1"/>
  <c r="Z79" i="11"/>
  <c r="AC79" i="11" s="1"/>
  <c r="F85" i="11"/>
  <c r="AE211" i="9"/>
  <c r="K211" i="9" s="1"/>
  <c r="BB117" i="22"/>
  <c r="BF107" i="22"/>
  <c r="G193" i="22" s="1"/>
  <c r="AD130" i="22"/>
  <c r="BL108" i="22"/>
  <c r="Y64" i="9"/>
  <c r="AG69" i="9"/>
  <c r="Z64" i="9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CW211" i="9"/>
  <c r="CW206" i="9" s="1"/>
  <c r="BG110" i="20" s="1"/>
  <c r="BG66" i="20" s="1"/>
  <c r="D101" i="11" l="1"/>
  <c r="M97" i="11"/>
  <c r="D97" i="11"/>
  <c r="L97" i="11"/>
  <c r="C100" i="11"/>
  <c r="D100" i="11" s="1"/>
  <c r="AJ80" i="11"/>
  <c r="AJ79" i="11" s="1"/>
  <c r="AC81" i="11"/>
  <c r="AD76" i="11" s="1"/>
  <c r="C98" i="11"/>
  <c r="H80" i="11"/>
  <c r="AH84" i="11"/>
  <c r="AH76" i="11"/>
  <c r="AJ76" i="11" s="1"/>
  <c r="AJ75" i="11"/>
  <c r="AH75" i="11"/>
  <c r="I80" i="11"/>
  <c r="AH94" i="11"/>
  <c r="AC96" i="11"/>
  <c r="Z96" i="11" s="1"/>
  <c r="C99" i="11"/>
  <c r="D99" i="11" s="1"/>
  <c r="J80" i="11"/>
  <c r="AA64" i="9"/>
  <c r="N211" i="9"/>
  <c r="Y237" i="9" s="1"/>
  <c r="O217" i="9" a="1"/>
  <c r="O217" i="9" s="1"/>
  <c r="BU217" i="9" a="1"/>
  <c r="BU217" i="9" s="1"/>
  <c r="AQ117" i="22"/>
  <c r="BI110" i="20"/>
  <c r="CE226" i="9"/>
  <c r="BL226" i="9"/>
  <c r="CE224" i="9"/>
  <c r="BL224" i="9"/>
  <c r="CE227" i="9"/>
  <c r="BL227" i="9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CW239" i="9"/>
  <c r="CW243" i="9" s="1"/>
  <c r="CW233" i="9" s="1"/>
  <c r="E152" i="15"/>
  <c r="E160" i="15" s="1"/>
  <c r="AS83" i="15"/>
  <c r="AS43" i="15" s="1"/>
  <c r="CO223" i="9"/>
  <c r="CF224" i="9" s="1"/>
  <c r="BA213" i="9"/>
  <c r="D98" i="11" l="1"/>
  <c r="I97" i="11"/>
  <c r="AD79" i="11"/>
  <c r="AD80" i="11"/>
  <c r="AD75" i="11"/>
  <c r="AD78" i="11"/>
  <c r="AD77" i="11"/>
  <c r="AJ94" i="11"/>
  <c r="AJ87" i="11" s="1"/>
  <c r="AH87" i="11"/>
  <c r="AJ84" i="11"/>
  <c r="AJ83" i="11" s="1"/>
  <c r="AH83" i="11"/>
  <c r="DF240" i="9"/>
  <c r="DI240" i="9" s="1"/>
  <c r="EA240" i="9"/>
  <c r="ED240" i="9" s="1"/>
  <c r="L80" i="11"/>
  <c r="I82" i="11"/>
  <c r="AH210" i="9"/>
  <c r="AR218" i="9" s="1"/>
  <c r="N210" i="9"/>
  <c r="BT210" i="9"/>
  <c r="BA210" i="9"/>
  <c r="X128" i="22"/>
  <c r="BA102" i="22"/>
  <c r="BA62" i="22" s="1"/>
  <c r="E151" i="22"/>
  <c r="E159" i="22" s="1"/>
  <c r="AS83" i="22"/>
  <c r="AS43" i="22" s="1"/>
  <c r="AQ117" i="15"/>
  <c r="AS224" i="9"/>
  <c r="BK224" i="9"/>
  <c r="BM224" i="9" s="1"/>
  <c r="CG224" i="9"/>
  <c r="BE111" i="20"/>
  <c r="AF134" i="20"/>
  <c r="AF140" i="20" s="1"/>
  <c r="J196" i="20"/>
  <c r="BG121" i="20"/>
  <c r="BF83" i="15"/>
  <c r="G170" i="15" s="1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AA195" i="9"/>
  <c r="C211" i="22" s="1"/>
  <c r="BM260" i="9"/>
  <c r="BO260" i="9" s="1"/>
  <c r="BR217" i="9"/>
  <c r="BL35" i="9"/>
  <c r="J36" i="11"/>
  <c r="AX130" i="9"/>
  <c r="AE130" i="9"/>
  <c r="AD81" i="11" l="1"/>
  <c r="AM79" i="11"/>
  <c r="AM80" i="11" s="1"/>
  <c r="F8" i="17"/>
  <c r="H8" i="17" s="1"/>
  <c r="C215" i="22"/>
  <c r="BL218" i="9"/>
  <c r="BT217" i="9"/>
  <c r="BK218" i="9"/>
  <c r="AS218" i="9"/>
  <c r="AT218" i="9" s="1"/>
  <c r="DA249" i="9"/>
  <c r="DB249" i="9" s="1"/>
  <c r="EP248" i="9"/>
  <c r="AC94" i="11"/>
  <c r="Z94" i="11" s="1"/>
  <c r="AO80" i="11"/>
  <c r="AO79" i="11" s="1"/>
  <c r="AO75" i="11" s="1"/>
  <c r="AO76" i="11" s="1"/>
  <c r="AC87" i="11" s="1"/>
  <c r="J83" i="11"/>
  <c r="BL220" i="9" s="1"/>
  <c r="L83" i="11"/>
  <c r="K83" i="11"/>
  <c r="AM83" i="11"/>
  <c r="AM84" i="11" s="1"/>
  <c r="AC95" i="11" s="1"/>
  <c r="Z95" i="11" s="1"/>
  <c r="H83" i="11"/>
  <c r="BF83" i="22"/>
  <c r="G169" i="22" s="1"/>
  <c r="M120" i="22"/>
  <c r="BL91" i="22"/>
  <c r="AH130" i="9"/>
  <c r="AR137" i="9" s="1"/>
  <c r="BF102" i="22"/>
  <c r="G188" i="22" s="1"/>
  <c r="AL128" i="22"/>
  <c r="X136" i="22"/>
  <c r="BE67" i="20"/>
  <c r="BI111" i="20"/>
  <c r="J197" i="20" s="1"/>
  <c r="N240" i="9"/>
  <c r="AH233" i="9"/>
  <c r="N241" i="9" s="1"/>
  <c r="BF102" i="15"/>
  <c r="G189" i="15" s="1"/>
  <c r="AC195" i="9"/>
  <c r="AV93" i="20" s="1"/>
  <c r="AV49" i="20" s="1"/>
  <c r="G14" i="17"/>
  <c r="I14" i="17" s="1"/>
  <c r="BE121" i="20"/>
  <c r="X137" i="15"/>
  <c r="AL129" i="15"/>
  <c r="E217" i="15" s="1"/>
  <c r="BR258" i="9"/>
  <c r="C117" i="11" s="1"/>
  <c r="E117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BM218" i="9" l="1"/>
  <c r="G8" i="17"/>
  <c r="I8" i="17" s="1"/>
  <c r="EA239" i="9"/>
  <c r="ED239" i="9" s="1"/>
  <c r="DF239" i="9"/>
  <c r="DI239" i="9" s="1"/>
  <c r="M83" i="11"/>
  <c r="N83" i="11" s="1"/>
  <c r="AR219" i="9"/>
  <c r="BL219" i="9"/>
  <c r="BK219" i="9"/>
  <c r="AS219" i="9"/>
  <c r="BP210" i="9"/>
  <c r="AD210" i="9"/>
  <c r="EA238" i="9"/>
  <c r="ED238" i="9" s="1"/>
  <c r="DF238" i="9"/>
  <c r="DI238" i="9" s="1"/>
  <c r="AS221" i="9"/>
  <c r="BL221" i="9"/>
  <c r="BK221" i="9"/>
  <c r="AR221" i="9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3" i="9"/>
  <c r="BX213" i="9" s="1"/>
  <c r="BY213" i="9" s="1"/>
  <c r="BZ213" i="9" s="1"/>
  <c r="CA213" i="9" s="1"/>
  <c r="CB213" i="9" s="1"/>
  <c r="BW210" i="9"/>
  <c r="BW215" i="9"/>
  <c r="BX215" i="9" s="1"/>
  <c r="BY215" i="9" s="1"/>
  <c r="BZ215" i="9" s="1"/>
  <c r="CA215" i="9" s="1"/>
  <c r="CB215" i="9" s="1"/>
  <c r="BW212" i="9"/>
  <c r="BX212" i="9" s="1"/>
  <c r="BY212" i="9" s="1"/>
  <c r="BZ212" i="9" s="1"/>
  <c r="CA212" i="9" s="1"/>
  <c r="CB212" i="9" s="1"/>
  <c r="BW216" i="9"/>
  <c r="BX216" i="9" s="1"/>
  <c r="BY216" i="9" s="1"/>
  <c r="BZ216" i="9" s="1"/>
  <c r="CA216" i="9" s="1"/>
  <c r="CB216" i="9" s="1"/>
  <c r="AC97" i="11"/>
  <c r="Z87" i="1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8" i="1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BM221" i="9" l="1"/>
  <c r="AT221" i="9"/>
  <c r="BM219" i="9"/>
  <c r="BX210" i="9"/>
  <c r="BY210" i="9" s="1"/>
  <c r="BW217" i="9"/>
  <c r="EP245" i="9"/>
  <c r="DA246" i="9"/>
  <c r="DB246" i="9" s="1"/>
  <c r="DF237" i="9"/>
  <c r="EA237" i="9"/>
  <c r="Z97" i="11"/>
  <c r="AA87" i="11" s="1"/>
  <c r="AT219" i="9"/>
  <c r="DA248" i="9"/>
  <c r="DB248" i="9" s="1"/>
  <c r="EP247" i="9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BA85" i="15"/>
  <c r="BA45" i="15" s="1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BD45" i="20" s="1"/>
  <c r="DV131" i="9"/>
  <c r="D34" i="12" s="1"/>
  <c r="DW120" i="9"/>
  <c r="EB118" i="9" s="1"/>
  <c r="EC118" i="9" s="1"/>
  <c r="C287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L227" i="9"/>
  <c r="U222" i="9" s="1"/>
  <c r="C229" i="11"/>
  <c r="I118" i="11"/>
  <c r="C123" i="11"/>
  <c r="K117" i="11"/>
  <c r="E118" i="11" s="1"/>
  <c r="CB258" i="9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AU92" i="15" l="1"/>
  <c r="AU52" i="15" s="1"/>
  <c r="EA241" i="9"/>
  <c r="EK233" i="9" s="1"/>
  <c r="ED237" i="9"/>
  <c r="DI237" i="9"/>
  <c r="DF241" i="9"/>
  <c r="EE241" i="9" a="1"/>
  <c r="EE241" i="9" s="1"/>
  <c r="AG132" i="22" s="1"/>
  <c r="AG136" i="22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71" i="11" s="1"/>
  <c r="E271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7" i="11"/>
  <c r="K287" i="11" s="1"/>
  <c r="C295" i="11"/>
  <c r="C294" i="11" s="1"/>
  <c r="C297" i="11" s="1"/>
  <c r="AT140" i="9"/>
  <c r="H9" i="17"/>
  <c r="CE141" i="9"/>
  <c r="BL139" i="9"/>
  <c r="BM139" i="9" s="1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G199" i="15" s="1"/>
  <c r="AU130" i="9"/>
  <c r="S137" i="15"/>
  <c r="AU117" i="15"/>
  <c r="BF92" i="15"/>
  <c r="G179" i="15" s="1"/>
  <c r="AX117" i="15"/>
  <c r="BF97" i="15"/>
  <c r="G184" i="15" s="1"/>
  <c r="AS86" i="15"/>
  <c r="AS46" i="15" s="1"/>
  <c r="E229" i="11"/>
  <c r="EE118" i="9"/>
  <c r="EC119" i="9"/>
  <c r="EL114" i="9" s="1"/>
  <c r="L144" i="9"/>
  <c r="K145" i="9"/>
  <c r="C122" i="11"/>
  <c r="E122" i="11" s="1"/>
  <c r="E123" i="11" s="1"/>
  <c r="I117" i="11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AL132" i="22" l="1"/>
  <c r="AX117" i="22"/>
  <c r="EE105" i="9"/>
  <c r="EC106" i="9"/>
  <c r="EL101" i="9" s="1"/>
  <c r="J157" i="15" s="1"/>
  <c r="J160" i="15" s="1"/>
  <c r="DJ241" i="9" a="1"/>
  <c r="DJ241" i="9" s="1"/>
  <c r="EB160" i="9"/>
  <c r="EL152" i="9" s="1"/>
  <c r="BE111" i="15" s="1"/>
  <c r="BE71" i="15" s="1"/>
  <c r="DG240" i="9"/>
  <c r="EB237" i="9"/>
  <c r="EB239" i="9"/>
  <c r="DG238" i="9"/>
  <c r="EB240" i="9"/>
  <c r="EB238" i="9"/>
  <c r="DP233" i="9"/>
  <c r="DU237" i="9" s="1"/>
  <c r="DG237" i="9"/>
  <c r="DG239" i="9"/>
  <c r="DA247" i="9"/>
  <c r="DB247" i="9" s="1"/>
  <c r="DI241" i="9"/>
  <c r="EG237" i="9" s="1"/>
  <c r="EP246" i="9"/>
  <c r="ED241" i="9"/>
  <c r="AG133" i="15"/>
  <c r="AL124" i="22"/>
  <c r="G11" i="17"/>
  <c r="I11" i="17" s="1"/>
  <c r="BF97" i="22"/>
  <c r="G183" i="22" s="1"/>
  <c r="BF92" i="22"/>
  <c r="G178" i="22" s="1"/>
  <c r="C254" i="11"/>
  <c r="E254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88" i="11"/>
  <c r="I288" i="11" s="1"/>
  <c r="C298" i="11"/>
  <c r="Z233" i="9"/>
  <c r="AA233" i="9" s="1"/>
  <c r="AA234" i="9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C239" i="11"/>
  <c r="K230" i="11"/>
  <c r="I230" i="11" s="1"/>
  <c r="AE232" i="9" s="1"/>
  <c r="K229" i="11"/>
  <c r="E230" i="11"/>
  <c r="EE106" i="9"/>
  <c r="EH105" i="9" s="1"/>
  <c r="EI105" i="9" s="1"/>
  <c r="EJ105" i="9" s="1"/>
  <c r="EK105" i="9" s="1"/>
  <c r="EL105" i="9" s="1"/>
  <c r="EM105" i="9" s="1"/>
  <c r="K272" i="11"/>
  <c r="I272" i="11" s="1"/>
  <c r="K271" i="11"/>
  <c r="E272" i="11"/>
  <c r="I287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E119" i="11"/>
  <c r="K119" i="11" s="1"/>
  <c r="C118" i="1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EM130" i="9"/>
  <c r="DX133" i="9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DL237" i="9" l="1"/>
  <c r="DG241" i="9"/>
  <c r="EH237" i="9"/>
  <c r="EI237" i="9" s="1"/>
  <c r="EJ237" i="9" s="1"/>
  <c r="EK237" i="9" s="1"/>
  <c r="DM237" i="9"/>
  <c r="DN237" i="9" s="1"/>
  <c r="DO237" i="9" s="1"/>
  <c r="DP237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AF132" i="15"/>
  <c r="BC110" i="15"/>
  <c r="DA237" i="9"/>
  <c r="AL133" i="15"/>
  <c r="E221" i="15" s="1"/>
  <c r="AG137" i="15"/>
  <c r="EB241" i="9"/>
  <c r="BC110" i="22"/>
  <c r="AF131" i="22"/>
  <c r="D35" i="14"/>
  <c r="E64" i="14"/>
  <c r="H159" i="22"/>
  <c r="BF88" i="22"/>
  <c r="G174" i="22" s="1"/>
  <c r="BF87" i="22"/>
  <c r="G173" i="22" s="1"/>
  <c r="W136" i="22"/>
  <c r="AL127" i="22"/>
  <c r="BF101" i="22"/>
  <c r="G187" i="22" s="1"/>
  <c r="E294" i="11"/>
  <c r="G294" i="11" s="1"/>
  <c r="H294" i="11" s="1"/>
  <c r="E288" i="11"/>
  <c r="G288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H155" i="15"/>
  <c r="H160" i="15" s="1"/>
  <c r="C230" i="11"/>
  <c r="E231" i="11"/>
  <c r="I229" i="11"/>
  <c r="AE231" i="9" s="1"/>
  <c r="C237" i="11"/>
  <c r="C238" i="11"/>
  <c r="I271" i="11"/>
  <c r="EM106" i="9"/>
  <c r="EM101" i="9" s="1"/>
  <c r="F28" i="17" s="1"/>
  <c r="G28" i="17" s="1"/>
  <c r="EL106" i="9"/>
  <c r="E273" i="11"/>
  <c r="C272" i="11"/>
  <c r="EM119" i="9"/>
  <c r="EM114" i="9" s="1"/>
  <c r="EL119" i="9"/>
  <c r="E255" i="11"/>
  <c r="K255" i="11"/>
  <c r="I255" i="11" s="1"/>
  <c r="K254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9" i="11"/>
  <c r="C119" i="11"/>
  <c r="D14" i="12"/>
  <c r="BF82" i="15"/>
  <c r="G169" i="15" s="1"/>
  <c r="D17" i="14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AL131" i="22" l="1"/>
  <c r="AF136" i="22"/>
  <c r="BC70" i="22"/>
  <c r="BC117" i="22"/>
  <c r="BC71" i="15"/>
  <c r="BC117" i="15"/>
  <c r="AL132" i="15"/>
  <c r="E220" i="15" s="1"/>
  <c r="AF137" i="15"/>
  <c r="DC237" i="9"/>
  <c r="C62" i="14" s="1"/>
  <c r="DQ238" i="9"/>
  <c r="DC239" i="9" s="1"/>
  <c r="E62" i="14" s="1"/>
  <c r="DL241" i="9"/>
  <c r="DP241" i="9"/>
  <c r="DQ237" i="9"/>
  <c r="EK241" i="9"/>
  <c r="EL237" i="9"/>
  <c r="EL241" i="9" s="1"/>
  <c r="EL233" i="9" s="1"/>
  <c r="EG241" i="9"/>
  <c r="F18" i="14"/>
  <c r="E55" i="14"/>
  <c r="F17" i="14"/>
  <c r="D55" i="14"/>
  <c r="E289" i="11"/>
  <c r="E290" i="11" s="1"/>
  <c r="C288" i="11"/>
  <c r="BM104" i="22"/>
  <c r="BF86" i="22"/>
  <c r="G172" i="22" s="1"/>
  <c r="G239" i="11"/>
  <c r="G238" i="11" s="1"/>
  <c r="G237" i="11" s="1"/>
  <c r="C243" i="11"/>
  <c r="E239" i="11"/>
  <c r="E237" i="11" s="1"/>
  <c r="C244" i="11"/>
  <c r="BI101" i="20"/>
  <c r="J187" i="20" s="1"/>
  <c r="Z139" i="9"/>
  <c r="AA139" i="9" s="1"/>
  <c r="Z141" i="9"/>
  <c r="AA141" i="9" s="1"/>
  <c r="AA142" i="9"/>
  <c r="BF86" i="15"/>
  <c r="G173" i="15" s="1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BH116" i="20"/>
  <c r="AK137" i="20"/>
  <c r="Z130" i="15"/>
  <c r="Z137" i="15" s="1"/>
  <c r="BL104" i="15"/>
  <c r="BM104" i="15" s="1"/>
  <c r="AH137" i="15"/>
  <c r="K231" i="11"/>
  <c r="C231" i="11"/>
  <c r="C232" i="11" s="1"/>
  <c r="E232" i="11"/>
  <c r="K240" i="9"/>
  <c r="C273" i="11"/>
  <c r="C274" i="11" s="1"/>
  <c r="K273" i="11"/>
  <c r="E274" i="11"/>
  <c r="M289" i="11"/>
  <c r="J282" i="11" s="1"/>
  <c r="AE146" i="9"/>
  <c r="AE147" i="9"/>
  <c r="I254" i="11"/>
  <c r="E256" i="11"/>
  <c r="C255" i="11"/>
  <c r="K167" i="9"/>
  <c r="N168" i="9"/>
  <c r="Y143" i="9" s="1"/>
  <c r="C120" i="11"/>
  <c r="I120" i="11"/>
  <c r="BM102" i="15"/>
  <c r="F13" i="13"/>
  <c r="BM91" i="15"/>
  <c r="G16" i="14"/>
  <c r="D15" i="12"/>
  <c r="F15" i="12"/>
  <c r="F16" i="12"/>
  <c r="DX132" i="9"/>
  <c r="DU131" i="9"/>
  <c r="CB132" i="9"/>
  <c r="CB126" i="9" s="1"/>
  <c r="G18" i="14"/>
  <c r="CT118" i="9"/>
  <c r="CU118" i="9" s="1"/>
  <c r="CV118" i="9" s="1"/>
  <c r="DQ241" i="9" l="1"/>
  <c r="DQ233" i="9" s="1"/>
  <c r="AJ136" i="20"/>
  <c r="DW238" i="9"/>
  <c r="D63" i="14" s="1"/>
  <c r="DW239" i="9"/>
  <c r="E63" i="14" s="1"/>
  <c r="BF114" i="20"/>
  <c r="DT237" i="9"/>
  <c r="CZ237" i="9"/>
  <c r="DC238" i="9"/>
  <c r="D62" i="14" s="1"/>
  <c r="AI135" i="20"/>
  <c r="C289" i="11"/>
  <c r="C290" i="11" s="1"/>
  <c r="K289" i="11"/>
  <c r="I289" i="11" s="1"/>
  <c r="I290" i="11" s="1"/>
  <c r="D34" i="14"/>
  <c r="D64" i="14"/>
  <c r="BI116" i="20"/>
  <c r="J202" i="20" s="1"/>
  <c r="BH72" i="20"/>
  <c r="BI92" i="20"/>
  <c r="J178" i="20" s="1"/>
  <c r="BH48" i="20"/>
  <c r="BI91" i="20"/>
  <c r="J177" i="20" s="1"/>
  <c r="AU47" i="20"/>
  <c r="Z136" i="22"/>
  <c r="E238" i="11"/>
  <c r="C245" i="11"/>
  <c r="N237" i="11" s="1"/>
  <c r="BC105" i="20"/>
  <c r="BC61" i="20" s="1"/>
  <c r="BK130" i="9"/>
  <c r="BN131" i="9"/>
  <c r="Z131" i="20"/>
  <c r="AO137" i="20"/>
  <c r="H225" i="20" s="1"/>
  <c r="AK140" i="20"/>
  <c r="AE233" i="9"/>
  <c r="K241" i="9"/>
  <c r="K242" i="9" s="1"/>
  <c r="U236" i="9" s="1"/>
  <c r="I231" i="11"/>
  <c r="I232" i="11" s="1"/>
  <c r="K232" i="11"/>
  <c r="I273" i="11"/>
  <c r="I274" i="11" s="1"/>
  <c r="K274" i="11"/>
  <c r="K168" i="9"/>
  <c r="K169" i="9" s="1"/>
  <c r="U163" i="9" s="1"/>
  <c r="AH148" i="9"/>
  <c r="Z143" i="9" s="1"/>
  <c r="AA143" i="9" s="1"/>
  <c r="K256" i="11"/>
  <c r="C256" i="11"/>
  <c r="C257" i="11" s="1"/>
  <c r="E257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O135" i="20" l="1"/>
  <c r="H223" i="20" s="1"/>
  <c r="AI140" i="20"/>
  <c r="BF70" i="20"/>
  <c r="BF121" i="20"/>
  <c r="AO136" i="20"/>
  <c r="H224" i="20" s="1"/>
  <c r="AJ140" i="20"/>
  <c r="K290" i="11"/>
  <c r="G17" i="14"/>
  <c r="D58" i="14"/>
  <c r="O169" i="9" a="1"/>
  <c r="O169" i="9" s="1"/>
  <c r="AR84" i="22" s="1"/>
  <c r="AR44" i="22" s="1"/>
  <c r="AS117" i="22"/>
  <c r="M237" i="1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AS84" i="15"/>
  <c r="AS44" i="15" s="1"/>
  <c r="AE234" i="9"/>
  <c r="AI234" i="9" s="1" a="1"/>
  <c r="AI234" i="9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56" i="11"/>
  <c r="I257" i="11" s="1"/>
  <c r="K257" i="11"/>
  <c r="L167" i="9"/>
  <c r="G15" i="12"/>
  <c r="AR117" i="22" l="1"/>
  <c r="Q122" i="22"/>
  <c r="BL95" i="22"/>
  <c r="O237" i="11"/>
  <c r="P237" i="11" s="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BL93" i="22" l="1"/>
  <c r="O121" i="22"/>
  <c r="P63" i="9"/>
  <c r="T63" i="9" s="1"/>
  <c r="U63" i="9" s="1"/>
  <c r="V63" i="9" s="1"/>
  <c r="P226" i="9"/>
  <c r="T226" i="9" s="1"/>
  <c r="U226" i="9" s="1"/>
  <c r="V226" i="9" s="1"/>
  <c r="V227" i="9" s="1"/>
  <c r="V222" i="9" s="1"/>
  <c r="AV90" i="20" s="1"/>
  <c r="AV46" i="20" s="1"/>
  <c r="P144" i="9"/>
  <c r="T144" i="9" s="1"/>
  <c r="U144" i="9" s="1"/>
  <c r="V144" i="9" s="1"/>
  <c r="V145" i="9" s="1"/>
  <c r="V140" i="9" s="1"/>
  <c r="V64" i="9"/>
  <c r="V59" i="9" s="1"/>
  <c r="U64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U145" i="9" l="1"/>
  <c r="U227" i="9"/>
  <c r="BM93" i="22"/>
  <c r="AT90" i="20"/>
  <c r="AT46" i="20" s="1"/>
  <c r="AA46" i="9"/>
  <c r="C51" i="14" s="1"/>
  <c r="Q29" i="9"/>
  <c r="Q28" i="9"/>
  <c r="K158" i="20"/>
  <c r="K163" i="20" s="1"/>
  <c r="F24" i="17"/>
  <c r="G24" i="17" s="1"/>
  <c r="AU90" i="20"/>
  <c r="AA130" i="9"/>
  <c r="C52" i="14" s="1"/>
  <c r="AA132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E18" i="14" l="1"/>
  <c r="E52" i="14"/>
  <c r="AU121" i="20"/>
  <c r="AU46" i="20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AS222" i="9"/>
  <c r="BK222" i="9"/>
  <c r="BM222" i="9" s="1"/>
  <c r="R125" i="20"/>
  <c r="AO125" i="20" s="1"/>
  <c r="H213" i="20" s="1"/>
  <c r="W130" i="9"/>
  <c r="L12" i="13" s="1"/>
  <c r="BO97" i="20"/>
  <c r="BP97" i="20" s="1"/>
  <c r="AA131" i="9"/>
  <c r="D52" i="14" s="1"/>
  <c r="X130" i="9"/>
  <c r="AL122" i="15"/>
  <c r="E210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R140" i="20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4" i="9" l="1"/>
  <c r="CS224" i="9" s="1"/>
  <c r="CT224" i="9" s="1"/>
  <c r="CU224" i="9" s="1"/>
  <c r="CV224" i="9" s="1"/>
  <c r="CW224" i="9" s="1"/>
  <c r="CR222" i="9"/>
  <c r="CS222" i="9" s="1"/>
  <c r="CT222" i="9" s="1"/>
  <c r="CU222" i="9" s="1"/>
  <c r="CV222" i="9" s="1"/>
  <c r="CW222" i="9" s="1"/>
  <c r="AD136" i="22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AX217" i="9"/>
  <c r="BB217" i="9" s="1" a="1"/>
  <c r="BB217" i="9" s="1"/>
  <c r="BA212" i="9"/>
  <c r="AY98" i="22" l="1"/>
  <c r="AY58" i="22" s="1"/>
  <c r="T125" i="22"/>
  <c r="CW227" i="9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AI217" i="9" s="1" a="1"/>
  <c r="AI217" i="9" s="1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AV94" i="22" l="1"/>
  <c r="AV54" i="22" s="1"/>
  <c r="P122" i="22"/>
  <c r="Z237" i="9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C214" i="22" s="1"/>
  <c r="Y216" i="9"/>
  <c r="Y219" i="9"/>
  <c r="Y217" i="9"/>
  <c r="Y218" i="9"/>
  <c r="Y220" i="9"/>
  <c r="BK195" i="9"/>
  <c r="C217" i="22" s="1"/>
  <c r="BM190" i="9"/>
  <c r="BM195" i="9" s="1"/>
  <c r="AY117" i="22" l="1"/>
  <c r="BF98" i="22"/>
  <c r="G184" i="22" s="1"/>
  <c r="T136" i="22"/>
  <c r="AL125" i="22"/>
  <c r="AL126" i="15"/>
  <c r="E214" i="15" s="1"/>
  <c r="BB93" i="20"/>
  <c r="BB49" i="20" s="1"/>
  <c r="AU190" i="9"/>
  <c r="AY93" i="20" s="1"/>
  <c r="AY49" i="20" s="1"/>
  <c r="F15" i="17"/>
  <c r="AY117" i="15"/>
  <c r="BF98" i="15"/>
  <c r="G185" i="15" s="1"/>
  <c r="P123" i="15"/>
  <c r="P137" i="15" s="1"/>
  <c r="AV94" i="15"/>
  <c r="AV54" i="15" s="1"/>
  <c r="G24" i="14"/>
  <c r="AS210" i="9"/>
  <c r="Z210" i="9"/>
  <c r="G22" i="12"/>
  <c r="P136" i="22" l="1"/>
  <c r="BF94" i="22"/>
  <c r="G180" i="22" s="1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G181" i="15" s="1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F26" i="17" s="1"/>
  <c r="G26" i="17" s="1"/>
  <c r="BF85" i="15"/>
  <c r="G172" i="15" s="1"/>
  <c r="CB157" i="9"/>
  <c r="D51" i="11"/>
  <c r="L59" i="11" l="1"/>
  <c r="E60" i="11"/>
  <c r="BC89" i="20"/>
  <c r="BC45" i="20" s="1"/>
  <c r="J157" i="20"/>
  <c r="J163" i="20" s="1"/>
  <c r="CL143" i="9" l="1"/>
  <c r="C60" i="11"/>
  <c r="E61" i="11"/>
  <c r="E62" i="11" s="1"/>
  <c r="BI89" i="20"/>
  <c r="J175" i="20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O227" i="9"/>
  <c r="O62" i="11" l="1"/>
  <c r="BW144" i="9"/>
  <c r="AZ44" i="15"/>
  <c r="AZ117" i="15"/>
  <c r="BM95" i="22"/>
  <c r="CL145" i="9"/>
  <c r="Q123" i="15"/>
  <c r="AL123" i="15" s="1"/>
  <c r="E211" i="15" s="1"/>
  <c r="BL95" i="15"/>
  <c r="BM95" i="15" s="1"/>
  <c r="AF234" i="9"/>
  <c r="BM103" i="15"/>
  <c r="CP145" i="9" l="1" a="1"/>
  <c r="CP145" i="9" s="1"/>
  <c r="CM143" i="9"/>
  <c r="CM142" i="9"/>
  <c r="BX144" i="9"/>
  <c r="BY144" i="9" s="1"/>
  <c r="BZ144" i="9" s="1"/>
  <c r="CA144" i="9" s="1"/>
  <c r="BW146" i="9"/>
  <c r="BL105" i="22"/>
  <c r="AA129" i="22"/>
  <c r="Q136" i="22"/>
  <c r="AL122" i="22"/>
  <c r="Q137" i="15"/>
  <c r="CM144" i="9"/>
  <c r="CV138" i="9"/>
  <c r="CA146" i="9" l="1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J97" i="11" l="1"/>
  <c r="K97" i="11"/>
  <c r="J210" i="9"/>
  <c r="AW210" i="9"/>
  <c r="BV210" i="9" l="1"/>
  <c r="BZ210" i="9" l="1"/>
  <c r="CA210" i="9" s="1"/>
  <c r="CB210" i="9" s="1"/>
  <c r="BV217" i="9" a="1"/>
  <c r="BV217" i="9" s="1"/>
  <c r="BC210" i="9"/>
  <c r="AJ210" i="9" s="1"/>
  <c r="P210" i="9" s="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C59" i="14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BD62" i="20" s="1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C53" i="14" s="1"/>
  <c r="BI210" i="9"/>
  <c r="BI217" i="9" s="1"/>
  <c r="BI206" i="9" s="1"/>
  <c r="BB102" i="20" s="1"/>
  <c r="BB58" i="20" s="1"/>
  <c r="V210" i="9"/>
  <c r="V217" i="9" s="1"/>
  <c r="V206" i="9" s="1"/>
  <c r="AV87" i="20" s="1"/>
  <c r="AV43" i="20" s="1"/>
  <c r="U217" i="9"/>
  <c r="Q217" i="9"/>
  <c r="BI106" i="20"/>
  <c r="J192" i="20" s="1"/>
  <c r="AO132" i="20"/>
  <c r="H220" i="20" s="1"/>
  <c r="AA140" i="20"/>
  <c r="AP210" i="9"/>
  <c r="AO217" i="9" l="1"/>
  <c r="Q195" i="9"/>
  <c r="AU210" i="9"/>
  <c r="F22" i="12" s="1"/>
  <c r="BI102" i="20"/>
  <c r="BI87" i="20"/>
  <c r="BK210" i="9"/>
  <c r="W129" i="20"/>
  <c r="BN212" i="9"/>
  <c r="E59" i="14" s="1"/>
  <c r="BN211" i="9"/>
  <c r="D59" i="14" s="1"/>
  <c r="H155" i="20"/>
  <c r="H163" i="20" s="1"/>
  <c r="Q194" i="9"/>
  <c r="E24" i="14"/>
  <c r="E22" i="12"/>
  <c r="D24" i="14"/>
  <c r="D22" i="12"/>
  <c r="AP217" i="9"/>
  <c r="AP206" i="9" s="1"/>
  <c r="AY98" i="20" s="1"/>
  <c r="AY54" i="20" s="1"/>
  <c r="F24" i="14" l="1"/>
  <c r="C56" i="14"/>
  <c r="BI98" i="20"/>
  <c r="S126" i="20"/>
  <c r="AR210" i="9"/>
  <c r="AU212" i="9"/>
  <c r="E56" i="14" s="1"/>
  <c r="J173" i="20"/>
  <c r="BB121" i="20"/>
  <c r="J188" i="20"/>
  <c r="AU211" i="9"/>
  <c r="W140" i="20"/>
  <c r="AO129" i="20"/>
  <c r="H217" i="20" s="1"/>
  <c r="D24" i="12"/>
  <c r="D26" i="14"/>
  <c r="F25" i="14" l="1"/>
  <c r="D56" i="14"/>
  <c r="F23" i="12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AA48" i="9"/>
  <c r="E51" i="14" s="1"/>
  <c r="X46" i="9"/>
  <c r="AA47" i="9"/>
  <c r="D51" i="14" s="1"/>
  <c r="AT121" i="20" l="1"/>
  <c r="E8" i="14"/>
  <c r="E6" i="12"/>
  <c r="E9" i="14"/>
  <c r="E7" i="12"/>
  <c r="AD95" i="11"/>
  <c r="Z109" i="11"/>
  <c r="AD94" i="11" l="1"/>
  <c r="AH109" i="11"/>
  <c r="AE111" i="11" s="1"/>
  <c r="AA96" i="11"/>
  <c r="AI108" i="11" s="1"/>
  <c r="AD96" i="11"/>
  <c r="AA95" i="11"/>
  <c r="AD87" i="11"/>
  <c r="AA94" i="11"/>
  <c r="AD97" i="11" l="1"/>
  <c r="AA97" i="11"/>
  <c r="AA108" i="11"/>
  <c r="Z108" i="11" s="1"/>
  <c r="AH108" i="11"/>
  <c r="AI105" i="11"/>
  <c r="AH105" i="11" s="1"/>
  <c r="AA105" i="11"/>
  <c r="Z105" i="11" s="1"/>
  <c r="AI106" i="11"/>
  <c r="AA106" i="11"/>
  <c r="AI107" i="11"/>
  <c r="AH107" i="11" s="1"/>
  <c r="AA107" i="11"/>
  <c r="Z107" i="11" s="1"/>
  <c r="AC108" i="11"/>
  <c r="C162" i="11"/>
  <c r="EB159" i="9"/>
  <c r="AC105" i="11"/>
  <c r="EB156" i="9"/>
  <c r="C159" i="11"/>
  <c r="EV237" i="9"/>
  <c r="AK105" i="11"/>
  <c r="C193" i="11"/>
  <c r="BQ229" i="9"/>
  <c r="BQ232" i="9" l="1"/>
  <c r="BT232" i="9" s="1"/>
  <c r="EV240" i="9"/>
  <c r="EY240" i="9" s="1"/>
  <c r="C196" i="11"/>
  <c r="F196" i="11" s="1"/>
  <c r="E210" i="11" s="1"/>
  <c r="AK108" i="11"/>
  <c r="F193" i="11"/>
  <c r="F159" i="11"/>
  <c r="EC156" i="9"/>
  <c r="EE156" i="9"/>
  <c r="EY237" i="9"/>
  <c r="BQ231" i="9"/>
  <c r="EV239" i="9"/>
  <c r="AK107" i="11"/>
  <c r="C195" i="11"/>
  <c r="Z106" i="11"/>
  <c r="AA109" i="11"/>
  <c r="EC159" i="9"/>
  <c r="EE159" i="9"/>
  <c r="F162" i="11"/>
  <c r="EB158" i="9"/>
  <c r="AC107" i="11"/>
  <c r="C161" i="11"/>
  <c r="BT229" i="9"/>
  <c r="AH106" i="11"/>
  <c r="AI109" i="11"/>
  <c r="EQ248" i="9" l="1"/>
  <c r="ER248" i="9" s="1"/>
  <c r="F195" i="11"/>
  <c r="EY239" i="9"/>
  <c r="BT231" i="9"/>
  <c r="EC158" i="9"/>
  <c r="EE158" i="9"/>
  <c r="C194" i="11"/>
  <c r="BQ230" i="9"/>
  <c r="EV238" i="9"/>
  <c r="AK106" i="11"/>
  <c r="F161" i="11"/>
  <c r="AC106" i="11"/>
  <c r="EB157" i="9"/>
  <c r="EF160" i="9" s="1" a="1"/>
  <c r="EF160" i="9" s="1"/>
  <c r="BE111" i="22" s="1"/>
  <c r="BE71" i="22" s="1"/>
  <c r="C160" i="11"/>
  <c r="EQ247" i="9" l="1"/>
  <c r="ER247" i="9" s="1"/>
  <c r="EE157" i="9"/>
  <c r="EC157" i="9"/>
  <c r="AK109" i="11"/>
  <c r="AC109" i="11"/>
  <c r="AD105" i="11" s="1"/>
  <c r="EY238" i="9"/>
  <c r="EV241" i="9"/>
  <c r="FF233" i="9" s="1"/>
  <c r="BK111" i="15" s="1"/>
  <c r="BM111" i="15" s="1"/>
  <c r="F160" i="11"/>
  <c r="C163" i="11"/>
  <c r="BT230" i="9"/>
  <c r="BQ233" i="9"/>
  <c r="BU233" i="9" s="1" a="1"/>
  <c r="BU233" i="9" s="1"/>
  <c r="BA111" i="22" s="1"/>
  <c r="F194" i="11"/>
  <c r="C197" i="11"/>
  <c r="D194" i="11" s="1"/>
  <c r="C210" i="11"/>
  <c r="C209" i="11" s="1"/>
  <c r="BA71" i="22" l="1"/>
  <c r="BF111" i="22"/>
  <c r="G197" i="22" s="1"/>
  <c r="EZ241" i="9" a="1"/>
  <c r="EZ241" i="9" s="1"/>
  <c r="BK111" i="22" s="1"/>
  <c r="BM111" i="22" s="1"/>
  <c r="BM110" i="15"/>
  <c r="BM110" i="22"/>
  <c r="EQ245" i="9"/>
  <c r="ER245" i="9" s="1"/>
  <c r="EQ246" i="9"/>
  <c r="ER246" i="9" s="1"/>
  <c r="EQ143" i="9"/>
  <c r="EQ145" i="9"/>
  <c r="CE218" i="9"/>
  <c r="CE219" i="9"/>
  <c r="AL106" i="11"/>
  <c r="AL105" i="11"/>
  <c r="D196" i="11"/>
  <c r="D193" i="11"/>
  <c r="D195" i="11"/>
  <c r="CA225" i="9"/>
  <c r="BA111" i="15" s="1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8" i="11"/>
  <c r="G159" i="11"/>
  <c r="AD107" i="11"/>
  <c r="G162" i="11"/>
  <c r="AD106" i="11"/>
  <c r="BR230" i="9"/>
  <c r="D162" i="11"/>
  <c r="D159" i="11"/>
  <c r="D161" i="11"/>
  <c r="D160" i="11"/>
  <c r="AL108" i="11"/>
  <c r="AL107" i="11"/>
  <c r="C207" i="11"/>
  <c r="F197" i="11"/>
  <c r="G194" i="11" s="1"/>
  <c r="P159" i="11"/>
  <c r="G160" i="11"/>
  <c r="C175" i="11"/>
  <c r="P160" i="11"/>
  <c r="C176" i="11"/>
  <c r="E176" i="11"/>
  <c r="E175" i="11" s="1"/>
  <c r="F163" i="11"/>
  <c r="EW238" i="9"/>
  <c r="G161" i="11"/>
  <c r="EE160" i="9"/>
  <c r="BA71" i="15" l="1"/>
  <c r="BF111" i="15"/>
  <c r="G198" i="15" s="1"/>
  <c r="C206" i="11"/>
  <c r="H206" i="11" s="1"/>
  <c r="H207" i="11" s="1"/>
  <c r="E206" i="11"/>
  <c r="J206" i="11" s="1"/>
  <c r="J207" i="11" s="1"/>
  <c r="BF110" i="15"/>
  <c r="G197" i="15" s="1"/>
  <c r="BW230" i="9"/>
  <c r="BX230" i="9" s="1"/>
  <c r="BY230" i="9" s="1"/>
  <c r="BZ230" i="9" s="1"/>
  <c r="CA230" i="9" s="1"/>
  <c r="CB230" i="9" s="1"/>
  <c r="H176" i="11"/>
  <c r="H175" i="11" s="1"/>
  <c r="Q160" i="11"/>
  <c r="H179" i="11"/>
  <c r="H178" i="11" s="1"/>
  <c r="M160" i="11"/>
  <c r="Q159" i="11"/>
  <c r="J176" i="11"/>
  <c r="J175" i="11" s="1"/>
  <c r="M159" i="11"/>
  <c r="J179" i="11"/>
  <c r="J178" i="11" s="1"/>
  <c r="P194" i="11"/>
  <c r="H210" i="11"/>
  <c r="H209" i="11" s="1"/>
  <c r="J210" i="11"/>
  <c r="J209" i="11" s="1"/>
  <c r="P193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9" i="11"/>
  <c r="D163" i="11"/>
  <c r="G163" i="11"/>
  <c r="AD109" i="11"/>
  <c r="G196" i="11"/>
  <c r="G193" i="11"/>
  <c r="G195" i="11"/>
  <c r="BR233" i="9"/>
  <c r="D197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C213" i="11"/>
  <c r="C214" i="11" s="1"/>
  <c r="E214" i="11" s="1"/>
  <c r="H214" i="11" s="1"/>
  <c r="Q193" i="11"/>
  <c r="M193" i="11"/>
  <c r="CL254" i="9" s="1"/>
  <c r="M194" i="11"/>
  <c r="CL255" i="9" s="1"/>
  <c r="CO255" i="9" s="1"/>
  <c r="CF218" i="9" s="1"/>
  <c r="CG218" i="9" s="1"/>
  <c r="Q194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7" i="11"/>
  <c r="FB145" i="9"/>
  <c r="C178" i="11"/>
  <c r="C179" i="11" s="1"/>
  <c r="F166" i="11" s="1"/>
  <c r="CO254" i="9" l="1"/>
  <c r="F199" i="11"/>
  <c r="C199" i="11" s="1"/>
  <c r="BQ246" i="9" s="1"/>
  <c r="BT246" i="9" s="1"/>
  <c r="CF220" i="9"/>
  <c r="FE146" i="9"/>
  <c r="G7" i="13"/>
  <c r="G8" i="13" s="1"/>
  <c r="FE145" i="9"/>
  <c r="ER143" i="9" s="1"/>
  <c r="ES143" i="9" s="1"/>
  <c r="F200" i="11"/>
  <c r="C200" i="11" s="1"/>
  <c r="P195" i="11"/>
  <c r="FF241" i="9"/>
  <c r="FG237" i="9"/>
  <c r="FG241" i="9" s="1"/>
  <c r="FG233" i="9" s="1"/>
  <c r="EM156" i="9"/>
  <c r="EM160" i="9" s="1"/>
  <c r="EM152" i="9" s="1"/>
  <c r="BH115" i="20" s="1"/>
  <c r="BH71" i="20" s="1"/>
  <c r="EL160" i="9"/>
  <c r="CB229" i="9"/>
  <c r="CB233" i="9" s="1"/>
  <c r="CB225" i="9" s="1"/>
  <c r="BD115" i="20" s="1"/>
  <c r="CA233" i="9"/>
  <c r="F167" i="11"/>
  <c r="F168" i="11" s="1"/>
  <c r="G166" i="11" s="1"/>
  <c r="C166" i="11"/>
  <c r="BI115" i="20" l="1"/>
  <c r="J201" i="20" s="1"/>
  <c r="BD71" i="20"/>
  <c r="BP114" i="20"/>
  <c r="BN115" i="20"/>
  <c r="BP115" i="20" s="1"/>
  <c r="ER145" i="9"/>
  <c r="ES145" i="9" s="1"/>
  <c r="ER144" i="9"/>
  <c r="C201" i="11"/>
  <c r="D199" i="11" s="1"/>
  <c r="BQ247" i="9"/>
  <c r="M195" i="11"/>
  <c r="Q195" i="11"/>
  <c r="Q196" i="11" s="1"/>
  <c r="P196" i="11"/>
  <c r="EB144" i="9"/>
  <c r="G167" i="11"/>
  <c r="G168" i="11" s="1"/>
  <c r="C167" i="11"/>
  <c r="C168" i="11" s="1"/>
  <c r="C170" i="11" s="1"/>
  <c r="P161" i="11"/>
  <c r="E179" i="11"/>
  <c r="CF219" i="9"/>
  <c r="CG219" i="9" s="1"/>
  <c r="D200" i="11" l="1"/>
  <c r="C202" i="11"/>
  <c r="BI114" i="20"/>
  <c r="J200" i="20" s="1"/>
  <c r="BQ248" i="9"/>
  <c r="L240" i="9" s="1"/>
  <c r="BT247" i="9"/>
  <c r="CE221" i="9" s="1"/>
  <c r="CO256" i="9" s="1"/>
  <c r="M196" i="11"/>
  <c r="D201" i="11"/>
  <c r="EB145" i="9"/>
  <c r="D167" i="11"/>
  <c r="D166" i="11"/>
  <c r="BR247" i="9"/>
  <c r="Q161" i="11"/>
  <c r="Q162" i="11" s="1"/>
  <c r="M161" i="11"/>
  <c r="P162" i="11"/>
  <c r="EE144" i="9"/>
  <c r="EQ144" i="9" s="1"/>
  <c r="ES144" i="9" s="1"/>
  <c r="L241" i="9" l="1"/>
  <c r="CA242" i="9"/>
  <c r="BA84" i="15" s="1"/>
  <c r="BR246" i="9"/>
  <c r="D168" i="11"/>
  <c r="CL256" i="9"/>
  <c r="CF221" i="9"/>
  <c r="CG221" i="9" s="1"/>
  <c r="Y236" i="9"/>
  <c r="BR248" i="9"/>
  <c r="CL257" i="9"/>
  <c r="M162" i="11"/>
  <c r="N161" i="11" s="1"/>
  <c r="EE145" i="9"/>
  <c r="EQ146" i="9" s="1"/>
  <c r="FB147" i="9"/>
  <c r="L242" i="9"/>
  <c r="Y235" i="9"/>
  <c r="AA235" i="9" s="1"/>
  <c r="N193" i="11"/>
  <c r="N194" i="11"/>
  <c r="EB146" i="9"/>
  <c r="EC145" i="9" s="1"/>
  <c r="N195" i="11"/>
  <c r="BA44" i="15" l="1"/>
  <c r="BA117" i="15"/>
  <c r="EE146" i="9"/>
  <c r="EH144" i="9" s="1"/>
  <c r="EI144" i="9" s="1"/>
  <c r="EJ144" i="9" s="1"/>
  <c r="EK144" i="9" s="1"/>
  <c r="EL144" i="9" s="1"/>
  <c r="CP257" i="9" a="1"/>
  <c r="CP257" i="9" s="1"/>
  <c r="BL109" i="22" s="1"/>
  <c r="BA117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96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FF148" i="9" s="1" a="1"/>
  <c r="FF148" i="9" s="1"/>
  <c r="I158" i="11"/>
  <c r="N159" i="11"/>
  <c r="N160" i="11"/>
  <c r="CM256" i="9"/>
  <c r="EL140" i="9"/>
  <c r="EC144" i="9"/>
  <c r="AJ134" i="22" l="1"/>
  <c r="BL114" i="22"/>
  <c r="AE130" i="22"/>
  <c r="BM109" i="22"/>
  <c r="EL146" i="9"/>
  <c r="F159" i="22"/>
  <c r="C167" i="22" s="1" a="1"/>
  <c r="C167" i="22" s="1"/>
  <c r="AK232" i="9"/>
  <c r="AL232" i="9" s="1"/>
  <c r="AM232" i="9" s="1"/>
  <c r="AN232" i="9" s="1"/>
  <c r="AO232" i="9" s="1"/>
  <c r="AP232" i="9" s="1"/>
  <c r="AK231" i="9"/>
  <c r="N162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C168" i="15" s="1" a="1"/>
  <c r="C168" i="15" s="1"/>
  <c r="BE84" i="15"/>
  <c r="BE44" i="15" s="1"/>
  <c r="BM114" i="22" l="1"/>
  <c r="I167" i="22" s="1" a="1"/>
  <c r="I167" i="22" s="1"/>
  <c r="BE117" i="22"/>
  <c r="BF84" i="22"/>
  <c r="G170" i="22" s="1"/>
  <c r="AE136" i="22"/>
  <c r="AL130" i="22"/>
  <c r="AL231" i="9"/>
  <c r="AM231" i="9" s="1"/>
  <c r="AN231" i="9" s="1"/>
  <c r="AO231" i="9" s="1"/>
  <c r="AK234" i="9"/>
  <c r="BH88" i="20"/>
  <c r="BH44" i="20" s="1"/>
  <c r="ES133" i="9"/>
  <c r="E65" i="14" s="1"/>
  <c r="AE137" i="15"/>
  <c r="AL131" i="15"/>
  <c r="CB248" i="9"/>
  <c r="CB242" i="9" s="1"/>
  <c r="BE117" i="15"/>
  <c r="C209" i="15" s="1" a="1"/>
  <c r="BF84" i="15"/>
  <c r="G171" i="15" s="1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I168" i="15" s="1" a="1"/>
  <c r="I168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C209" i="15" l="1"/>
  <c r="G209" i="15" s="1"/>
  <c r="G216" i="15"/>
  <c r="G217" i="15"/>
  <c r="G220" i="15"/>
  <c r="G211" i="15"/>
  <c r="G212" i="15"/>
  <c r="G218" i="15"/>
  <c r="G213" i="15"/>
  <c r="G222" i="15"/>
  <c r="G215" i="15"/>
  <c r="G214" i="15"/>
  <c r="G210" i="15"/>
  <c r="E219" i="15"/>
  <c r="G219" i="15" s="1"/>
  <c r="AJ136" i="22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F171" i="20" s="1" a="1"/>
  <c r="F171" i="20" s="1"/>
  <c r="AB212" i="9"/>
  <c r="E53" i="14" s="1"/>
  <c r="AV88" i="20"/>
  <c r="AV44" i="20" s="1"/>
  <c r="E33" i="12"/>
  <c r="E35" i="14"/>
  <c r="AL135" i="15"/>
  <c r="AJ137" i="15"/>
  <c r="E168" i="15" s="1" a="1"/>
  <c r="E168" i="15" s="1"/>
  <c r="BD88" i="20"/>
  <c r="BD44" i="20" s="1"/>
  <c r="CH212" i="9"/>
  <c r="E61" i="14" s="1"/>
  <c r="FI145" i="9"/>
  <c r="FJ145" i="9" s="1"/>
  <c r="FK145" i="9" s="1"/>
  <c r="FL145" i="9" s="1"/>
  <c r="FH148" i="9"/>
  <c r="E223" i="15" l="1"/>
  <c r="G223" i="15" s="1"/>
  <c r="K188" i="22"/>
  <c r="K169" i="22"/>
  <c r="K192" i="22"/>
  <c r="K200" i="22"/>
  <c r="K181" i="22"/>
  <c r="K186" i="22"/>
  <c r="K175" i="22"/>
  <c r="K178" i="22"/>
  <c r="K174" i="22"/>
  <c r="K194" i="22"/>
  <c r="K183" i="22"/>
  <c r="K195" i="22"/>
  <c r="K189" i="22"/>
  <c r="K170" i="22"/>
  <c r="K190" i="22"/>
  <c r="K177" i="22"/>
  <c r="K173" i="22"/>
  <c r="K179" i="22"/>
  <c r="K180" i="22"/>
  <c r="K184" i="22"/>
  <c r="K168" i="22"/>
  <c r="K176" i="22"/>
  <c r="K199" i="22"/>
  <c r="K193" i="22"/>
  <c r="K201" i="22"/>
  <c r="K182" i="22"/>
  <c r="K185" i="22"/>
  <c r="K198" i="22"/>
  <c r="K191" i="22"/>
  <c r="K187" i="22"/>
  <c r="K196" i="22"/>
  <c r="AB211" i="9"/>
  <c r="D53" i="14" s="1"/>
  <c r="E167" i="22"/>
  <c r="K167" i="22" s="1"/>
  <c r="BI88" i="20"/>
  <c r="J174" i="20" s="1"/>
  <c r="CE210" i="9"/>
  <c r="CH211" i="9"/>
  <c r="D61" i="14" s="1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6" i="14"/>
  <c r="E24" i="12"/>
  <c r="AH134" i="20"/>
  <c r="CD210" i="9"/>
  <c r="N17" i="13" s="1"/>
  <c r="BO113" i="20"/>
  <c r="BP113" i="20" s="1"/>
  <c r="F212" i="20" l="1" a="1"/>
  <c r="J213" i="20" s="1"/>
  <c r="E25" i="14"/>
  <c r="E23" i="12"/>
  <c r="J217" i="20"/>
  <c r="J219" i="20"/>
  <c r="F212" i="20"/>
  <c r="J212" i="20" s="1"/>
  <c r="J215" i="20"/>
  <c r="J220" i="20"/>
  <c r="J223" i="20"/>
  <c r="J225" i="20"/>
  <c r="J218" i="20"/>
  <c r="J224" i="20"/>
  <c r="K179" i="15"/>
  <c r="K178" i="15"/>
  <c r="K182" i="15"/>
  <c r="K180" i="15"/>
  <c r="K181" i="15"/>
  <c r="K183" i="15"/>
  <c r="K177" i="15"/>
  <c r="K202" i="22"/>
  <c r="T140" i="20"/>
  <c r="AO126" i="20"/>
  <c r="H214" i="20" s="1"/>
  <c r="G23" i="12"/>
  <c r="G25" i="14"/>
  <c r="AO134" i="20"/>
  <c r="H222" i="20" s="1"/>
  <c r="J222" i="20" s="1"/>
  <c r="AH140" i="20"/>
  <c r="ES132" i="9"/>
  <c r="D65" i="14" s="1"/>
  <c r="BO118" i="20"/>
  <c r="BP118" i="20" s="1"/>
  <c r="AM138" i="20"/>
  <c r="EO131" i="9"/>
  <c r="M22" i="13" s="1"/>
  <c r="EP131" i="9"/>
  <c r="J216" i="20" l="1"/>
  <c r="J214" i="20"/>
  <c r="K185" i="15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H226" i="20" s="1"/>
  <c r="J226" i="20" s="1"/>
  <c r="AM140" i="20"/>
  <c r="K193" i="15" l="1"/>
  <c r="K201" i="15" s="1"/>
  <c r="K194" i="15"/>
  <c r="K202" i="15" s="1"/>
  <c r="CO145" i="9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T5" i="13" s="1"/>
  <c r="CG131" i="9"/>
  <c r="H15" i="12" s="1"/>
  <c r="AD133" i="20"/>
  <c r="AD140" i="20" s="1"/>
  <c r="H171" i="20" s="1" a="1"/>
  <c r="D60" i="14"/>
  <c r="CC130" i="9"/>
  <c r="O12" i="13" s="1"/>
  <c r="BO109" i="20"/>
  <c r="BP109" i="20" s="1"/>
  <c r="L171" i="20" s="1" a="1"/>
  <c r="L171" i="20" s="1"/>
  <c r="H17" i="14"/>
  <c r="AO133" i="20" l="1"/>
  <c r="H221" i="20" s="1"/>
  <c r="J221" i="20" s="1"/>
  <c r="H171" i="20"/>
  <c r="N201" i="20"/>
  <c r="N185" i="20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<sst xmlns="http://schemas.openxmlformats.org/spreadsheetml/2006/main" count="5746" uniqueCount="688">
  <si>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</si>
  <si>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</si>
  <si>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</si>
  <si>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</si>
  <si>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</si>
  <si>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</si>
  <si>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</si>
  <si>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</si>
  <si>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</si>
  <si>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</si>
  <si>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</si>
  <si>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</si>
  <si>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</si>
  <si>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</si>
  <si>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</si>
  <si>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</si>
  <si>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</si>
  <si>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</si>
  <si>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</si>
  <si>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</si>
  <si>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</si>
  <si>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</si>
  <si>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</si>
  <si>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</si>
  <si>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</si>
  <si>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</si>
  <si>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</si>
  <si>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</si>
  <si>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</si>
  <si>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</si>
  <si>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</si>
  <si>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</si>
  <si>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</si>
  <si>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</si>
  <si>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</si>
  <si>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</si>
  <si>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</si>
  <si>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</si>
  <si>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</si>
  <si>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</si>
  <si>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</si>
  <si>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</si>
  <si>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</si>
  <si>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</si>
  <si>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</si>
  <si>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</si>
  <si>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</si>
  <si>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</si>
  <si>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</si>
  <si>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</si>
  <si>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</si>
  <si>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</si>
  <si>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</si>
  <si>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</si>
  <si>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</si>
  <si>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</si>
  <si>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</si>
  <si>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</si>
  <si>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</si>
  <si>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</si>
  <si>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</si>
  <si>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</si>
  <si>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</si>
  <si>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</si>
  <si>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</si>
  <si>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</si>
  <si>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</si>
  <si>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</si>
  <si>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</si>
  <si>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</si>
  <si>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</si>
  <si>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</si>
  <si>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</si>
  <si>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</si>
  <si>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</si>
  <si>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</si>
  <si>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</si>
  <si>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</si>
  <si>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</si>
  <si>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</si>
  <si>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</si>
  <si>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</si>
  <si>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</si>
  <si>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</si>
  <si>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</si>
  <si>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</si>
  <si>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</si>
  <si>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</si>
  <si>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</si>
  <si>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</si>
  <si>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</si>
  <si>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</si>
  <si>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</si>
  <si>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</si>
  <si>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</si>
  <si>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</si>
  <si>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</si>
  <si>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</si>
  <si>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</si>
  <si>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</si>
  <si>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</si>
  <si>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</si>
  <si>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</si>
  <si>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</si>
  <si>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</si>
  <si>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</si>
  <si>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</si>
  <si>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</si>
  <si>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</si>
  <si>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</si>
  <si>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</si>
  <si>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</si>
  <si>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</si>
  <si>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</si>
  <si>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</si>
  <si>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</si>
  <si>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</si>
  <si>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</si>
  <si>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</si>
  <si>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</si>
  <si>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</si>
  <si>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</si>
  <si>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</si>
  <si>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</si>
  <si>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</si>
  <si>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</si>
  <si>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</si>
  <si>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</si>
  <si>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</si>
  <si>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</si>
  <si>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</si>
  <si>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</si>
  <si>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</si>
  <si>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</si>
  <si>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</si>
  <si>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</si>
  <si>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</si>
  <si>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</si>
  <si>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</si>
  <si>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</si>
  <si>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</si>
  <si>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</si>
  <si>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</si>
  <si>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</si>
  <si>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</si>
  <si>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</si>
  <si>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</si>
  <si>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</si>
  <si>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</si>
  <si>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</si>
  <si>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</si>
  <si>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</si>
  <si>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</si>
  <si>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</si>
  <si>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</si>
  <si>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</si>
  <si>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</si>
  <si>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</si>
  <si>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</si>
  <si>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</si>
  <si>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</si>
  <si>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</si>
  <si>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</si>
  <si>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</si>
  <si>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</si>
  <si>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</si>
  <si>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</si>
  <si>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</si>
  <si>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</si>
  <si>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</si>
  <si>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</si>
  <si>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</si>
  <si>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</si>
  <si>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</si>
  <si>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</si>
  <si>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</si>
  <si>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</si>
  <si>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</si>
  <si>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</si>
  <si>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</si>
  <si>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</si>
  <si>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</si>
  <si>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</si>
  <si>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</si>
  <si>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</si>
  <si>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</si>
  <si>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</si>
  <si>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</si>
  <si>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</si>
  <si>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</si>
  <si>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</si>
  <si>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</si>
  <si>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</si>
  <si>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</si>
  <si>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</si>
  <si>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</si>
  <si>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</si>
  <si>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</si>
  <si>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</si>
  <si>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</si>
  <si>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</si>
  <si>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</si>
  <si>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</si>
  <si>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</si>
  <si>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</si>
  <si>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</si>
  <si>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</si>
  <si>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</si>
  <si>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</si>
  <si>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</si>
  <si>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</si>
  <si>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</si>
  <si>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</si>
  <si>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</si>
  <si>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</si>
  <si>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</si>
  <si>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</si>
  <si>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</si>
  <si>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</si>
  <si>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</si>
  <si>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</si>
  <si>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</si>
  <si>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</si>
  <si>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</si>
  <si>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</si>
  <si>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</si>
  <si>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</si>
  <si>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</si>
  <si>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</si>
  <si>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</si>
  <si>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</si>
  <si>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</si>
  <si>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</si>
  <si>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</si>
  <si>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</si>
  <si>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</si>
  <si>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</si>
  <si>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</si>
  <si>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</si>
  <si>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</si>
  <si>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</si>
  <si>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</si>
  <si>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</si>
  <si>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</si>
  <si>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</si>
  <si>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</si>
  <si>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</si>
  <si>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</si>
  <si>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</si>
  <si>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</si>
  <si>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</si>
  <si>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</si>
  <si>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</si>
  <si>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</si>
  <si>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</si>
  <si>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</si>
  <si>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</si>
  <si>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</si>
  <si>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</si>
  <si>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</si>
  <si>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</si>
  <si>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</si>
  <si>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</si>
  <si>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</si>
  <si>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</si>
  <si>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</si>
  <si>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</si>
  <si>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</si>
  <si>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</si>
  <si>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</si>
  <si>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</si>
  <si>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</si>
  <si>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</si>
  <si>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</si>
  <si>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</si>
  <si>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</si>
  <si>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</si>
  <si>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</si>
  <si>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</si>
  <si>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</si>
  <si>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</si>
  <si>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</si>
  <si>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</si>
  <si>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</si>
  <si>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</si>
  <si>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</si>
  <si>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</si>
  <si>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</si>
  <si>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</si>
  <si>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</si>
  <si>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</si>
  <si>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</si>
  <si>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</si>
  <si>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</si>
  <si>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</si>
  <si>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</si>
  <si>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</si>
  <si>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</si>
  <si>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</si>
  <si>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</si>
  <si>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</si>
  <si>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</si>
  <si>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</si>
  <si>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</si>
  <si>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</si>
  <si>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</si>
  <si>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</si>
  <si>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</si>
  <si>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</si>
  <si>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</si>
  <si>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</si>
  <si>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</si>
  <si>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</si>
  <si>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</si>
  <si>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</si>
  <si>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</si>
  <si>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</si>
  <si>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</si>
  <si>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</si>
  <si>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</si>
  <si>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</si>
  <si>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</si>
  <si>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</si>
  <si>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</si>
  <si>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</si>
  <si>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</si>
  <si>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</si>
  <si>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</si>
  <si>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</si>
  <si>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</si>
  <si>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</si>
  <si>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</si>
  <si>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</si>
  <si>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</si>
  <si>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</si>
  <si>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</si>
  <si>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</si>
  <si>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</si>
  <si>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</si>
  <si>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</si>
  <si>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</si>
  <si>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</si>
  <si>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</si>
  <si>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</si>
  <si>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</si>
  <si>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</si>
  <si>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</si>
  <si>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</si>
  <si>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</si>
  <si>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</si>
  <si>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</si>
  <si>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</si>
  <si>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</si>
  <si>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</si>
  <si>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</si>
  <si>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</si>
  <si>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</si>
  <si>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</si>
  <si>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</si>
  <si>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</si>
  <si>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</si>
  <si>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</si>
  <si>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</si>
  <si>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</si>
  <si>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</si>
  <si>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</si>
  <si>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</si>
  <si>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</si>
  <si>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</si>
  <si>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</si>
  <si>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</si>
  <si>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</si>
  <si>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</si>
  <si>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</si>
  <si>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</si>
  <si>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</si>
  <si>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</si>
  <si>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</si>
  <si>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</si>
  <si>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</si>
  <si>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</si>
  <si>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</si>
  <si>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</si>
  <si>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</si>
  <si>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</si>
  <si>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</si>
  <si>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</si>
  <si>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</si>
  <si>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</si>
  <si>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</si>
  <si>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</si>
  <si>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</si>
  <si>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</si>
  <si>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</si>
  <si>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</si>
  <si>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</si>
  <si>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</si>
  <si>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</si>
  <si>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</si>
  <si>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</si>
  <si>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</si>
  <si>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</si>
  <si>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</si>
  <si>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</si>
  <si>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</si>
  <si>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</si>
  <si>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</si>
  <si>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</si>
  <si>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</si>
  <si>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</si>
  <si>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</si>
  <si>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</si>
  <si>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</si>
  <si>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</si>
  <si>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</si>
  <si>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</si>
  <si>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</si>
  <si>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</si>
  <si>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</si>
  <si>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</si>
  <si>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</si>
  <si>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</si>
  <si>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</si>
  <si>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</si>
  <si>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</si>
  <si>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</si>
  <si>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</si>
  <si>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</si>
  <si>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</si>
  <si>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</si>
  <si>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</si>
  <si>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</si>
  <si>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</si>
  <si>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</si>
  <si>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</si>
  <si>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</si>
  <si>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</si>
  <si>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</si>
  <si>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</si>
  <si>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</si>
  <si>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</si>
  <si>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</si>
  <si>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</si>
  <si>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</si>
  <si>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</si>
  <si>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</si>
  <si>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</si>
  <si>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</si>
  <si>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</si>
  <si>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</si>
  <si>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</si>
  <si>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</si>
  <si>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</si>
  <si>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</si>
  <si>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</si>
  <si>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</si>
  <si>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</si>
  <si>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</si>
  <si>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</si>
  <si>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</si>
  <si>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</si>
  <si>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</si>
  <si>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</si>
  <si>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</si>
  <si>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</si>
  <si>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</si>
  <si>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</si>
  <si>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</si>
  <si>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</si>
  <si>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</si>
  <si>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</si>
  <si>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</si>
  <si>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</si>
  <si>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</si>
  <si>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</si>
  <si>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</si>
  <si>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</si>
  <si>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</si>
  <si>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</si>
  <si>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</si>
  <si>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</si>
  <si>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</si>
  <si>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</si>
  <si>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</si>
  <si>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</si>
  <si>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</si>
  <si>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</si>
  <si>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</si>
  <si>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</si>
  <si>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</si>
  <si>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</si>
  <si>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</si>
  <si>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</si>
  <si>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</si>
  <si>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</si>
  <si>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</si>
  <si>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</si>
  <si>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</si>
  <si>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</si>
  <si>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</si>
  <si>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</si>
  <si>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</si>
  <si>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</si>
  <si>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</si>
  <si>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</si>
  <si>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</si>
  <si>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</si>
  <si>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</si>
  <si>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</si>
  <si>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</si>
  <si>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</si>
  <si>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</si>
  <si>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</si>
  <si>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</si>
  <si>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</si>
  <si>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</si>
  <si>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</si>
  <si>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</si>
  <si>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</si>
  <si>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</si>
  <si>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</si>
  <si>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</si>
  <si>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</si>
  <si>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</si>
  <si>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</si>
  <si>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</si>
  <si>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</si>
  <si>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</si>
  <si>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</si>
  <si>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</si>
  <si>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</si>
  <si>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</si>
  <si>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</si>
  <si>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</si>
  <si>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</si>
  <si>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</si>
  <si>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</si>
  <si>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</si>
  <si>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</si>
  <si>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</si>
  <si>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</si>
  <si>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</si>
  <si>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</si>
  <si>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</si>
  <si>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</si>
  <si>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</si>
  <si>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</si>
  <si>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</si>
  <si>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</si>
  <si>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</si>
  <si>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</si>
  <si>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</si>
  <si>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</si>
  <si>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</si>
  <si>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</si>
  <si>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</si>
  <si>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</si>
  <si>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</si>
  <si>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</si>
  <si>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</si>
  <si>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</si>
  <si>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</si>
  <si>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</si>
  <si>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</si>
  <si>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</si>
  <si>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</si>
  <si>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</si>
  <si>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</si>
  <si>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</si>
  <si>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</si>
  <si>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</si>
  <si>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</si>
  <si>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</si>
  <si>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</si>
  <si>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</si>
  <si>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</si>
  <si>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</si>
  <si>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</si>
  <si>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</si>
  <si>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</si>
  <si>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</si>
  <si>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</si>
  <si>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</si>
  <si>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</si>
  <si>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</si>
  <si>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</si>
  <si>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</si>
  <si>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</si>
  <si>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</si>
  <si>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</si>
  <si>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</si>
  <si>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</si>
  <si>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</si>
  <si>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</si>
  <si>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</si>
  <si>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</si>
  <si>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</si>
  <si>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</si>
  <si>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</si>
  <si>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</si>
  <si>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</si>
  <si>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</si>
  <si>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</si>
  <si>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</si>
  <si>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</si>
  <si>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</si>
  <si>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</si>
  <si>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</si>
  <si>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</si>
  <si>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</si>
  <si>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</si>
  <si>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</si>
  <si>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</si>
  <si>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</si>
  <si>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</si>
  <si>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</si>
  <si>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</si>
  <si>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</si>
  <si>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</si>
  <si>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</si>
  <si>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</si>
  <si>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</si>
  <si>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</si>
  <si>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</si>
  <si>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</si>
  <si>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</si>
  <si>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</si>
  <si>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</si>
  <si>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</si>
  <si>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</si>
  <si>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</si>
  <si>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</si>
  <si>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</si>
  <si>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</si>
  <si>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</si>
  <si>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</si>
  <si>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</si>
  <si>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</si>
  <si>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</si>
  <si>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</si>
  <si>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</si>
  <si>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</si>
  <si>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</si>
  <si>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</si>
  <si>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</si>
  <si>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</si>
  <si>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</si>
  <si>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</si>
  <si>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</si>
  <si>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</si>
  <si>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</si>
  <si>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</si>
  <si>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</si>
  <si>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</si>
  <si>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</si>
  <si>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</si>
  <si>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</si>
  <si>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</si>
  <si>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</si>
  <si>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</si>
  <si>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</si>
  <si>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</si>
  <si>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</si>
  <si>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</si>
  <si>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</si>
  <si>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</si>
  <si>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</si>
  <si>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</si>
  <si>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</si>
  <si>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</si>
  <si>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</si>
  <si>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</si>
  <si>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</si>
  <si>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</si>
  <si>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</si>
  <si>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</si>
  <si>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</si>
  <si>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</si>
  <si>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</si>
  <si>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</si>
  <si>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https://www.chemeo.com/cid/10-579-8/Phenanthrene</t>
  </si>
  <si>
    <t>G_C14H10</t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</si>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</sst>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5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32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0" fontId="14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6" fillId="0" borderId="14" xfId="0" applyFont="1" applyBorder="1" applyAlignment="1">
      <alignment horizontal="center" vertical="center"/>
    </xf>
    <xf numFmtId="0" fontId="56" fillId="0" borderId="2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56" fillId="0" borderId="43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2" fillId="0" borderId="0" xfId="0" applyFont="1" applyAlignment="1">
      <alignment horizontal="center" vertical="center" wrapText="1"/>
    </xf>
    <xf numFmtId="0" fontId="17" fillId="12" borderId="1" xfId="0" applyFont="1" applyFill="1" applyBorder="1" applyAlignment="1">
      <alignment horizontal="center"/>
    </xf>
    <xf numFmtId="0" fontId="70" fillId="26" borderId="0" xfId="0" applyFont="1" applyFill="1" applyAlignment="1">
      <alignment horizontal="center" vertical="center"/>
    </xf>
    <xf numFmtId="0" fontId="70" fillId="26" borderId="1" xfId="0" applyFont="1" applyFill="1" applyBorder="1" applyAlignment="1">
      <alignment horizontal="center" vertical="center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1" fillId="17" borderId="0" xfId="0" applyFont="1" applyFill="1" applyAlignment="1">
      <alignment horizontal="center" vertical="center"/>
    </xf>
    <xf numFmtId="0" fontId="38" fillId="13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17" fillId="12" borderId="19" xfId="0" applyFont="1" applyFill="1" applyBorder="1" applyAlignment="1">
      <alignment horizont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/>
    </xf>
    <xf numFmtId="0" fontId="40" fillId="14" borderId="0" xfId="0" applyFont="1" applyFill="1" applyAlignment="1">
      <alignment horizontal="center" vertical="center"/>
    </xf>
    <xf numFmtId="0" fontId="40" fillId="14" borderId="30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51" fillId="17" borderId="0" xfId="0" applyFont="1" applyFill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1" fillId="18" borderId="0" xfId="0" applyFont="1" applyFill="1" applyAlignment="1">
      <alignment horizontal="center" vertical="center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7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117587</xdr:colOff>
      <xdr:row>133</xdr:row>
      <xdr:rowOff>0</xdr:rowOff>
    </xdr:from>
    <xdr:to>
      <xdr:col>13</xdr:col>
      <xdr:colOff>387100</xdr:colOff>
      <xdr:row>150</xdr:row>
      <xdr:rowOff>104769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8867" y="26527760"/>
          <a:ext cx="3916953" cy="3386449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132</xdr:row>
      <xdr:rowOff>52694</xdr:rowOff>
    </xdr:from>
    <xdr:to>
      <xdr:col>10</xdr:col>
      <xdr:colOff>636975</xdr:colOff>
      <xdr:row>146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133</xdr:row>
      <xdr:rowOff>117322</xdr:rowOff>
    </xdr:from>
    <xdr:to>
      <xdr:col>22</xdr:col>
      <xdr:colOff>146352</xdr:colOff>
      <xdr:row>142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83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9</xdr:col>
      <xdr:colOff>91440</xdr:colOff>
      <xdr:row>100</xdr:row>
      <xdr:rowOff>73355</xdr:rowOff>
    </xdr:from>
    <xdr:to>
      <xdr:col>13</xdr:col>
      <xdr:colOff>304800</xdr:colOff>
      <xdr:row>111</xdr:row>
      <xdr:rowOff>232464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49920" y="20962315"/>
          <a:ext cx="4673600" cy="2587349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111</xdr:row>
      <xdr:rowOff>87717</xdr:rowOff>
    </xdr:from>
    <xdr:to>
      <xdr:col>38</xdr:col>
      <xdr:colOff>204165</xdr:colOff>
      <xdr:row>121</xdr:row>
      <xdr:rowOff>43800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304800</xdr:colOff>
      <xdr:row>106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134</xdr:row>
      <xdr:rowOff>94660</xdr:rowOff>
    </xdr:from>
    <xdr:to>
      <xdr:col>4</xdr:col>
      <xdr:colOff>860823</xdr:colOff>
      <xdr:row>150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103</xdr:row>
      <xdr:rowOff>79420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115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121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222</xdr:row>
      <xdr:rowOff>108857</xdr:rowOff>
    </xdr:from>
    <xdr:to>
      <xdr:col>12</xdr:col>
      <xdr:colOff>794657</xdr:colOff>
      <xdr:row>222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247</xdr:row>
      <xdr:rowOff>108857</xdr:rowOff>
    </xdr:from>
    <xdr:to>
      <xdr:col>12</xdr:col>
      <xdr:colOff>794657</xdr:colOff>
      <xdr:row>247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264</xdr:row>
      <xdr:rowOff>108857</xdr:rowOff>
    </xdr:from>
    <xdr:to>
      <xdr:col>12</xdr:col>
      <xdr:colOff>794657</xdr:colOff>
      <xdr:row>264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280</xdr:row>
      <xdr:rowOff>108857</xdr:rowOff>
    </xdr:from>
    <xdr:to>
      <xdr:col>12</xdr:col>
      <xdr:colOff>794657</xdr:colOff>
      <xdr:row>280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237</xdr:row>
      <xdr:rowOff>146010</xdr:rowOff>
    </xdr:from>
    <xdr:to>
      <xdr:col>13</xdr:col>
      <xdr:colOff>47203</xdr:colOff>
      <xdr:row>244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111</xdr:row>
      <xdr:rowOff>66261</xdr:rowOff>
    </xdr:from>
    <xdr:to>
      <xdr:col>50</xdr:col>
      <xdr:colOff>53010</xdr:colOff>
      <xdr:row>121</xdr:row>
      <xdr:rowOff>202405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122</xdr:row>
      <xdr:rowOff>30480</xdr:rowOff>
    </xdr:from>
    <xdr:to>
      <xdr:col>13</xdr:col>
      <xdr:colOff>467360</xdr:colOff>
      <xdr:row>128</xdr:row>
      <xdr:rowOff>17677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C65C58-DB86-7FA3-0F8B-A3EBD524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3680" y="24394160"/>
          <a:ext cx="7772400" cy="1186077"/>
        </a:xfrm>
        <a:prstGeom prst="rect">
          <a:avLst/>
        </a:prstGeom>
      </xdr:spPr>
    </xdr:pic>
    <xdr:clientData/>
  </xdr:twoCellAnchor>
  <xdr:twoCellAnchor editAs="oneCell">
    <xdr:from>
      <xdr:col>8</xdr:col>
      <xdr:colOff>386081</xdr:colOff>
      <xdr:row>69</xdr:row>
      <xdr:rowOff>133484</xdr:rowOff>
    </xdr:from>
    <xdr:to>
      <xdr:col>11</xdr:col>
      <xdr:colOff>254001</xdr:colOff>
      <xdr:row>76</xdr:row>
      <xdr:rowOff>163598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0481" y="14469244"/>
          <a:ext cx="2550160" cy="1482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120</xdr:row>
      <xdr:rowOff>121920</xdr:rowOff>
    </xdr:from>
    <xdr:to>
      <xdr:col>13</xdr:col>
      <xdr:colOff>1026160</xdr:colOff>
      <xdr:row>128</xdr:row>
      <xdr:rowOff>91440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28080" y="24079200"/>
          <a:ext cx="7416800" cy="157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250</xdr:row>
      <xdr:rowOff>157023</xdr:rowOff>
    </xdr:from>
    <xdr:to>
      <xdr:col>101</xdr:col>
      <xdr:colOff>389643</xdr:colOff>
      <xdr:row>250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62"/>
  <sheetViews>
    <sheetView topLeftCell="K1" zoomScale="125" workbookViewId="0">
      <selection activeCell="W15" sqref="W1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0" t="s">
        <v>102</v>
      </c>
      <c r="S2" s="311"/>
      <c r="T2" s="310" t="s">
        <v>108</v>
      </c>
      <c r="U2" s="311"/>
      <c r="W2" s="312" t="s">
        <v>233</v>
      </c>
      <c r="X2" s="312"/>
      <c r="Y2" s="13" t="s">
        <v>52</v>
      </c>
      <c r="AB2" s="3" t="s">
        <v>345</v>
      </c>
      <c r="AH2" s="3" t="s">
        <v>425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G3" s="13" t="s">
        <v>65</v>
      </c>
      <c r="AH3" s="210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455</v>
      </c>
      <c r="AA5" s="61" t="s">
        <v>487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506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488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3" t="s">
        <v>389</v>
      </c>
      <c r="R12" s="313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390</v>
      </c>
      <c r="S13" s="13" t="s">
        <v>33</v>
      </c>
      <c r="T13" s="13" t="s">
        <v>34</v>
      </c>
      <c r="U13" s="13" t="s">
        <v>35</v>
      </c>
      <c r="V13" s="13" t="s">
        <v>397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487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488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506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ht="17" x14ac:dyDescent="0.25">
      <c r="B42" s="3" t="s">
        <v>677</v>
      </c>
      <c r="C42" s="3">
        <v>223.7</v>
      </c>
      <c r="D42" s="3">
        <f>128.1705/1000</f>
        <v>0.12817049999999999</v>
      </c>
      <c r="F42" s="3">
        <v>78.5</v>
      </c>
      <c r="G42" s="1">
        <f>F42/D42</f>
        <v>612.46542691180889</v>
      </c>
    </row>
    <row r="43" spans="2:7" ht="17" x14ac:dyDescent="0.25">
      <c r="B43" s="3" t="s">
        <v>678</v>
      </c>
      <c r="C43" s="3">
        <v>383.08</v>
      </c>
      <c r="D43" s="3">
        <f>178.23/1000</f>
        <v>0.17823</v>
      </c>
      <c r="F43" s="3">
        <v>207</v>
      </c>
      <c r="G43" s="1">
        <f t="shared" ref="G43:G44" si="0">F43/D43</f>
        <v>1161.4206362565226</v>
      </c>
    </row>
    <row r="44" spans="2:7" ht="17" x14ac:dyDescent="0.25">
      <c r="B44" s="3" t="s">
        <v>679</v>
      </c>
      <c r="C44" s="3">
        <v>491.18</v>
      </c>
      <c r="D44" s="3">
        <f>202.26/1000</f>
        <v>0.20226</v>
      </c>
      <c r="F44" s="3">
        <v>-7917.8</v>
      </c>
      <c r="G44" s="1">
        <f t="shared" si="0"/>
        <v>-39146.642934836353</v>
      </c>
    </row>
    <row r="45" spans="2:7" ht="16" x14ac:dyDescent="0.2">
      <c r="B45" s="4"/>
      <c r="G45" s="1"/>
    </row>
    <row r="46" spans="2:7" x14ac:dyDescent="0.2">
      <c r="B46" s="4"/>
    </row>
    <row r="47" spans="2:7" x14ac:dyDescent="0.2">
      <c r="B47" s="3" t="s">
        <v>107</v>
      </c>
    </row>
    <row r="48" spans="2:7" ht="17" x14ac:dyDescent="0.25">
      <c r="B48" s="13" t="s">
        <v>54</v>
      </c>
      <c r="C48" s="3" t="s">
        <v>124</v>
      </c>
    </row>
    <row r="49" spans="2:3" ht="17" x14ac:dyDescent="0.25">
      <c r="B49" s="13" t="s">
        <v>54</v>
      </c>
      <c r="C49" s="16" t="s">
        <v>374</v>
      </c>
    </row>
    <row r="50" spans="2:3" ht="18" x14ac:dyDescent="0.25">
      <c r="B50" s="19" t="s">
        <v>6</v>
      </c>
      <c r="C50" s="16" t="s">
        <v>362</v>
      </c>
    </row>
    <row r="51" spans="2:3" ht="18" x14ac:dyDescent="0.25">
      <c r="B51" s="19" t="s">
        <v>6</v>
      </c>
      <c r="C51" s="3" t="s">
        <v>128</v>
      </c>
    </row>
    <row r="52" spans="2:3" ht="17" x14ac:dyDescent="0.25">
      <c r="B52" s="13" t="s">
        <v>172</v>
      </c>
      <c r="C52" s="3" t="s">
        <v>173</v>
      </c>
    </row>
    <row r="53" spans="2:3" x14ac:dyDescent="0.2">
      <c r="B53" s="13" t="s">
        <v>345</v>
      </c>
      <c r="C53" s="16" t="s">
        <v>347</v>
      </c>
    </row>
    <row r="54" spans="2:3" x14ac:dyDescent="0.2">
      <c r="B54" s="13" t="s">
        <v>5</v>
      </c>
      <c r="C54" s="16" t="s">
        <v>359</v>
      </c>
    </row>
    <row r="55" spans="2:3" x14ac:dyDescent="0.2">
      <c r="B55" s="13" t="s">
        <v>390</v>
      </c>
      <c r="C55" s="16" t="s">
        <v>664</v>
      </c>
    </row>
    <row r="56" spans="2:3" x14ac:dyDescent="0.2">
      <c r="B56" s="128" t="s">
        <v>395</v>
      </c>
      <c r="C56" s="3" t="s">
        <v>398</v>
      </c>
    </row>
    <row r="57" spans="2:3" x14ac:dyDescent="0.2">
      <c r="B57" s="13" t="s">
        <v>405</v>
      </c>
      <c r="C57" s="3" t="s">
        <v>338</v>
      </c>
    </row>
    <row r="58" spans="2:3" x14ac:dyDescent="0.2">
      <c r="B58" s="13" t="s">
        <v>500</v>
      </c>
      <c r="C58" s="3" t="s">
        <v>501</v>
      </c>
    </row>
    <row r="59" spans="2:3" ht="17" x14ac:dyDescent="0.25">
      <c r="B59" s="13" t="s">
        <v>492</v>
      </c>
      <c r="C59" s="3" t="s">
        <v>491</v>
      </c>
    </row>
    <row r="60" spans="2:3" x14ac:dyDescent="0.2">
      <c r="B60" s="13" t="s">
        <v>40</v>
      </c>
      <c r="C60" s="3" t="s">
        <v>657</v>
      </c>
    </row>
    <row r="61" spans="2:3" x14ac:dyDescent="0.2">
      <c r="B61" s="13" t="s">
        <v>662</v>
      </c>
      <c r="C61" s="3" t="s">
        <v>661</v>
      </c>
    </row>
    <row r="62" spans="2:3" x14ac:dyDescent="0.2">
      <c r="B62" s="3" t="s">
        <v>681</v>
      </c>
      <c r="C62" s="3" t="s">
        <v>680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50" r:id="rId1" xr:uid="{EFF8D2A8-239F-2043-B8CA-C9000BCE2862}"/>
    <hyperlink ref="C54" r:id="rId2" xr:uid="{A42C34EB-8A73-004F-8263-89538BA10B3D}"/>
    <hyperlink ref="C49" r:id="rId3" xr:uid="{12EAAE34-9BE8-0946-91A8-7A77554A47C1}"/>
    <hyperlink ref="C53" r:id="rId4" xr:uid="{86248BC1-AC01-E24C-A388-A2BFA867ED1B}"/>
    <hyperlink ref="C55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8"/>
  <sheetViews>
    <sheetView topLeftCell="D78" zoomScale="125" workbookViewId="0">
      <selection activeCell="O98" sqref="O98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5.832031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10.6640625" style="3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2" t="s">
        <v>125</v>
      </c>
      <c r="P10" s="312"/>
      <c r="Q10" s="312"/>
      <c r="R10" s="312"/>
      <c r="S10" s="312"/>
      <c r="T10" s="312"/>
      <c r="U10" s="312"/>
      <c r="V10" s="312" t="s">
        <v>125</v>
      </c>
      <c r="W10" s="312"/>
      <c r="X10" s="312"/>
      <c r="Y10" s="312"/>
      <c r="Z10" s="312"/>
      <c r="AA10" s="312"/>
      <c r="AB10" s="312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2" t="s">
        <v>306</v>
      </c>
      <c r="P11" s="312"/>
      <c r="Q11" s="312"/>
      <c r="R11" s="310"/>
      <c r="S11" s="311"/>
      <c r="T11" s="328" t="s">
        <v>305</v>
      </c>
      <c r="U11" s="329"/>
      <c r="V11" s="312" t="str">
        <f>_xlfn.CONCAT(E19," ",C19," ","+"," ",E21," ",C21," ","--&gt;"," ",E22," ",C22," ","+"," ",E20*E21," ",C20)</f>
        <v>1.5 C + 1.5 O2 --&gt; 1.5 CO2 + 5.64 N2</v>
      </c>
      <c r="W11" s="312"/>
      <c r="X11" s="312"/>
      <c r="Y11" s="312"/>
      <c r="Z11" s="312"/>
      <c r="AA11" s="312"/>
      <c r="AB11" s="31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2" t="s">
        <v>225</v>
      </c>
      <c r="P12" s="312"/>
      <c r="Q12" s="312"/>
      <c r="R12" s="310"/>
      <c r="S12" s="311"/>
      <c r="T12" s="312" t="s">
        <v>224</v>
      </c>
      <c r="U12" s="312"/>
      <c r="V12" s="312" t="str">
        <f>_xlfn.CONCAT(E25," ",C25," ","+"," ",E26," ",C26," ","--&gt;"," ",E27," ",C27)</f>
        <v>1.5 CO2 + 1.5 C --&gt; 3 CO</v>
      </c>
      <c r="W12" s="312"/>
      <c r="X12" s="312"/>
      <c r="Y12" s="312"/>
      <c r="Z12" s="312"/>
      <c r="AA12" s="312"/>
      <c r="AB12" s="31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2" t="s">
        <v>226</v>
      </c>
      <c r="P13" s="312"/>
      <c r="Q13" s="312"/>
      <c r="R13" s="310"/>
      <c r="S13" s="311"/>
      <c r="T13" s="328" t="s">
        <v>227</v>
      </c>
      <c r="U13" s="329"/>
      <c r="V13" s="312" t="str">
        <f>_xlfn.CONCAT(E29," ",C29," ","+"," ",E30," ",C30," ","--&gt;"," ",E31," ",C31," ","+"," ",E32," ",C32)</f>
        <v>1 Fe2O3 + 3 CO --&gt; 2 Fe + 3 CO2</v>
      </c>
      <c r="W13" s="312"/>
      <c r="X13" s="312"/>
      <c r="Y13" s="312"/>
      <c r="Z13" s="312"/>
      <c r="AA13" s="312"/>
      <c r="AB13" s="31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2"/>
      <c r="P14" s="312"/>
      <c r="Q14" s="312"/>
      <c r="R14" s="310"/>
      <c r="S14" s="311"/>
      <c r="T14" s="312"/>
      <c r="U14" s="312"/>
      <c r="V14" s="312" t="str">
        <f>_xlfn.CONCAT(E36," ",C36," ","--&gt;"," ",E37," ",C37," ","+"," ",E39," ",C39)</f>
        <v>1 CaCO3 --&gt; 1 CaO + 0.0624775822865075 MgO</v>
      </c>
      <c r="W14" s="312"/>
      <c r="X14" s="312"/>
      <c r="Y14" s="312"/>
      <c r="Z14" s="312"/>
      <c r="AA14" s="312"/>
      <c r="AB14" s="312"/>
    </row>
    <row r="15" spans="1:28" ht="17" x14ac:dyDescent="0.25">
      <c r="O15" s="312" t="s">
        <v>228</v>
      </c>
      <c r="P15" s="312"/>
      <c r="Q15" s="312"/>
      <c r="R15" s="310"/>
      <c r="S15" s="311"/>
      <c r="T15" s="312" t="s">
        <v>229</v>
      </c>
      <c r="U15" s="312"/>
      <c r="V15" s="312" t="str">
        <f>_xlfn.CONCAT(E41," ",C41," ","+"," ",E42," ",C42," ","--&gt;"," ",E43," ",C43)</f>
        <v>1 CaO + 1 SiO2 --&gt; 1 CaSiO3</v>
      </c>
      <c r="W15" s="312"/>
      <c r="X15" s="312"/>
      <c r="Y15" s="312"/>
      <c r="Z15" s="312"/>
      <c r="AA15" s="312"/>
      <c r="AB15" s="312"/>
    </row>
    <row r="16" spans="1:28" x14ac:dyDescent="0.2">
      <c r="L16" s="77" t="s">
        <v>410</v>
      </c>
      <c r="M16" s="83" t="s">
        <v>411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2" t="s">
        <v>334</v>
      </c>
      <c r="P17" s="312"/>
      <c r="Q17" s="312"/>
      <c r="R17" s="312"/>
      <c r="S17" s="312"/>
      <c r="T17" s="312"/>
      <c r="U17" s="312"/>
      <c r="V17" s="312" t="s">
        <v>125</v>
      </c>
      <c r="W17" s="312"/>
      <c r="X17" s="312"/>
      <c r="Y17" s="312"/>
      <c r="Z17" s="312"/>
      <c r="AA17" s="312"/>
      <c r="AB17" s="312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2" t="s">
        <v>335</v>
      </c>
      <c r="P18" s="312"/>
      <c r="Q18" s="312"/>
      <c r="R18" s="312"/>
      <c r="S18" s="312"/>
      <c r="T18" s="312" t="s">
        <v>336</v>
      </c>
      <c r="U18" s="310"/>
      <c r="V18" s="33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3"/>
      <c r="X18" s="333"/>
      <c r="Y18" s="333"/>
      <c r="Z18" s="333"/>
      <c r="AA18" s="333"/>
      <c r="AB18" s="333"/>
    </row>
    <row r="19" spans="1:28" ht="16" x14ac:dyDescent="0.2">
      <c r="B19" s="32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3"/>
      <c r="W19" s="333"/>
      <c r="X19" s="333"/>
      <c r="Y19" s="333"/>
      <c r="Z19" s="333"/>
      <c r="AA19" s="333"/>
      <c r="AB19" s="333"/>
    </row>
    <row r="20" spans="1:28" ht="18" x14ac:dyDescent="0.25">
      <c r="A20" s="1"/>
      <c r="B20" s="324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7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408</v>
      </c>
      <c r="O32" s="3" t="s">
        <v>409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7" t="s">
        <v>407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8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6" t="s">
        <v>19</v>
      </c>
      <c r="C44" s="31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20"/>
      <c r="D48" s="320"/>
      <c r="E48" s="320"/>
      <c r="F48" s="320"/>
      <c r="H48" s="312" t="s">
        <v>70</v>
      </c>
      <c r="I48" s="312"/>
      <c r="J48" s="312"/>
      <c r="K48" s="312"/>
      <c r="L48" s="312"/>
      <c r="M48" s="312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2" t="s">
        <v>74</v>
      </c>
      <c r="I49" s="312"/>
      <c r="J49" s="312"/>
      <c r="K49" s="13"/>
      <c r="L49" s="328" t="s">
        <v>358</v>
      </c>
      <c r="M49" s="329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15"/>
      <c r="J51" s="315"/>
      <c r="K51" s="315"/>
      <c r="L51" s="315"/>
      <c r="M51" s="315"/>
    </row>
    <row r="52" spans="1:17" ht="16.25" customHeight="1" x14ac:dyDescent="0.2">
      <c r="C52" s="7"/>
      <c r="H52" s="315"/>
      <c r="I52" s="315"/>
      <c r="J52" s="315"/>
      <c r="K52" s="315"/>
      <c r="L52" s="315"/>
      <c r="M52" s="315"/>
    </row>
    <row r="53" spans="1:17" ht="16.25" customHeight="1" x14ac:dyDescent="0.2"/>
    <row r="54" spans="1:17" ht="15.5" customHeight="1" x14ac:dyDescent="0.2"/>
    <row r="55" spans="1:17" ht="15.5" customHeight="1" x14ac:dyDescent="0.2">
      <c r="D55" s="306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426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426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21" t="s">
        <v>648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14" t="s">
        <v>649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22"/>
      <c r="K60" s="299" t="s">
        <v>647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14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22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377</v>
      </c>
      <c r="C69" s="319"/>
      <c r="D69" s="319"/>
      <c r="E69" s="319"/>
      <c r="F69" s="319"/>
      <c r="G69" s="319"/>
      <c r="W69" s="17"/>
      <c r="X69" s="17"/>
      <c r="Y69" s="334" t="s">
        <v>489</v>
      </c>
      <c r="Z69" s="335"/>
      <c r="AA69" s="335"/>
      <c r="AB69" s="335"/>
      <c r="AC69" s="335"/>
      <c r="AD69" s="335"/>
      <c r="AE69" s="335"/>
      <c r="AF69" s="335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39"/>
      <c r="C70" s="339"/>
      <c r="D70" s="339"/>
      <c r="E70" s="339"/>
      <c r="F70" s="339"/>
      <c r="G70" s="339"/>
      <c r="K70" s="3" t="s">
        <v>675</v>
      </c>
      <c r="Y70" s="336"/>
      <c r="Z70" s="337"/>
      <c r="AA70" s="337"/>
      <c r="AB70" s="337"/>
      <c r="AC70" s="337"/>
      <c r="AD70" s="337"/>
      <c r="AE70" s="337"/>
      <c r="AF70" s="337"/>
    </row>
    <row r="71" spans="1:45" x14ac:dyDescent="0.2">
      <c r="E71" s="13"/>
      <c r="F71" s="13" t="s">
        <v>381</v>
      </c>
      <c r="G71" s="13" t="s">
        <v>381</v>
      </c>
      <c r="Y71" s="336"/>
      <c r="Z71" s="337"/>
      <c r="AA71" s="337"/>
      <c r="AB71" s="337"/>
      <c r="AC71" s="337"/>
      <c r="AD71" s="337"/>
      <c r="AE71" s="337"/>
      <c r="AF71" s="337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673</v>
      </c>
      <c r="G72" s="13" t="s">
        <v>674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353</v>
      </c>
      <c r="F73" s="13">
        <v>18625</v>
      </c>
      <c r="G73" s="13">
        <f>(F73*G74)/F74</f>
        <v>308.72039257610697</v>
      </c>
      <c r="Y73" s="300" t="s">
        <v>113</v>
      </c>
      <c r="Z73" s="3" t="s">
        <v>1</v>
      </c>
      <c r="AA73" s="3" t="s">
        <v>47</v>
      </c>
      <c r="AB73" s="3" t="s">
        <v>5</v>
      </c>
      <c r="AC73" s="199" t="s">
        <v>406</v>
      </c>
      <c r="AD73" s="3" t="s">
        <v>39</v>
      </c>
      <c r="AG73" s="169" t="s">
        <v>113</v>
      </c>
      <c r="AH73" s="199" t="s">
        <v>406</v>
      </c>
      <c r="AJ73" s="199" t="s">
        <v>406</v>
      </c>
      <c r="AL73" s="169" t="s">
        <v>114</v>
      </c>
      <c r="AM73" s="199" t="s">
        <v>406</v>
      </c>
      <c r="AO73" s="199" t="s">
        <v>406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671</v>
      </c>
      <c r="F74" s="13">
        <v>11994</v>
      </c>
      <c r="G74" s="13">
        <f>B74</f>
        <v>198.80764502323905</v>
      </c>
      <c r="Q74" s="199"/>
      <c r="S74" s="199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672</v>
      </c>
      <c r="F75" s="13">
        <v>2720</v>
      </c>
      <c r="G75" s="13">
        <f>(G74*F75)/F74</f>
        <v>45.085609009772398</v>
      </c>
      <c r="R75" s="1"/>
      <c r="Y75" s="13" t="s">
        <v>66</v>
      </c>
      <c r="Z75" s="26">
        <f t="shared" ref="Z75:Z80" si="10">AA75*$Z$81</f>
        <v>25.788968353589809</v>
      </c>
      <c r="AA75" s="17">
        <v>0.57199999999999995</v>
      </c>
      <c r="AB75" s="17">
        <f>MW_H*2</f>
        <v>2.0158800000000003E-3</v>
      </c>
      <c r="AC75" s="233">
        <f>Z75/AB75</f>
        <v>12792.908483436417</v>
      </c>
      <c r="AD75" s="3">
        <f t="shared" ref="AD75:AD80" si="11">AC75/$AC$81</f>
        <v>0.92235600940319751</v>
      </c>
      <c r="AG75" s="61" t="s">
        <v>18</v>
      </c>
      <c r="AH75" s="1">
        <f>2*AC76</f>
        <v>64.284586465090456</v>
      </c>
      <c r="AI75" s="19" t="s">
        <v>182</v>
      </c>
      <c r="AJ75" s="1">
        <f>4*AC76</f>
        <v>128.56917293018091</v>
      </c>
      <c r="AL75" s="13"/>
      <c r="AM75" s="1"/>
      <c r="AN75" s="19" t="s">
        <v>182</v>
      </c>
      <c r="AO75" s="1">
        <f>AJ79+AJ75-AO79</f>
        <v>25110.150442870774</v>
      </c>
    </row>
    <row r="76" spans="1:45" ht="17" x14ac:dyDescent="0.25">
      <c r="E76" s="13" t="s">
        <v>378</v>
      </c>
      <c r="F76" s="13">
        <v>1490</v>
      </c>
      <c r="G76" s="13">
        <f>(G74*F76)/F74</f>
        <v>24.697631406088561</v>
      </c>
      <c r="Q76" s="1"/>
      <c r="R76" s="1"/>
      <c r="S76" s="1"/>
      <c r="Y76" s="61" t="s">
        <v>371</v>
      </c>
      <c r="Z76" s="24">
        <f t="shared" si="10"/>
        <v>0.90171218019544797</v>
      </c>
      <c r="AA76" s="3">
        <v>0.02</v>
      </c>
      <c r="AB76" s="3">
        <f>MW_C2H4</f>
        <v>2.8053759999999997E-2</v>
      </c>
      <c r="AC76" s="153">
        <f t="shared" ref="AC76:AC80" si="12">Z76/AB76</f>
        <v>32.142293232545228</v>
      </c>
      <c r="AD76" s="3">
        <f t="shared" si="11"/>
        <v>2.3174274526721363E-3</v>
      </c>
      <c r="AG76" s="61" t="s">
        <v>371</v>
      </c>
      <c r="AH76" s="1">
        <f>AC76</f>
        <v>32.142293232545228</v>
      </c>
      <c r="AI76" s="61" t="s">
        <v>371</v>
      </c>
      <c r="AJ76" s="1">
        <f>AH76</f>
        <v>32.142293232545228</v>
      </c>
      <c r="AL76" s="61"/>
      <c r="AM76" s="1"/>
      <c r="AN76" s="13" t="s">
        <v>66</v>
      </c>
      <c r="AO76" s="1">
        <f>AO75/2</f>
        <v>12555.075221435387</v>
      </c>
    </row>
    <row r="77" spans="1:45" ht="16" x14ac:dyDescent="0.2">
      <c r="E77" s="3" t="s">
        <v>676</v>
      </c>
      <c r="F77" s="3">
        <v>1415</v>
      </c>
      <c r="G77" s="3">
        <f>(G74*F77)/F74</f>
        <v>23.454462040010277</v>
      </c>
      <c r="H77" s="313" t="s">
        <v>113</v>
      </c>
      <c r="I77" s="313"/>
      <c r="J77" s="313"/>
      <c r="K77" s="313"/>
      <c r="L77" s="313"/>
      <c r="P77" s="4"/>
      <c r="Q77" s="1"/>
      <c r="R77" s="4"/>
      <c r="S77" s="1"/>
      <c r="Y77" s="13" t="s">
        <v>122</v>
      </c>
      <c r="Z77" s="24">
        <f t="shared" si="10"/>
        <v>2.0288524054397579</v>
      </c>
      <c r="AA77" s="3">
        <v>4.4999999999999998E-2</v>
      </c>
      <c r="AB77" s="3">
        <f>MW_CO</f>
        <v>2.8010399999999998E-2</v>
      </c>
      <c r="AC77" s="153">
        <f t="shared" si="12"/>
        <v>72.432111124430861</v>
      </c>
      <c r="AD77" s="3">
        <f t="shared" si="11"/>
        <v>5.2222833498636158E-3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387</v>
      </c>
      <c r="C78" s="3" t="s">
        <v>1</v>
      </c>
      <c r="D78" s="3" t="s">
        <v>47</v>
      </c>
      <c r="E78" s="3" t="s">
        <v>5</v>
      </c>
      <c r="F78" s="199" t="s">
        <v>406</v>
      </c>
      <c r="H78" s="199" t="s">
        <v>406</v>
      </c>
      <c r="I78" s="199" t="s">
        <v>406</v>
      </c>
      <c r="J78" s="199" t="s">
        <v>406</v>
      </c>
      <c r="K78" s="199" t="s">
        <v>406</v>
      </c>
      <c r="L78" s="199" t="s">
        <v>406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0.6311985261368136</v>
      </c>
      <c r="AA78" s="3">
        <v>1.4E-2</v>
      </c>
      <c r="AB78" s="3">
        <f>MW_CO2</f>
        <v>4.4009800000000002E-2</v>
      </c>
      <c r="AC78" s="153">
        <f t="shared" si="12"/>
        <v>14.342226643538792</v>
      </c>
      <c r="AD78" s="3">
        <f t="shared" si="11"/>
        <v>1.0340603116186127E-3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382</v>
      </c>
      <c r="I79" s="13" t="s">
        <v>366</v>
      </c>
      <c r="J79" s="61" t="s">
        <v>383</v>
      </c>
      <c r="K79" s="61" t="s">
        <v>384</v>
      </c>
      <c r="L79" s="19" t="s">
        <v>385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0.85662657118567553</v>
      </c>
      <c r="AA79" s="3">
        <v>1.9E-2</v>
      </c>
      <c r="AB79" s="3">
        <f>MW_N2</f>
        <v>2.801348E-2</v>
      </c>
      <c r="AC79" s="153">
        <f t="shared" si="12"/>
        <v>30.579084468822707</v>
      </c>
      <c r="AD79" s="3">
        <f t="shared" si="11"/>
        <v>2.2047216517170195E-3</v>
      </c>
      <c r="AI79" s="19" t="s">
        <v>182</v>
      </c>
      <c r="AJ79" s="3">
        <f>2*AJ80</f>
        <v>25585.816966872833</v>
      </c>
      <c r="AL79" s="19" t="s">
        <v>18</v>
      </c>
      <c r="AM79" s="3">
        <f>AH83+AH87+AH75</f>
        <v>151.05892423306011</v>
      </c>
      <c r="AN79" s="19" t="s">
        <v>182</v>
      </c>
      <c r="AO79" s="3">
        <f>4*AO80</f>
        <v>604.23569693224044</v>
      </c>
    </row>
    <row r="80" spans="1:45" ht="17" x14ac:dyDescent="0.25">
      <c r="A80" s="342" t="s">
        <v>653</v>
      </c>
      <c r="B80" s="13" t="s">
        <v>66</v>
      </c>
      <c r="C80" s="3">
        <f>D80*$C$85</f>
        <v>27.817820759029569</v>
      </c>
      <c r="D80" s="17">
        <v>0.61699999999999999</v>
      </c>
      <c r="E80" s="17">
        <f>MW_H*2</f>
        <v>2.0158800000000003E-3</v>
      </c>
      <c r="F80" s="17">
        <f>C80/E80</f>
        <v>13799.343591399074</v>
      </c>
      <c r="G80" s="1"/>
      <c r="H80" s="3">
        <f>F98</f>
        <v>32806.234376953551</v>
      </c>
      <c r="I80" s="3">
        <f>F97</f>
        <v>19253.410011228389</v>
      </c>
      <c r="J80" s="4">
        <f>F99</f>
        <v>255.03623917598804</v>
      </c>
      <c r="K80" s="4">
        <f>F100</f>
        <v>22.706388738495114</v>
      </c>
      <c r="L80" s="1">
        <f>SUM(H80:K80)+I81</f>
        <v>52337.387016096422</v>
      </c>
      <c r="M80" s="1"/>
      <c r="N80" s="1"/>
      <c r="O80" s="1"/>
      <c r="P80" s="1"/>
      <c r="Y80" s="13" t="s">
        <v>65</v>
      </c>
      <c r="Z80" s="163">
        <f t="shared" si="10"/>
        <v>14.878250973224892</v>
      </c>
      <c r="AA80" s="28">
        <v>0.33</v>
      </c>
      <c r="AB80" s="28">
        <f>MW_CH4</f>
        <v>1.604276E-2</v>
      </c>
      <c r="AC80" s="234">
        <f t="shared" si="12"/>
        <v>927.41217678410032</v>
      </c>
      <c r="AD80" s="3">
        <f t="shared" si="11"/>
        <v>6.6865497830930917E-2</v>
      </c>
      <c r="AI80" s="13" t="s">
        <v>66</v>
      </c>
      <c r="AJ80" s="3">
        <f>AC75</f>
        <v>12792.908483436417</v>
      </c>
      <c r="AL80" s="13" t="s">
        <v>65</v>
      </c>
      <c r="AM80" s="3">
        <f>AM79</f>
        <v>151.05892423306011</v>
      </c>
      <c r="AN80" s="13" t="s">
        <v>65</v>
      </c>
      <c r="AO80" s="3">
        <f>AM80</f>
        <v>151.05892423306011</v>
      </c>
    </row>
    <row r="81" spans="1:39" ht="17" x14ac:dyDescent="0.25">
      <c r="A81" s="342"/>
      <c r="B81" s="13" t="s">
        <v>368</v>
      </c>
      <c r="C81" s="3">
        <f>D81*$C$85</f>
        <v>1.3525682702931718</v>
      </c>
      <c r="D81" s="3">
        <v>0.03</v>
      </c>
      <c r="E81" s="3">
        <f>MW_H2S</f>
        <v>3.4081880000000002E-2</v>
      </c>
      <c r="F81" s="3">
        <f t="shared" ref="F81:F83" si="13">C81/E81</f>
        <v>39.68584685742605</v>
      </c>
      <c r="G81" s="1"/>
      <c r="J81" s="4"/>
      <c r="K81" s="4"/>
      <c r="L81" s="6"/>
      <c r="M81" s="6"/>
      <c r="N81" s="6"/>
      <c r="O81" s="6"/>
      <c r="Y81" s="24" t="s">
        <v>19</v>
      </c>
      <c r="Z81" s="3">
        <f>C85</f>
        <v>45.085609009772398</v>
      </c>
      <c r="AA81" s="3">
        <f>SUM(AA75:AA80)</f>
        <v>1</v>
      </c>
      <c r="AC81" s="3">
        <f>SUM(AC75:AC80)</f>
        <v>13869.816375689858</v>
      </c>
      <c r="AD81" s="3">
        <f>SUM(AD75:AD80)</f>
        <v>0.99999999999999978</v>
      </c>
      <c r="AG81" s="6"/>
      <c r="AL81" s="6"/>
    </row>
    <row r="82" spans="1:39" ht="16" x14ac:dyDescent="0.2">
      <c r="A82" s="342"/>
      <c r="B82" s="13" t="s">
        <v>122</v>
      </c>
      <c r="C82" s="3">
        <f>D82*$C$85</f>
        <v>2.6149653225667993</v>
      </c>
      <c r="D82" s="3">
        <v>5.8000000000000003E-2</v>
      </c>
      <c r="E82" s="3">
        <f>MW_CO</f>
        <v>2.8010399999999998E-2</v>
      </c>
      <c r="F82" s="3">
        <f t="shared" si="13"/>
        <v>93.356943227044226</v>
      </c>
      <c r="G82" s="1"/>
      <c r="I82" s="3">
        <f>SUM(I80:I81)</f>
        <v>19253.410011228389</v>
      </c>
      <c r="J82" s="4"/>
      <c r="K82" s="4"/>
      <c r="L82" s="6"/>
      <c r="M82" s="6" t="s">
        <v>634</v>
      </c>
      <c r="N82" s="6"/>
      <c r="O82" s="6"/>
      <c r="P82" s="6"/>
      <c r="Y82" s="24"/>
    </row>
    <row r="83" spans="1:39" ht="18" x14ac:dyDescent="0.25">
      <c r="A83" s="342"/>
      <c r="B83" s="20" t="s">
        <v>64</v>
      </c>
      <c r="C83" s="3">
        <f>D83*$C$85</f>
        <v>1.1271402252443099</v>
      </c>
      <c r="D83" s="3">
        <v>2.5000000000000001E-2</v>
      </c>
      <c r="E83" s="3">
        <f>MW_CO2</f>
        <v>4.4009800000000002E-2</v>
      </c>
      <c r="F83" s="3">
        <f t="shared" si="13"/>
        <v>25.611119006319271</v>
      </c>
      <c r="G83" s="1"/>
      <c r="H83" s="3">
        <f>H80/I82</f>
        <v>1.7039181297142323</v>
      </c>
      <c r="I83" s="3">
        <v>1</v>
      </c>
      <c r="J83" s="4">
        <f>J80/I82</f>
        <v>1.3246289308088986E-2</v>
      </c>
      <c r="K83" s="1">
        <f>K80/I82</f>
        <v>1.1793437487308993E-3</v>
      </c>
      <c r="L83" s="3">
        <f>I82*L80</f>
        <v>1007673171.1372455</v>
      </c>
      <c r="M83" s="3">
        <f>MW_C+(MW_H*mol_H_Coal)+((MW_N2/2)*mol_N_Coal)+(MW_O*mol_O_Coal)</f>
        <v>1.39568986820791E-2</v>
      </c>
      <c r="N83" s="3">
        <f>M83*32606</f>
        <v>455.07863842787117</v>
      </c>
      <c r="Y83" s="24"/>
      <c r="AG83" s="19" t="s">
        <v>18</v>
      </c>
      <c r="AH83" s="3">
        <f>AH84</f>
        <v>14.342226643538792</v>
      </c>
      <c r="AI83" s="239" t="s">
        <v>29</v>
      </c>
      <c r="AJ83" s="3">
        <f>2*AJ84</f>
        <v>28.684453287077584</v>
      </c>
      <c r="AL83" s="13" t="s">
        <v>29</v>
      </c>
      <c r="AM83" s="3">
        <f>AJ87+AJ83</f>
        <v>101.11656441150845</v>
      </c>
    </row>
    <row r="84" spans="1:39" ht="18" x14ac:dyDescent="0.25">
      <c r="A84" s="342"/>
      <c r="B84" s="13" t="s">
        <v>65</v>
      </c>
      <c r="C84" s="3">
        <f>D84*$C$85</f>
        <v>12.173114432638549</v>
      </c>
      <c r="D84" s="3">
        <v>0.27</v>
      </c>
      <c r="E84" s="3">
        <f>MW_CH4</f>
        <v>1.604276E-2</v>
      </c>
      <c r="F84" s="3">
        <f>C84/E84</f>
        <v>758.79178100517299</v>
      </c>
      <c r="G84" s="4"/>
      <c r="H84" s="340" t="s">
        <v>651</v>
      </c>
      <c r="I84" s="340"/>
      <c r="J84" s="340"/>
      <c r="K84" s="340"/>
      <c r="P84" s="1"/>
      <c r="Y84" s="24"/>
      <c r="AG84" s="20" t="s">
        <v>64</v>
      </c>
      <c r="AH84" s="3">
        <f>AC78</f>
        <v>14.342226643538792</v>
      </c>
      <c r="AI84" s="20" t="s">
        <v>64</v>
      </c>
      <c r="AJ84" s="3">
        <f>AH84</f>
        <v>14.342226643538792</v>
      </c>
      <c r="AL84" s="235" t="s">
        <v>24</v>
      </c>
      <c r="AM84" s="3">
        <f>AM83/2</f>
        <v>50.558282205754224</v>
      </c>
    </row>
    <row r="85" spans="1:39" ht="17" x14ac:dyDescent="0.25">
      <c r="A85" s="342"/>
      <c r="B85" s="13" t="s">
        <v>19</v>
      </c>
      <c r="C85" s="26">
        <f>G75</f>
        <v>45.085609009772398</v>
      </c>
      <c r="D85" s="17">
        <f>SUM(D80:D84)</f>
        <v>1</v>
      </c>
      <c r="E85" s="17">
        <f>SUM(E80:E84)</f>
        <v>0.12416072</v>
      </c>
      <c r="F85" s="17">
        <f>SUM(F80:F84)</f>
        <v>14716.789281495037</v>
      </c>
      <c r="G85" s="1"/>
      <c r="H85" s="1"/>
      <c r="I85" s="1"/>
      <c r="J85" s="1"/>
      <c r="K85" s="6"/>
      <c r="P85" s="7"/>
      <c r="R85" s="7"/>
      <c r="Y85" s="300" t="s">
        <v>114</v>
      </c>
      <c r="Z85" s="3" t="s">
        <v>1</v>
      </c>
      <c r="AA85" s="3" t="s">
        <v>47</v>
      </c>
      <c r="AB85" s="3" t="s">
        <v>5</v>
      </c>
      <c r="AC85" s="199" t="s">
        <v>406</v>
      </c>
      <c r="AD85" s="3" t="s">
        <v>39</v>
      </c>
    </row>
    <row r="86" spans="1:39" ht="18" x14ac:dyDescent="0.25"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169" t="s">
        <v>671</v>
      </c>
      <c r="E87" s="283"/>
      <c r="F87" s="7"/>
      <c r="G87" s="6"/>
      <c r="H87" s="6"/>
      <c r="I87" s="6"/>
      <c r="J87" s="1"/>
      <c r="K87" s="4"/>
      <c r="X87" s="322" t="s">
        <v>652</v>
      </c>
      <c r="Y87" s="34" t="s">
        <v>66</v>
      </c>
      <c r="Z87" s="24">
        <f t="shared" ref="Z87:Z96" si="14">AB87*AC87</f>
        <v>25.309525037387171</v>
      </c>
      <c r="AA87" s="3">
        <f>Z87/$Z$97</f>
        <v>0.56136593456908346</v>
      </c>
      <c r="AB87" s="3">
        <f>MW_H*2</f>
        <v>2.0158800000000003E-3</v>
      </c>
      <c r="AC87" s="3">
        <f>AO76</f>
        <v>12555.075221435387</v>
      </c>
      <c r="AD87" s="153">
        <f>AC87/$AC$97</f>
        <v>0.91544766952145851</v>
      </c>
      <c r="AG87" s="19" t="s">
        <v>18</v>
      </c>
      <c r="AH87" s="3">
        <f>AH94</f>
        <v>72.432111124430861</v>
      </c>
      <c r="AI87" s="13" t="s">
        <v>29</v>
      </c>
      <c r="AJ87" s="3">
        <f>AJ94</f>
        <v>72.432111124430861</v>
      </c>
    </row>
    <row r="88" spans="1:39" ht="16" x14ac:dyDescent="0.2">
      <c r="B88" s="13" t="s">
        <v>18</v>
      </c>
      <c r="C88" s="3">
        <f>B74</f>
        <v>198.80764502323905</v>
      </c>
      <c r="D88" s="3">
        <v>0.97799999999999998</v>
      </c>
      <c r="E88" s="3">
        <f>MW_C</f>
        <v>1.2010999999999999E-2</v>
      </c>
      <c r="F88" s="7">
        <f>C88/E88</f>
        <v>16552.130965218472</v>
      </c>
      <c r="G88" s="6"/>
      <c r="H88" s="6"/>
      <c r="I88" s="6"/>
      <c r="J88" s="1"/>
      <c r="K88" s="4"/>
      <c r="X88" s="322"/>
      <c r="Y88" s="34"/>
      <c r="Z88" s="24"/>
      <c r="AD88" s="153"/>
      <c r="AG88" s="19"/>
      <c r="AI88" s="13"/>
    </row>
    <row r="89" spans="1:39" ht="16" x14ac:dyDescent="0.2">
      <c r="B89" s="13" t="s">
        <v>182</v>
      </c>
      <c r="C89" s="3">
        <f>$C$93*D89</f>
        <v>1.0163990031862937</v>
      </c>
      <c r="D89" s="3">
        <v>5.0000000000000001E-3</v>
      </c>
      <c r="E89" s="3">
        <f>MW_H</f>
        <v>1.0079400000000001E-3</v>
      </c>
      <c r="F89" s="7">
        <f t="shared" ref="F89:F92" si="15">C89/E89</f>
        <v>1008.3923677860722</v>
      </c>
      <c r="G89" s="6"/>
      <c r="H89" s="6"/>
      <c r="I89" s="6"/>
      <c r="J89" s="1"/>
      <c r="K89" s="4"/>
      <c r="X89" s="322"/>
      <c r="Y89" s="34"/>
      <c r="Z89" s="24"/>
      <c r="AD89" s="153"/>
      <c r="AG89" s="19"/>
      <c r="AI89" s="13"/>
    </row>
    <row r="90" spans="1:39" ht="16" x14ac:dyDescent="0.2">
      <c r="B90" s="13" t="s">
        <v>29</v>
      </c>
      <c r="C90" s="3">
        <f t="shared" ref="C90:C92" si="16">$C$93*D90</f>
        <v>1.4229586044608113</v>
      </c>
      <c r="D90" s="3">
        <v>7.0000000000000001E-3</v>
      </c>
      <c r="E90" s="3">
        <f>MW_O</f>
        <v>1.59994E-2</v>
      </c>
      <c r="F90" s="7">
        <f t="shared" si="15"/>
        <v>88.938247963099329</v>
      </c>
      <c r="G90" s="6"/>
      <c r="H90" s="6"/>
      <c r="I90" s="6"/>
      <c r="J90" s="1"/>
      <c r="K90" s="4"/>
      <c r="X90" s="322"/>
      <c r="Y90" s="34"/>
      <c r="Z90" s="24"/>
      <c r="AD90" s="153"/>
      <c r="AG90" s="19"/>
      <c r="AI90" s="13"/>
    </row>
    <row r="91" spans="1:39" ht="16" x14ac:dyDescent="0.2">
      <c r="B91" s="13" t="s">
        <v>363</v>
      </c>
      <c r="C91" s="3">
        <f t="shared" si="16"/>
        <v>0.20327980063725876</v>
      </c>
      <c r="D91" s="3">
        <v>1E-3</v>
      </c>
      <c r="E91" s="3">
        <f>MW_N2/2</f>
        <v>1.400674E-2</v>
      </c>
      <c r="F91" s="7">
        <f t="shared" si="15"/>
        <v>14.512998787530771</v>
      </c>
      <c r="G91" s="6"/>
      <c r="H91" s="6"/>
      <c r="I91" s="6"/>
      <c r="J91" s="1"/>
      <c r="K91" s="4"/>
      <c r="X91" s="322"/>
      <c r="Y91" s="34"/>
      <c r="Z91" s="24"/>
      <c r="AD91" s="153"/>
      <c r="AG91" s="19"/>
      <c r="AI91" s="13"/>
    </row>
    <row r="92" spans="1:39" ht="16" x14ac:dyDescent="0.2">
      <c r="B92" s="13" t="s">
        <v>180</v>
      </c>
      <c r="C92" s="3">
        <f t="shared" si="16"/>
        <v>1.8295182057353285</v>
      </c>
      <c r="D92" s="3">
        <v>8.9999999999999993E-3</v>
      </c>
      <c r="E92" s="3">
        <f>MW_S</f>
        <v>3.2066000000000004E-2</v>
      </c>
      <c r="F92" s="7">
        <f t="shared" si="15"/>
        <v>57.054768469261155</v>
      </c>
      <c r="G92" s="6"/>
      <c r="H92" s="6"/>
      <c r="I92" s="6"/>
      <c r="J92" s="1"/>
      <c r="K92" s="4"/>
      <c r="X92" s="322"/>
      <c r="Y92" s="34"/>
      <c r="Z92" s="24"/>
      <c r="AD92" s="153"/>
      <c r="AG92" s="19"/>
      <c r="AI92" s="13"/>
    </row>
    <row r="93" spans="1:39" ht="16" x14ac:dyDescent="0.2">
      <c r="C93" s="17">
        <f>($C$88*D93)/$D$88</f>
        <v>203.27980063725875</v>
      </c>
      <c r="D93" s="17">
        <f>SUM(D88:D92)</f>
        <v>1</v>
      </c>
      <c r="E93" s="309"/>
      <c r="F93" s="43"/>
      <c r="G93" s="6"/>
      <c r="H93" s="6"/>
      <c r="I93" s="6"/>
      <c r="J93" s="1"/>
      <c r="K93" s="4"/>
      <c r="X93" s="322"/>
      <c r="Y93" s="34"/>
      <c r="Z93" s="24"/>
      <c r="AD93" s="153"/>
      <c r="AG93" s="19"/>
      <c r="AI93" s="13"/>
    </row>
    <row r="94" spans="1:39" ht="17" x14ac:dyDescent="0.25">
      <c r="F94" s="1"/>
      <c r="G94" s="6"/>
      <c r="H94" s="6"/>
      <c r="I94" s="6"/>
      <c r="J94" s="6"/>
      <c r="O94" s="3" t="s">
        <v>399</v>
      </c>
      <c r="X94" s="322"/>
      <c r="Y94" s="34" t="s">
        <v>65</v>
      </c>
      <c r="Z94" s="24">
        <f t="shared" si="14"/>
        <v>17.301653040554061</v>
      </c>
      <c r="AA94" s="3">
        <f>Z94/$Z$97</f>
        <v>0.3837511219334731</v>
      </c>
      <c r="AB94" s="3">
        <f>MW_CH4</f>
        <v>1.604276E-2</v>
      </c>
      <c r="AC94" s="3">
        <f>AC80+AM80</f>
        <v>1078.4711010171604</v>
      </c>
      <c r="AD94" s="153">
        <f>AC94/$AC$97</f>
        <v>7.8636235837663701E-2</v>
      </c>
      <c r="AG94" s="128" t="s">
        <v>122</v>
      </c>
      <c r="AH94" s="3">
        <f>AC77</f>
        <v>72.432111124430861</v>
      </c>
      <c r="AI94" s="13" t="s">
        <v>122</v>
      </c>
      <c r="AJ94" s="3">
        <f>AH94</f>
        <v>72.432111124430861</v>
      </c>
    </row>
    <row r="95" spans="1:39" ht="18" x14ac:dyDescent="0.25">
      <c r="B95" s="169" t="s">
        <v>388</v>
      </c>
      <c r="C95" s="3" t="s">
        <v>1</v>
      </c>
      <c r="D95" s="3" t="s">
        <v>47</v>
      </c>
      <c r="E95" s="3" t="s">
        <v>5</v>
      </c>
      <c r="F95" s="199" t="s">
        <v>406</v>
      </c>
      <c r="G95" s="132" t="s">
        <v>322</v>
      </c>
      <c r="H95" s="3" t="s">
        <v>390</v>
      </c>
      <c r="I95" s="3" t="s">
        <v>391</v>
      </c>
      <c r="J95" s="4" t="s">
        <v>392</v>
      </c>
      <c r="K95" s="3" t="s">
        <v>393</v>
      </c>
      <c r="L95" s="3" t="s">
        <v>683</v>
      </c>
      <c r="M95" s="3" t="s">
        <v>684</v>
      </c>
      <c r="N95" s="132" t="s">
        <v>394</v>
      </c>
      <c r="O95" s="132" t="s">
        <v>396</v>
      </c>
      <c r="P95" s="132" t="s">
        <v>483</v>
      </c>
      <c r="X95" s="322"/>
      <c r="Y95" s="236" t="s">
        <v>24</v>
      </c>
      <c r="Z95" s="24">
        <f t="shared" si="14"/>
        <v>1.6178043606454884</v>
      </c>
      <c r="AA95" s="3">
        <f>Z95/$Z$97</f>
        <v>3.5882943497443406E-2</v>
      </c>
      <c r="AB95" s="3">
        <f>MW_O2</f>
        <v>3.1998800000000001E-2</v>
      </c>
      <c r="AC95" s="3">
        <f>AM84</f>
        <v>50.558282205754224</v>
      </c>
      <c r="AD95" s="153">
        <f>AC95/$AC$97</f>
        <v>3.6864344341996278E-3</v>
      </c>
    </row>
    <row r="96" spans="1:39" ht="18" x14ac:dyDescent="0.25">
      <c r="B96" s="13" t="s">
        <v>41</v>
      </c>
      <c r="C96" s="13" t="s">
        <v>11</v>
      </c>
      <c r="D96" s="13" t="s">
        <v>240</v>
      </c>
      <c r="E96" s="19" t="s">
        <v>84</v>
      </c>
      <c r="F96" s="13" t="s">
        <v>42</v>
      </c>
      <c r="G96" s="13" t="s">
        <v>98</v>
      </c>
      <c r="H96" s="13" t="s">
        <v>346</v>
      </c>
      <c r="I96" s="13" t="s">
        <v>240</v>
      </c>
      <c r="J96" s="13" t="s">
        <v>240</v>
      </c>
      <c r="K96" s="13" t="s">
        <v>240</v>
      </c>
      <c r="L96" s="13" t="s">
        <v>240</v>
      </c>
      <c r="M96" s="13" t="s">
        <v>240</v>
      </c>
      <c r="N96" s="13" t="s">
        <v>98</v>
      </c>
      <c r="O96" s="13" t="s">
        <v>346</v>
      </c>
      <c r="P96" s="13" t="s">
        <v>346</v>
      </c>
      <c r="X96" s="322"/>
      <c r="Y96" s="20" t="s">
        <v>67</v>
      </c>
      <c r="Z96" s="163">
        <f t="shared" si="14"/>
        <v>0.85662657118567553</v>
      </c>
      <c r="AA96" s="28">
        <f>Z96/$Z$97</f>
        <v>1.9E-2</v>
      </c>
      <c r="AB96" s="28">
        <f>MW_N2</f>
        <v>2.801348E-2</v>
      </c>
      <c r="AC96" s="28">
        <f>AC79</f>
        <v>30.579084468822707</v>
      </c>
      <c r="AD96" s="234">
        <f>AC96/$AC$97</f>
        <v>2.229660206678009E-3</v>
      </c>
    </row>
    <row r="97" spans="1:38" x14ac:dyDescent="0.2">
      <c r="A97" s="314" t="s">
        <v>650</v>
      </c>
      <c r="B97" s="13" t="s">
        <v>18</v>
      </c>
      <c r="C97" s="3">
        <f>F97*E97</f>
        <v>231.25270764486416</v>
      </c>
      <c r="D97" s="3">
        <f>C97/$C$103</f>
        <v>0.74906845548874723</v>
      </c>
      <c r="E97" s="3">
        <f>MW_C</f>
        <v>1.2010999999999999E-2</v>
      </c>
      <c r="F97" s="3">
        <f>F88+F82+F84+F83+(10*C106)+(14*C107)+(16*C108)+C109</f>
        <v>19253.410011228389</v>
      </c>
      <c r="G97" s="3">
        <f>phi_anthrocite</f>
        <v>1.0437000000000001</v>
      </c>
      <c r="H97" s="3">
        <f>NCV_dry_anthrocite</f>
        <v>30080</v>
      </c>
      <c r="I97" s="3">
        <f>C98/C97</f>
        <v>0.14298952956990787</v>
      </c>
      <c r="J97" s="3">
        <f>C99/C97</f>
        <v>1.764488228755632E-2</v>
      </c>
      <c r="K97" s="3">
        <f>C100/C97</f>
        <v>1.3753027440761834E-3</v>
      </c>
      <c r="L97" s="3">
        <f>K113/C97</f>
        <v>0.10679931775768363</v>
      </c>
      <c r="M97" s="3">
        <f>C101/C97</f>
        <v>1.3414262702728816E-2</v>
      </c>
      <c r="N97" s="3">
        <f>G97+(phi_dry_constant_a_*(I97))+(phi_dry_constant_b*(J97))+(phi_dry_constant_c*(K97))</f>
        <v>1.0717425295154583</v>
      </c>
      <c r="O97" s="3">
        <f>(NCV_dry_anthrocite*N97) + (phi_constant_dry_anthracite_d*M97)</f>
        <v>32364.337399696582</v>
      </c>
      <c r="P97" s="3">
        <f>G97*H97</f>
        <v>31394.496000000003</v>
      </c>
      <c r="Y97" s="24" t="s">
        <v>19</v>
      </c>
      <c r="Z97" s="3">
        <f>SUM(Z87:Z96)</f>
        <v>45.085609009772398</v>
      </c>
      <c r="AA97" s="3">
        <f>SUM(AA87:AA96)</f>
        <v>1</v>
      </c>
      <c r="AC97" s="3">
        <f>SUM(AC87:AC96)</f>
        <v>13714.683689127127</v>
      </c>
      <c r="AD97" s="3">
        <f>SUM(AD87:AD96)</f>
        <v>0.99999999999999978</v>
      </c>
    </row>
    <row r="98" spans="1:38" x14ac:dyDescent="0.2">
      <c r="A98" s="314"/>
      <c r="B98" s="13" t="s">
        <v>182</v>
      </c>
      <c r="C98" s="3">
        <f t="shared" ref="C98:C101" si="17">F98*E98</f>
        <v>33.066715877906567</v>
      </c>
      <c r="D98" s="3">
        <f t="shared" ref="D98:D101" si="18">C98/$C$103</f>
        <v>0.10710894606599346</v>
      </c>
      <c r="E98" s="3">
        <f>MW_H</f>
        <v>1.0079400000000001E-3</v>
      </c>
      <c r="F98" s="3">
        <f>(2*F81)+(2*F80)+(4*F84)+F89+(8*C106)+(10*C107)+(10*C108)+(2*C110)</f>
        <v>32806.234376953551</v>
      </c>
      <c r="O98" s="3">
        <f>H97*G97</f>
        <v>31394.496000000003</v>
      </c>
      <c r="Y98" s="24"/>
    </row>
    <row r="99" spans="1:38" x14ac:dyDescent="0.2">
      <c r="A99" s="314"/>
      <c r="B99" s="13" t="s">
        <v>29</v>
      </c>
      <c r="C99" s="3">
        <f t="shared" si="17"/>
        <v>4.0804268050723032</v>
      </c>
      <c r="D99" s="3">
        <f t="shared" si="18"/>
        <v>1.3217224722420564E-2</v>
      </c>
      <c r="E99" s="3">
        <f>MW_O</f>
        <v>1.59994E-2</v>
      </c>
      <c r="F99" s="3">
        <f>(2*F83)+F82+F90+(2*C112)</f>
        <v>255.03623917598804</v>
      </c>
      <c r="Y99" s="24"/>
    </row>
    <row r="100" spans="1:38" x14ac:dyDescent="0.2">
      <c r="A100" s="314"/>
      <c r="B100" s="13" t="s">
        <v>363</v>
      </c>
      <c r="C100" s="3">
        <f t="shared" si="17"/>
        <v>0.31804248339902907</v>
      </c>
      <c r="D100" s="3">
        <f t="shared" si="18"/>
        <v>1.0301959023345825E-3</v>
      </c>
      <c r="E100" s="3">
        <f>MW_N2/2</f>
        <v>1.400674E-2</v>
      </c>
      <c r="F100" s="3">
        <f>F91+(2*C111)</f>
        <v>22.706388738495114</v>
      </c>
      <c r="Y100" s="300" t="s">
        <v>447</v>
      </c>
      <c r="AG100" s="169" t="s">
        <v>478</v>
      </c>
    </row>
    <row r="101" spans="1:38" x14ac:dyDescent="0.2">
      <c r="A101" s="307"/>
      <c r="B101" s="13" t="s">
        <v>180</v>
      </c>
      <c r="C101" s="3">
        <f t="shared" si="17"/>
        <v>3.1020845710655522</v>
      </c>
      <c r="D101" s="3">
        <f t="shared" si="18"/>
        <v>1.0048201044253382E-2</v>
      </c>
      <c r="E101" s="3">
        <f>MW_S</f>
        <v>3.2066000000000004E-2</v>
      </c>
      <c r="F101" s="3">
        <f>F81+F92</f>
        <v>96.740615326687205</v>
      </c>
      <c r="Y101" s="300"/>
      <c r="AG101" s="169"/>
    </row>
    <row r="102" spans="1:38" x14ac:dyDescent="0.2">
      <c r="B102" s="13" t="s">
        <v>378</v>
      </c>
      <c r="Y102" s="24">
        <v>0.7</v>
      </c>
      <c r="AG102" s="3">
        <v>0.15</v>
      </c>
    </row>
    <row r="103" spans="1:38" ht="17" x14ac:dyDescent="0.25">
      <c r="B103" s="3" t="s">
        <v>19</v>
      </c>
      <c r="C103" s="3">
        <f>G73</f>
        <v>308.72039257610697</v>
      </c>
      <c r="E103" s="3">
        <f>SUM(E97:E102)</f>
        <v>7.5091080000000004E-2</v>
      </c>
      <c r="Y103" s="300" t="s">
        <v>114</v>
      </c>
      <c r="Z103" s="3" t="s">
        <v>1</v>
      </c>
      <c r="AA103" s="3" t="s">
        <v>47</v>
      </c>
      <c r="AB103" s="3" t="s">
        <v>5</v>
      </c>
      <c r="AC103" s="199" t="s">
        <v>406</v>
      </c>
      <c r="AD103" s="3" t="s">
        <v>39</v>
      </c>
      <c r="AG103" s="169" t="s">
        <v>114</v>
      </c>
      <c r="AH103" s="3" t="s">
        <v>1</v>
      </c>
      <c r="AI103" s="3" t="s">
        <v>47</v>
      </c>
      <c r="AJ103" s="3" t="s">
        <v>5</v>
      </c>
      <c r="AK103" s="199" t="s">
        <v>406</v>
      </c>
      <c r="AL103" s="3" t="s">
        <v>39</v>
      </c>
    </row>
    <row r="104" spans="1:38" ht="18" x14ac:dyDescent="0.25">
      <c r="C104" s="3" t="s">
        <v>363</v>
      </c>
      <c r="D104" s="3" t="s">
        <v>5</v>
      </c>
      <c r="E104" s="3" t="s">
        <v>1</v>
      </c>
      <c r="F104" s="3" t="s">
        <v>47</v>
      </c>
      <c r="I104" s="3" t="s">
        <v>363</v>
      </c>
      <c r="J104" s="3" t="s">
        <v>5</v>
      </c>
      <c r="K104" s="3" t="s">
        <v>1</v>
      </c>
      <c r="L104" s="3" t="s">
        <v>47</v>
      </c>
      <c r="Y104" s="13" t="s">
        <v>41</v>
      </c>
      <c r="Z104" s="31" t="s">
        <v>11</v>
      </c>
      <c r="AA104" s="31" t="s">
        <v>240</v>
      </c>
      <c r="AB104" s="79" t="s">
        <v>84</v>
      </c>
      <c r="AC104" s="31" t="s">
        <v>42</v>
      </c>
      <c r="AD104" s="31" t="s">
        <v>43</v>
      </c>
      <c r="AG104" s="13" t="s">
        <v>41</v>
      </c>
      <c r="AH104" s="31" t="s">
        <v>11</v>
      </c>
      <c r="AI104" s="31" t="s">
        <v>240</v>
      </c>
      <c r="AJ104" s="79" t="s">
        <v>84</v>
      </c>
      <c r="AK104" s="31" t="s">
        <v>42</v>
      </c>
      <c r="AL104" s="31" t="s">
        <v>43</v>
      </c>
    </row>
    <row r="105" spans="1:38" ht="18" x14ac:dyDescent="0.25">
      <c r="B105" s="169" t="s">
        <v>676</v>
      </c>
      <c r="C105" s="13" t="s">
        <v>13</v>
      </c>
      <c r="D105" s="19" t="s">
        <v>84</v>
      </c>
      <c r="E105" s="13" t="s">
        <v>11</v>
      </c>
      <c r="F105" s="13" t="s">
        <v>240</v>
      </c>
      <c r="H105" s="169" t="s">
        <v>378</v>
      </c>
      <c r="I105" s="13" t="s">
        <v>13</v>
      </c>
      <c r="J105" s="19" t="s">
        <v>84</v>
      </c>
      <c r="K105" s="13" t="s">
        <v>11</v>
      </c>
      <c r="L105" s="13" t="s">
        <v>240</v>
      </c>
      <c r="Y105" s="34" t="s">
        <v>66</v>
      </c>
      <c r="Z105" s="24">
        <f>AA105*$Z$109</f>
        <v>17.716667526171019</v>
      </c>
      <c r="AA105" s="3">
        <f>AA87</f>
        <v>0.56136593456908346</v>
      </c>
      <c r="AB105" s="3">
        <f>MW_H*2</f>
        <v>2.0158800000000003E-3</v>
      </c>
      <c r="AC105" s="3">
        <f>Z105/AB105</f>
        <v>8788.5526550047707</v>
      </c>
      <c r="AD105" s="153">
        <f>AC105/$AC$109</f>
        <v>0.91544766952145873</v>
      </c>
      <c r="AG105" s="34" t="s">
        <v>66</v>
      </c>
      <c r="AH105" s="24">
        <f>AI105*$AH$109</f>
        <v>3.7964287556080758</v>
      </c>
      <c r="AI105" s="3">
        <f>AA87</f>
        <v>0.56136593456908346</v>
      </c>
      <c r="AJ105" s="3">
        <f>MW_H*2</f>
        <v>2.0158800000000003E-3</v>
      </c>
      <c r="AK105" s="3">
        <f>AH105/AJ105</f>
        <v>1883.2612832153081</v>
      </c>
      <c r="AL105" s="153">
        <f>AK105/$AK$109</f>
        <v>0.91544766952145851</v>
      </c>
    </row>
    <row r="106" spans="1:38" ht="17" x14ac:dyDescent="0.25">
      <c r="B106" s="13" t="s">
        <v>677</v>
      </c>
      <c r="C106" s="3">
        <f>E106/D106</f>
        <v>36.598846130755959</v>
      </c>
      <c r="D106" s="3">
        <f>MW_C10H8</f>
        <v>0.12817049999999999</v>
      </c>
      <c r="E106" s="3">
        <f t="shared" ref="E106:E112" si="19">F106*$E$113</f>
        <v>4.690892408002056</v>
      </c>
      <c r="F106" s="3">
        <v>0.2</v>
      </c>
      <c r="G106" s="341">
        <f>SUM(F106:F108)</f>
        <v>0.30099999999999999</v>
      </c>
      <c r="H106" s="61" t="s">
        <v>307</v>
      </c>
      <c r="I106" s="3">
        <f>K106/J106</f>
        <v>72.667679016602449</v>
      </c>
      <c r="J106" s="3">
        <f>MW_Al2O3</f>
        <v>0.10196127799999999</v>
      </c>
      <c r="K106" s="3">
        <f t="shared" ref="K106:K112" si="20">L106*$K$113</f>
        <v>7.4092894218265677</v>
      </c>
      <c r="L106" s="3">
        <v>0.3</v>
      </c>
      <c r="Y106" s="34" t="s">
        <v>65</v>
      </c>
      <c r="Z106" s="24">
        <f>AA106*$Z$109</f>
        <v>12.111157128387841</v>
      </c>
      <c r="AA106" s="3">
        <f>AA94</f>
        <v>0.3837511219334731</v>
      </c>
      <c r="AB106" s="3">
        <f>MW_CH4</f>
        <v>1.604276E-2</v>
      </c>
      <c r="AC106" s="3">
        <f t="shared" ref="AC106:AC108" si="21">Z106/AB106</f>
        <v>754.92977071201221</v>
      </c>
      <c r="AD106" s="153">
        <f>AC106/$AC$109</f>
        <v>7.8636235837663715E-2</v>
      </c>
      <c r="AG106" s="34" t="s">
        <v>65</v>
      </c>
      <c r="AH106" s="24">
        <f>AI106*$AH$109</f>
        <v>2.5952479560831092</v>
      </c>
      <c r="AI106" s="3">
        <f>AA94</f>
        <v>0.3837511219334731</v>
      </c>
      <c r="AJ106" s="3">
        <f>MW_CH4</f>
        <v>1.604276E-2</v>
      </c>
      <c r="AK106" s="3">
        <f t="shared" ref="AK106:AK108" si="22">AH106/AJ106</f>
        <v>161.77066515257408</v>
      </c>
      <c r="AL106" s="153">
        <f>AK106/$AK$109</f>
        <v>7.8636235837663715E-2</v>
      </c>
    </row>
    <row r="107" spans="1:38" ht="18" x14ac:dyDescent="0.25">
      <c r="B107" s="13" t="s">
        <v>678</v>
      </c>
      <c r="C107" s="3">
        <f t="shared" ref="C107:C112" si="23">E107/D107</f>
        <v>6.5798300061746842</v>
      </c>
      <c r="D107" s="3">
        <f>MW_C14H10</f>
        <v>0.17823</v>
      </c>
      <c r="E107" s="3">
        <f t="shared" si="19"/>
        <v>1.172723102000514</v>
      </c>
      <c r="F107" s="3">
        <v>0.05</v>
      </c>
      <c r="G107" s="341"/>
      <c r="H107" s="61" t="s">
        <v>123</v>
      </c>
      <c r="I107" s="3">
        <f t="shared" ref="I107:I112" si="24">K107/J107</f>
        <v>22.021020416503408</v>
      </c>
      <c r="J107" s="3">
        <f>MW_CaO</f>
        <v>5.6077400000000006E-2</v>
      </c>
      <c r="K107" s="3">
        <f t="shared" si="20"/>
        <v>1.2348815703044282</v>
      </c>
      <c r="L107" s="3">
        <v>0.05</v>
      </c>
      <c r="Y107" s="236" t="s">
        <v>24</v>
      </c>
      <c r="Z107" s="24">
        <f>AA107*$Z$109</f>
        <v>1.1324630524518418</v>
      </c>
      <c r="AA107" s="3">
        <f>AA95</f>
        <v>3.5882943497443406E-2</v>
      </c>
      <c r="AB107" s="3">
        <f>MW_O2</f>
        <v>3.1998800000000001E-2</v>
      </c>
      <c r="AC107" s="3">
        <f t="shared" si="21"/>
        <v>35.390797544027954</v>
      </c>
      <c r="AD107" s="153">
        <f>AC107/$AC$109</f>
        <v>3.6864344341996287E-3</v>
      </c>
      <c r="AG107" s="236" t="s">
        <v>24</v>
      </c>
      <c r="AH107" s="24">
        <f>AI107*$AH$109</f>
        <v>0.24267065409682326</v>
      </c>
      <c r="AI107" s="3">
        <f>AA95</f>
        <v>3.5882943497443406E-2</v>
      </c>
      <c r="AJ107" s="3">
        <f>MW_O2</f>
        <v>3.1998800000000001E-2</v>
      </c>
      <c r="AK107" s="3">
        <f t="shared" si="22"/>
        <v>7.5837423308631342</v>
      </c>
      <c r="AL107" s="153">
        <f>AK107/$AK$109</f>
        <v>3.6864344341996282E-3</v>
      </c>
    </row>
    <row r="108" spans="1:38" ht="18" x14ac:dyDescent="0.25">
      <c r="B108" s="13" t="s">
        <v>679</v>
      </c>
      <c r="C108" s="3">
        <f t="shared" si="23"/>
        <v>5.9140589540221704</v>
      </c>
      <c r="D108" s="3">
        <f>MW_C16H10</f>
        <v>0.20226</v>
      </c>
      <c r="E108" s="3">
        <f t="shared" si="19"/>
        <v>1.1961775640405241</v>
      </c>
      <c r="F108" s="3">
        <v>5.0999999999999997E-2</v>
      </c>
      <c r="G108" s="341"/>
      <c r="H108" s="61" t="s">
        <v>179</v>
      </c>
      <c r="I108" s="3">
        <f t="shared" si="24"/>
        <v>12.255550960236878</v>
      </c>
      <c r="J108" s="3">
        <f>MW_MgO</f>
        <v>4.0304400000000004E-2</v>
      </c>
      <c r="K108" s="3">
        <f t="shared" si="20"/>
        <v>0.49395262812177126</v>
      </c>
      <c r="L108" s="3">
        <v>0.02</v>
      </c>
      <c r="Y108" s="20" t="s">
        <v>67</v>
      </c>
      <c r="Z108" s="24">
        <f>AA108*$Z$109</f>
        <v>0.59963859982997281</v>
      </c>
      <c r="AA108" s="3">
        <f>AA96</f>
        <v>1.9E-2</v>
      </c>
      <c r="AB108" s="3">
        <f>MW_N2</f>
        <v>2.801348E-2</v>
      </c>
      <c r="AC108" s="3">
        <f t="shared" si="21"/>
        <v>21.405359128175892</v>
      </c>
      <c r="AD108" s="153">
        <f>AC108/$AC$109</f>
        <v>2.229660206678009E-3</v>
      </c>
      <c r="AG108" s="20" t="s">
        <v>67</v>
      </c>
      <c r="AH108" s="24">
        <f>AI108*$AH$109</f>
        <v>0.12849398567785134</v>
      </c>
      <c r="AI108" s="3">
        <f>AA96</f>
        <v>1.9E-2</v>
      </c>
      <c r="AJ108" s="3">
        <f>MW_N2</f>
        <v>2.801348E-2</v>
      </c>
      <c r="AK108" s="3">
        <f t="shared" si="22"/>
        <v>4.5868626703234066</v>
      </c>
      <c r="AL108" s="153">
        <f>AK108/$AK$109</f>
        <v>2.2296602066780094E-3</v>
      </c>
    </row>
    <row r="109" spans="1:38" ht="17" x14ac:dyDescent="0.25">
      <c r="B109" s="13" t="s">
        <v>18</v>
      </c>
      <c r="C109" s="3">
        <f t="shared" si="23"/>
        <v>1270.7881781130172</v>
      </c>
      <c r="D109" s="3">
        <f>MW_C</f>
        <v>1.2010999999999999E-2</v>
      </c>
      <c r="E109" s="3">
        <f t="shared" si="19"/>
        <v>15.263436807315449</v>
      </c>
      <c r="F109" s="3">
        <f>G109*(1-$G$106)</f>
        <v>0.65076900000000004</v>
      </c>
      <c r="G109" s="3">
        <v>0.93100000000000005</v>
      </c>
      <c r="H109" s="61" t="s">
        <v>308</v>
      </c>
      <c r="I109" s="3">
        <f t="shared" si="24"/>
        <v>3.9848427546559626</v>
      </c>
      <c r="J109" s="3">
        <f>MW_Na2O</f>
        <v>6.1978936000000005E-2</v>
      </c>
      <c r="K109" s="3">
        <f t="shared" si="20"/>
        <v>0.24697631406088563</v>
      </c>
      <c r="L109" s="3">
        <v>0.01</v>
      </c>
      <c r="Y109" s="24" t="s">
        <v>19</v>
      </c>
      <c r="Z109" s="17">
        <f>Z97*Y102</f>
        <v>31.559926306840676</v>
      </c>
      <c r="AA109" s="17">
        <f>SUM(AA104:AA108)</f>
        <v>1</v>
      </c>
      <c r="AB109" s="17"/>
      <c r="AC109" s="17">
        <f>SUM(AC105:AC108)</f>
        <v>9600.2785823889863</v>
      </c>
      <c r="AD109" s="17">
        <f>SUM(AD104:AD108)</f>
        <v>1</v>
      </c>
      <c r="AG109" s="3" t="s">
        <v>19</v>
      </c>
      <c r="AH109" s="17">
        <f>AG102*Z97</f>
        <v>6.7628413514658599</v>
      </c>
      <c r="AI109" s="17">
        <f>SUM(AI104:AI108)</f>
        <v>1</v>
      </c>
      <c r="AJ109" s="17"/>
      <c r="AK109" s="17">
        <f>SUM(AK104:AK108)</f>
        <v>2057.2025533690689</v>
      </c>
      <c r="AL109" s="17">
        <f>SUM(AL104:AL108)</f>
        <v>0.99999999999999978</v>
      </c>
    </row>
    <row r="110" spans="1:38" ht="18" x14ac:dyDescent="0.25">
      <c r="B110" s="13" t="s">
        <v>66</v>
      </c>
      <c r="C110" s="3">
        <f t="shared" si="23"/>
        <v>333.44317499288377</v>
      </c>
      <c r="D110" s="3">
        <f>MW_H*2</f>
        <v>2.0158800000000003E-3</v>
      </c>
      <c r="E110" s="3">
        <f t="shared" si="19"/>
        <v>0.6721814276046546</v>
      </c>
      <c r="F110" s="3">
        <f>G110*(1-$G$106)</f>
        <v>2.8659000000000004E-2</v>
      </c>
      <c r="G110" s="3">
        <v>4.1000000000000002E-2</v>
      </c>
      <c r="H110" s="19" t="s">
        <v>15</v>
      </c>
      <c r="I110" s="3">
        <f t="shared" si="24"/>
        <v>23.199238960131581</v>
      </c>
      <c r="J110" s="3">
        <f>MW_Fe2O3</f>
        <v>0.1596882</v>
      </c>
      <c r="K110" s="3">
        <f t="shared" si="20"/>
        <v>3.7046447109132838</v>
      </c>
      <c r="L110" s="3">
        <v>0.15</v>
      </c>
    </row>
    <row r="111" spans="1:38" ht="18" x14ac:dyDescent="0.25">
      <c r="B111" s="20" t="s">
        <v>67</v>
      </c>
      <c r="C111" s="3">
        <f t="shared" si="23"/>
        <v>4.0966949754821718</v>
      </c>
      <c r="D111" s="3">
        <f>MW_N2</f>
        <v>2.801348E-2</v>
      </c>
      <c r="E111" s="3">
        <f t="shared" si="19"/>
        <v>0.1147626827617703</v>
      </c>
      <c r="F111" s="3">
        <f>G111*(1-$G$106)</f>
        <v>4.8930000000000006E-3</v>
      </c>
      <c r="G111" s="3">
        <v>7.0000000000000001E-3</v>
      </c>
      <c r="H111" s="19" t="s">
        <v>17</v>
      </c>
      <c r="I111" s="3">
        <f t="shared" si="24"/>
        <v>184.97234939476456</v>
      </c>
      <c r="J111" s="3">
        <f>MW_SIO2</f>
        <v>6.00843E-2</v>
      </c>
      <c r="K111" s="3">
        <f t="shared" si="20"/>
        <v>11.113934132739853</v>
      </c>
      <c r="L111" s="3">
        <v>0.45</v>
      </c>
      <c r="AE111" s="3">
        <f>(AH109*2)+Z109</f>
        <v>45.085609009772398</v>
      </c>
    </row>
    <row r="112" spans="1:38" ht="18" x14ac:dyDescent="0.25">
      <c r="B112" s="308" t="s">
        <v>24</v>
      </c>
      <c r="C112" s="3">
        <f t="shared" si="23"/>
        <v>10.759404986602963</v>
      </c>
      <c r="D112" s="3">
        <f>MW_O2</f>
        <v>3.1998800000000001E-2</v>
      </c>
      <c r="E112" s="3">
        <f t="shared" si="19"/>
        <v>0.3442880482853109</v>
      </c>
      <c r="F112" s="3">
        <f>G112*(1-$G$106)</f>
        <v>1.4679000000000003E-2</v>
      </c>
      <c r="G112" s="3">
        <v>2.1000000000000001E-2</v>
      </c>
      <c r="H112" s="19" t="s">
        <v>682</v>
      </c>
      <c r="I112" s="3">
        <f t="shared" si="24"/>
        <v>5.2438811427424863</v>
      </c>
      <c r="J112" s="3">
        <f>MW_K2O</f>
        <v>9.4196000000000002E-2</v>
      </c>
      <c r="K112" s="3">
        <f t="shared" si="20"/>
        <v>0.49395262812177126</v>
      </c>
      <c r="L112" s="3">
        <v>0.02</v>
      </c>
    </row>
    <row r="113" spans="2:44" x14ac:dyDescent="0.2">
      <c r="E113" s="3">
        <f>G77</f>
        <v>23.454462040010277</v>
      </c>
      <c r="F113" s="3">
        <f>SUM(F106:F112)</f>
        <v>1.0000000000000002</v>
      </c>
      <c r="K113" s="3">
        <f>G76</f>
        <v>24.697631406088561</v>
      </c>
      <c r="L113" s="3">
        <f>SUM(L106:L112)</f>
        <v>1</v>
      </c>
    </row>
    <row r="115" spans="2:44" ht="17" x14ac:dyDescent="0.25">
      <c r="B115" s="169" t="s">
        <v>490</v>
      </c>
      <c r="C115" s="3" t="s">
        <v>1</v>
      </c>
      <c r="D115" s="3" t="s">
        <v>5</v>
      </c>
      <c r="E115" s="199" t="s">
        <v>406</v>
      </c>
      <c r="H115" s="169" t="s">
        <v>387</v>
      </c>
      <c r="I115" s="3" t="s">
        <v>1</v>
      </c>
      <c r="J115" s="3" t="s">
        <v>5</v>
      </c>
      <c r="K115" s="199" t="s">
        <v>406</v>
      </c>
    </row>
    <row r="116" spans="2:44" ht="18" x14ac:dyDescent="0.25">
      <c r="B116" s="13" t="s">
        <v>41</v>
      </c>
      <c r="C116" s="13" t="s">
        <v>11</v>
      </c>
      <c r="D116" s="19" t="s">
        <v>84</v>
      </c>
      <c r="E116" s="13" t="s">
        <v>42</v>
      </c>
      <c r="F116" s="3" t="s">
        <v>44</v>
      </c>
      <c r="H116" s="13" t="s">
        <v>41</v>
      </c>
      <c r="I116" s="13" t="s">
        <v>11</v>
      </c>
      <c r="J116" s="19" t="s">
        <v>84</v>
      </c>
      <c r="K116" s="13" t="s">
        <v>42</v>
      </c>
      <c r="L116" s="3" t="s">
        <v>44</v>
      </c>
    </row>
    <row r="117" spans="2:44" ht="18" x14ac:dyDescent="0.25">
      <c r="B117" s="13" t="s">
        <v>65</v>
      </c>
      <c r="C117" s="3" t="e">
        <f>'Ore-&gt;PI'!BR258</f>
        <v>#REF!</v>
      </c>
      <c r="D117" s="3">
        <f>MW_CH4</f>
        <v>1.604276E-2</v>
      </c>
      <c r="E117" s="3" t="e">
        <f>C117/D117</f>
        <v>#REF!</v>
      </c>
      <c r="F117" s="3">
        <v>1</v>
      </c>
      <c r="H117" s="20" t="s">
        <v>64</v>
      </c>
      <c r="I117" s="260" t="e">
        <f>K117*J117</f>
        <v>#REF!</v>
      </c>
      <c r="J117" s="260">
        <f>MW_CO2</f>
        <v>4.4009800000000002E-2</v>
      </c>
      <c r="K117" s="260" t="e">
        <f>E117</f>
        <v>#REF!</v>
      </c>
      <c r="L117" s="3">
        <v>1</v>
      </c>
    </row>
    <row r="118" spans="2:44" ht="18" x14ac:dyDescent="0.25">
      <c r="B118" s="235" t="s">
        <v>24</v>
      </c>
      <c r="C118" s="3" t="e">
        <f>E118*D118</f>
        <v>#REF!</v>
      </c>
      <c r="D118" s="3">
        <f>MW_O2</f>
        <v>3.1998800000000001E-2</v>
      </c>
      <c r="E118" s="3" t="e">
        <f>K117+(K118/2)</f>
        <v>#REF!</v>
      </c>
      <c r="F118" s="3">
        <v>2</v>
      </c>
      <c r="H118" s="13" t="s">
        <v>68</v>
      </c>
      <c r="I118" s="260" t="e">
        <f>K118*J118</f>
        <v>#REF!</v>
      </c>
      <c r="J118" s="260">
        <f>MW_H2O</f>
        <v>1.8015280000000002E-2</v>
      </c>
      <c r="K118" s="260" t="e">
        <f>2*E117</f>
        <v>#REF!</v>
      </c>
      <c r="L118" s="3">
        <v>2</v>
      </c>
    </row>
    <row r="119" spans="2:44" ht="18" x14ac:dyDescent="0.25">
      <c r="B119" s="39" t="s">
        <v>67</v>
      </c>
      <c r="C119" s="3" t="e">
        <f>E119*D119</f>
        <v>#REF!</v>
      </c>
      <c r="D119" s="3">
        <f>MW_N2</f>
        <v>2.801348E-2</v>
      </c>
      <c r="E119" s="3" t="e">
        <f>3.76*E118</f>
        <v>#REF!</v>
      </c>
      <c r="F119" s="3">
        <f>3.76*F118</f>
        <v>7.52</v>
      </c>
      <c r="H119" s="39" t="s">
        <v>67</v>
      </c>
      <c r="I119" s="260" t="e">
        <f>K119*J119</f>
        <v>#REF!</v>
      </c>
      <c r="J119" s="260">
        <f>MW_N2</f>
        <v>2.801348E-2</v>
      </c>
      <c r="K119" s="260" t="e">
        <f>E119</f>
        <v>#REF!</v>
      </c>
      <c r="L119" s="3">
        <f>F119</f>
        <v>7.52</v>
      </c>
    </row>
    <row r="120" spans="2:44" x14ac:dyDescent="0.2">
      <c r="B120" s="17"/>
      <c r="C120" s="17" t="e">
        <f>SUM(C117:C119)</f>
        <v>#REF!</v>
      </c>
      <c r="D120" s="17"/>
      <c r="E120" s="17"/>
      <c r="H120" s="17"/>
      <c r="I120" s="17" t="e">
        <f>SUM(I117:I119)</f>
        <v>#REF!</v>
      </c>
      <c r="J120" s="17"/>
      <c r="K120" s="17"/>
    </row>
    <row r="122" spans="2:44" ht="17" x14ac:dyDescent="0.25">
      <c r="B122" s="13" t="s">
        <v>66</v>
      </c>
      <c r="C122" s="3" t="e">
        <f>C123*2</f>
        <v>#REF!</v>
      </c>
      <c r="D122" s="3" t="s">
        <v>29</v>
      </c>
      <c r="E122" s="3" t="e">
        <f>C122</f>
        <v>#REF!</v>
      </c>
    </row>
    <row r="123" spans="2:44" ht="18" x14ac:dyDescent="0.25">
      <c r="B123" s="13" t="s">
        <v>65</v>
      </c>
      <c r="C123" s="3" t="e">
        <f>E117</f>
        <v>#REF!</v>
      </c>
      <c r="D123" s="236" t="s">
        <v>24</v>
      </c>
      <c r="E123" s="3" t="e">
        <f>E122/2</f>
        <v>#REF!</v>
      </c>
      <c r="AE123" s="16" t="s">
        <v>446</v>
      </c>
      <c r="AR123" s="16" t="s">
        <v>446</v>
      </c>
    </row>
    <row r="131" spans="3:22" x14ac:dyDescent="0.2">
      <c r="V131" s="3" t="s">
        <v>380</v>
      </c>
    </row>
    <row r="132" spans="3:22" x14ac:dyDescent="0.2">
      <c r="H132" s="3" t="s">
        <v>376</v>
      </c>
      <c r="M132" s="16" t="s">
        <v>375</v>
      </c>
      <c r="U132" s="3" t="s">
        <v>379</v>
      </c>
    </row>
    <row r="134" spans="3:22" x14ac:dyDescent="0.2">
      <c r="C134" s="3" t="s">
        <v>398</v>
      </c>
    </row>
    <row r="153" spans="1:30" ht="16" thickBot="1" x14ac:dyDescent="0.25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</row>
    <row r="154" spans="1:30" x14ac:dyDescent="0.2">
      <c r="C154" s="343" t="s">
        <v>654</v>
      </c>
      <c r="D154" s="343"/>
      <c r="E154" s="343"/>
      <c r="F154" s="343"/>
      <c r="G154" s="343"/>
    </row>
    <row r="155" spans="1:30" x14ac:dyDescent="0.2">
      <c r="B155" s="169" t="s">
        <v>447</v>
      </c>
      <c r="C155" s="337"/>
      <c r="D155" s="337"/>
      <c r="E155" s="337"/>
      <c r="F155" s="337"/>
      <c r="G155" s="337"/>
    </row>
    <row r="156" spans="1:30" x14ac:dyDescent="0.2">
      <c r="B156" s="3">
        <v>0.7</v>
      </c>
      <c r="I156" s="128" t="s">
        <v>337</v>
      </c>
    </row>
    <row r="157" spans="1:30" ht="18" x14ac:dyDescent="0.25">
      <c r="B157" s="169" t="s">
        <v>113</v>
      </c>
      <c r="C157" s="3" t="s">
        <v>1</v>
      </c>
      <c r="D157" s="3" t="s">
        <v>47</v>
      </c>
      <c r="E157" s="3" t="s">
        <v>5</v>
      </c>
      <c r="F157" s="199" t="s">
        <v>406</v>
      </c>
      <c r="G157" s="3" t="s">
        <v>39</v>
      </c>
      <c r="I157" s="1" t="s">
        <v>89</v>
      </c>
      <c r="L157" s="169" t="s">
        <v>113</v>
      </c>
      <c r="M157" s="3" t="s">
        <v>1</v>
      </c>
      <c r="N157" s="3" t="s">
        <v>47</v>
      </c>
      <c r="O157" s="3" t="s">
        <v>5</v>
      </c>
      <c r="P157" s="199" t="s">
        <v>406</v>
      </c>
      <c r="Q157" s="3" t="s">
        <v>39</v>
      </c>
    </row>
    <row r="158" spans="1:30" ht="18" x14ac:dyDescent="0.25">
      <c r="B158" s="13" t="s">
        <v>41</v>
      </c>
      <c r="C158" s="31" t="s">
        <v>11</v>
      </c>
      <c r="D158" s="31" t="s">
        <v>240</v>
      </c>
      <c r="E158" s="79" t="s">
        <v>84</v>
      </c>
      <c r="F158" s="31" t="s">
        <v>42</v>
      </c>
      <c r="G158" s="31" t="s">
        <v>43</v>
      </c>
      <c r="I158" s="13">
        <f>M162-(C163+C168)</f>
        <v>0</v>
      </c>
      <c r="L158" s="13" t="s">
        <v>41</v>
      </c>
      <c r="M158" s="31" t="s">
        <v>11</v>
      </c>
      <c r="N158" s="31" t="s">
        <v>240</v>
      </c>
      <c r="O158" s="79" t="s">
        <v>84</v>
      </c>
      <c r="P158" s="31" t="s">
        <v>42</v>
      </c>
      <c r="Q158" s="31" t="s">
        <v>43</v>
      </c>
    </row>
    <row r="159" spans="1:30" ht="17" x14ac:dyDescent="0.25">
      <c r="B159" s="34" t="s">
        <v>66</v>
      </c>
      <c r="C159" s="24">
        <f>H2_to_BF</f>
        <v>17.716667526171019</v>
      </c>
      <c r="D159" s="3">
        <f>C159/$C$163</f>
        <v>0.56136593456908346</v>
      </c>
      <c r="E159" s="3">
        <f>MW_H*2</f>
        <v>2.0158800000000003E-3</v>
      </c>
      <c r="F159" s="3">
        <f>C159/E159</f>
        <v>8788.5526550047707</v>
      </c>
      <c r="G159" s="153">
        <f>F159/$AC$109</f>
        <v>0.91544766952145873</v>
      </c>
      <c r="L159" s="34" t="s">
        <v>68</v>
      </c>
      <c r="M159" s="24">
        <f>P159*O159</f>
        <v>185.52877927407977</v>
      </c>
      <c r="N159" s="3">
        <f>M159/M162</f>
        <v>0.22152381559059703</v>
      </c>
      <c r="O159" s="3">
        <f>MW_H2O</f>
        <v>1.8015280000000002E-2</v>
      </c>
      <c r="P159" s="3">
        <f>(2*F160) + F159</f>
        <v>10298.412196428795</v>
      </c>
      <c r="Q159" s="153">
        <f>P159/$AC$109</f>
        <v>1.0727201411967862</v>
      </c>
    </row>
    <row r="160" spans="1:30" ht="18" x14ac:dyDescent="0.25">
      <c r="B160" s="34" t="s">
        <v>65</v>
      </c>
      <c r="C160" s="24">
        <f>CH4_to_BF</f>
        <v>12.111157128387841</v>
      </c>
      <c r="D160" s="3">
        <f t="shared" ref="D160:D162" si="25">C160/$C$163</f>
        <v>0.3837511219334731</v>
      </c>
      <c r="E160" s="3">
        <f>MW_CH4</f>
        <v>1.604276E-2</v>
      </c>
      <c r="F160" s="3">
        <f t="shared" ref="F160:F162" si="26">C160/E160</f>
        <v>754.92977071201221</v>
      </c>
      <c r="G160" s="153">
        <f>F160/$AC$109</f>
        <v>7.8636235837663715E-2</v>
      </c>
      <c r="L160" s="240" t="s">
        <v>64</v>
      </c>
      <c r="M160" s="24">
        <f>P160*O160</f>
        <v>33.224308223081515</v>
      </c>
      <c r="N160" s="3">
        <f>M160/M162</f>
        <v>3.9670263323741538E-2</v>
      </c>
      <c r="O160" s="3">
        <f>MW_CO2</f>
        <v>4.4009800000000002E-2</v>
      </c>
      <c r="P160" s="3">
        <f>F160</f>
        <v>754.92977071201221</v>
      </c>
      <c r="Q160" s="153">
        <f>P160/$AC$109</f>
        <v>7.8636235837663715E-2</v>
      </c>
    </row>
    <row r="161" spans="2:17" ht="18" x14ac:dyDescent="0.25">
      <c r="B161" s="236" t="s">
        <v>24</v>
      </c>
      <c r="C161" s="24">
        <f>O2_to_BF_from_coke</f>
        <v>1.1324630524518418</v>
      </c>
      <c r="D161" s="3">
        <f t="shared" si="25"/>
        <v>3.5882943497443406E-2</v>
      </c>
      <c r="E161" s="3">
        <f>MW_O2</f>
        <v>3.1998800000000001E-2</v>
      </c>
      <c r="F161" s="3">
        <f t="shared" si="26"/>
        <v>35.390797544027954</v>
      </c>
      <c r="G161" s="153">
        <f>F161/$AC$109</f>
        <v>3.6864344341996287E-3</v>
      </c>
      <c r="L161" s="20" t="s">
        <v>67</v>
      </c>
      <c r="M161" s="24">
        <f>O161*P161</f>
        <v>618.75857588516112</v>
      </c>
      <c r="N161" s="3">
        <f>M161/M162</f>
        <v>0.73880592108566134</v>
      </c>
      <c r="O161" s="3">
        <f>MW_N2</f>
        <v>2.801348E-2</v>
      </c>
      <c r="P161" s="3">
        <f>F162+F167</f>
        <v>22087.88682752593</v>
      </c>
      <c r="Q161" s="153">
        <f>P161/$AC$109</f>
        <v>2.3007547789336606</v>
      </c>
    </row>
    <row r="162" spans="2:17" ht="18" x14ac:dyDescent="0.25">
      <c r="B162" s="20" t="s">
        <v>67</v>
      </c>
      <c r="C162" s="24">
        <f>N2_to_BF_from_coke</f>
        <v>0.59963859982997281</v>
      </c>
      <c r="D162" s="3">
        <f t="shared" si="25"/>
        <v>1.9E-2</v>
      </c>
      <c r="E162" s="3">
        <f>MW_N2</f>
        <v>2.801348E-2</v>
      </c>
      <c r="F162" s="3">
        <f t="shared" si="26"/>
        <v>21.405359128175892</v>
      </c>
      <c r="G162" s="153">
        <f>F162/$AC$109</f>
        <v>2.229660206678009E-3</v>
      </c>
      <c r="L162" s="3" t="s">
        <v>19</v>
      </c>
      <c r="M162" s="17">
        <f>SUM(M159:M161)</f>
        <v>837.51166338232247</v>
      </c>
      <c r="N162" s="17">
        <f>SUM(N159:N161)</f>
        <v>0.99999999999999989</v>
      </c>
      <c r="O162" s="17"/>
      <c r="P162" s="17">
        <f>SUM(P159:P161)</f>
        <v>33141.228794666735</v>
      </c>
      <c r="Q162" s="17">
        <f>SUM(Q158:Q161)</f>
        <v>3.4521111559681108</v>
      </c>
    </row>
    <row r="163" spans="2:17" x14ac:dyDescent="0.2">
      <c r="B163" s="3" t="s">
        <v>19</v>
      </c>
      <c r="C163" s="17">
        <f>SUM(C159:C162)</f>
        <v>31.559926306840676</v>
      </c>
      <c r="D163" s="17">
        <f>SUM(D158:D162)</f>
        <v>1</v>
      </c>
      <c r="E163" s="17"/>
      <c r="F163" s="17">
        <f>SUM(F159:F162)</f>
        <v>9600.2785823889863</v>
      </c>
      <c r="G163" s="17">
        <f>SUM(G158:G162)</f>
        <v>1</v>
      </c>
    </row>
    <row r="166" spans="2:17" ht="18" x14ac:dyDescent="0.25">
      <c r="B166" s="236" t="s">
        <v>24</v>
      </c>
      <c r="C166" s="24">
        <f>F166*E166</f>
        <v>187.79279979015055</v>
      </c>
      <c r="D166" s="3">
        <f>C166/$C$168</f>
        <v>0.23300750051310179</v>
      </c>
      <c r="E166" s="3">
        <f>MW_O2</f>
        <v>3.1998800000000001E-2</v>
      </c>
      <c r="F166" s="3">
        <f>C179-F161</f>
        <v>5868.7450713823819</v>
      </c>
      <c r="G166" s="153">
        <f>F166/$F$168</f>
        <v>0.21008403361344541</v>
      </c>
    </row>
    <row r="167" spans="2:17" ht="18" x14ac:dyDescent="0.25">
      <c r="B167" s="20" t="s">
        <v>67</v>
      </c>
      <c r="C167" s="24">
        <f>F167*E167</f>
        <v>618.15893728533104</v>
      </c>
      <c r="D167" s="3">
        <f>C167/$C$168</f>
        <v>0.76699249948689829</v>
      </c>
      <c r="E167" s="3">
        <f>MW_N2</f>
        <v>2.801348E-2</v>
      </c>
      <c r="F167" s="3">
        <f>3.76*F166</f>
        <v>22066.481468397753</v>
      </c>
      <c r="G167" s="153">
        <f>F167/$F$168</f>
        <v>0.78991596638655459</v>
      </c>
    </row>
    <row r="168" spans="2:17" x14ac:dyDescent="0.2">
      <c r="B168" s="3" t="s">
        <v>19</v>
      </c>
      <c r="C168" s="17">
        <f>SUM(C166:C167)</f>
        <v>805.95173707548156</v>
      </c>
      <c r="D168" s="17">
        <f>SUM(D166:D167)</f>
        <v>1</v>
      </c>
      <c r="E168" s="17">
        <f>SUM(E166:E167)</f>
        <v>6.0012280000000001E-2</v>
      </c>
      <c r="F168" s="17">
        <f>SUM(F166:F167)</f>
        <v>27935.226539780135</v>
      </c>
      <c r="G168" s="17">
        <f>SUM(G166:G167)</f>
        <v>1</v>
      </c>
    </row>
    <row r="170" spans="2:17" x14ac:dyDescent="0.2">
      <c r="B170" s="3" t="s">
        <v>477</v>
      </c>
      <c r="C170" s="3">
        <f>C168+C163</f>
        <v>837.51166338232224</v>
      </c>
    </row>
    <row r="173" spans="2:17" ht="17" x14ac:dyDescent="0.25">
      <c r="B173" s="169" t="s">
        <v>113</v>
      </c>
      <c r="C173" s="199" t="s">
        <v>406</v>
      </c>
      <c r="E173" s="199" t="s">
        <v>406</v>
      </c>
      <c r="G173" s="169" t="s">
        <v>114</v>
      </c>
      <c r="H173" s="199" t="s">
        <v>406</v>
      </c>
      <c r="J173" s="199" t="s">
        <v>406</v>
      </c>
    </row>
    <row r="174" spans="2:17" ht="16" x14ac:dyDescent="0.2">
      <c r="C174" s="13" t="s">
        <v>42</v>
      </c>
      <c r="D174" s="1"/>
      <c r="E174" s="13" t="s">
        <v>42</v>
      </c>
      <c r="H174" s="13" t="s">
        <v>42</v>
      </c>
      <c r="I174" s="1"/>
      <c r="J174" s="13" t="s">
        <v>42</v>
      </c>
    </row>
    <row r="175" spans="2:17" ht="16" x14ac:dyDescent="0.2">
      <c r="B175" s="61" t="s">
        <v>18</v>
      </c>
      <c r="C175" s="1">
        <f>F160</f>
        <v>754.92977071201221</v>
      </c>
      <c r="D175" s="19" t="s">
        <v>182</v>
      </c>
      <c r="E175" s="1">
        <f>2*E176</f>
        <v>20596.82439285759</v>
      </c>
      <c r="G175" s="13" t="s">
        <v>18</v>
      </c>
      <c r="H175" s="1">
        <f>H176</f>
        <v>754.92977071201221</v>
      </c>
      <c r="I175" s="19" t="s">
        <v>182</v>
      </c>
      <c r="J175" s="1">
        <f>2*J176</f>
        <v>20596.82439285759</v>
      </c>
    </row>
    <row r="176" spans="2:17" ht="18" x14ac:dyDescent="0.25">
      <c r="B176" s="61" t="s">
        <v>449</v>
      </c>
      <c r="C176" s="1">
        <f>F160</f>
        <v>754.92977071201221</v>
      </c>
      <c r="D176" s="61" t="s">
        <v>450</v>
      </c>
      <c r="E176" s="1">
        <f>F159+(2*F160)</f>
        <v>10298.412196428795</v>
      </c>
      <c r="G176" s="240" t="s">
        <v>64</v>
      </c>
      <c r="H176" s="1">
        <f>P160</f>
        <v>754.92977071201221</v>
      </c>
      <c r="I176" s="13" t="s">
        <v>68</v>
      </c>
      <c r="J176" s="1">
        <f>P159</f>
        <v>10298.412196428795</v>
      </c>
    </row>
    <row r="178" spans="2:21" x14ac:dyDescent="0.2">
      <c r="B178" s="13" t="s">
        <v>29</v>
      </c>
      <c r="C178" s="3">
        <f>H178+J178</f>
        <v>11808.27173785282</v>
      </c>
      <c r="G178" s="13" t="s">
        <v>29</v>
      </c>
      <c r="H178" s="3">
        <f>2*H179</f>
        <v>1509.8595414240244</v>
      </c>
      <c r="I178" s="13" t="s">
        <v>29</v>
      </c>
      <c r="J178" s="3">
        <f>J179</f>
        <v>10298.412196428795</v>
      </c>
    </row>
    <row r="179" spans="2:21" ht="18" x14ac:dyDescent="0.25">
      <c r="B179" s="235" t="s">
        <v>24</v>
      </c>
      <c r="C179" s="3">
        <f>C178/2</f>
        <v>5904.1358689264098</v>
      </c>
      <c r="D179" s="20" t="s">
        <v>67</v>
      </c>
      <c r="E179" s="3">
        <f>F162+F167</f>
        <v>22087.88682752593</v>
      </c>
      <c r="G179" s="239" t="s">
        <v>64</v>
      </c>
      <c r="H179" s="3">
        <f>P160</f>
        <v>754.92977071201221</v>
      </c>
      <c r="I179" s="13" t="s">
        <v>68</v>
      </c>
      <c r="J179" s="3">
        <f>P159</f>
        <v>10298.412196428795</v>
      </c>
    </row>
    <row r="181" spans="2:21" ht="16" thickBot="1" x14ac:dyDescent="0.25"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</row>
    <row r="183" spans="2:21" x14ac:dyDescent="0.2">
      <c r="B183" s="337" t="s">
        <v>655</v>
      </c>
      <c r="C183" s="337"/>
      <c r="D183" s="337"/>
      <c r="E183" s="337"/>
      <c r="F183" s="337"/>
      <c r="G183" s="337"/>
    </row>
    <row r="184" spans="2:21" x14ac:dyDescent="0.2">
      <c r="B184" s="337"/>
      <c r="C184" s="337"/>
      <c r="D184" s="337"/>
      <c r="E184" s="337"/>
      <c r="F184" s="337"/>
      <c r="G184" s="337"/>
    </row>
    <row r="185" spans="2:21" x14ac:dyDescent="0.2">
      <c r="B185" s="337"/>
      <c r="C185" s="337"/>
      <c r="D185" s="337"/>
      <c r="E185" s="337"/>
      <c r="F185" s="337"/>
      <c r="G185" s="337"/>
    </row>
    <row r="189" spans="2:21" x14ac:dyDescent="0.2">
      <c r="B189" s="169" t="s">
        <v>448</v>
      </c>
    </row>
    <row r="190" spans="2:21" x14ac:dyDescent="0.2">
      <c r="B190" s="3">
        <v>0.15</v>
      </c>
    </row>
    <row r="191" spans="2:21" ht="17" x14ac:dyDescent="0.25">
      <c r="B191" s="169" t="s">
        <v>113</v>
      </c>
      <c r="C191" s="3" t="s">
        <v>1</v>
      </c>
      <c r="D191" s="3" t="s">
        <v>47</v>
      </c>
      <c r="E191" s="3" t="s">
        <v>5</v>
      </c>
      <c r="F191" s="199" t="s">
        <v>406</v>
      </c>
      <c r="G191" s="3" t="s">
        <v>39</v>
      </c>
      <c r="L191" s="169" t="s">
        <v>114</v>
      </c>
      <c r="M191" s="3" t="s">
        <v>1</v>
      </c>
      <c r="N191" s="3" t="s">
        <v>47</v>
      </c>
      <c r="O191" s="3" t="s">
        <v>5</v>
      </c>
      <c r="P191" s="199" t="s">
        <v>406</v>
      </c>
      <c r="Q191" s="3" t="s">
        <v>39</v>
      </c>
    </row>
    <row r="192" spans="2:21" ht="18" x14ac:dyDescent="0.25">
      <c r="B192" s="13" t="s">
        <v>41</v>
      </c>
      <c r="C192" s="31" t="s">
        <v>11</v>
      </c>
      <c r="D192" s="31" t="s">
        <v>240</v>
      </c>
      <c r="E192" s="79" t="s">
        <v>84</v>
      </c>
      <c r="F192" s="31" t="s">
        <v>42</v>
      </c>
      <c r="G192" s="31" t="s">
        <v>43</v>
      </c>
      <c r="L192" s="13" t="s">
        <v>41</v>
      </c>
      <c r="M192" s="31" t="s">
        <v>11</v>
      </c>
      <c r="N192" s="31" t="s">
        <v>240</v>
      </c>
      <c r="O192" s="79" t="s">
        <v>84</v>
      </c>
      <c r="P192" s="31" t="s">
        <v>42</v>
      </c>
      <c r="Q192" s="31" t="s">
        <v>43</v>
      </c>
    </row>
    <row r="193" spans="2:17" ht="17" x14ac:dyDescent="0.25">
      <c r="B193" s="34" t="s">
        <v>66</v>
      </c>
      <c r="C193" s="24">
        <f>H2_to_coke_oven</f>
        <v>3.7964287556080758</v>
      </c>
      <c r="D193" s="3">
        <f>C193/$C$197</f>
        <v>0.56136593456908357</v>
      </c>
      <c r="E193" s="3">
        <f>MW_H*2</f>
        <v>2.0158800000000003E-3</v>
      </c>
      <c r="F193" s="3">
        <f>C193/E193</f>
        <v>1883.2612832153081</v>
      </c>
      <c r="G193" s="153">
        <f>F193/$F$197</f>
        <v>0.91544766952145851</v>
      </c>
      <c r="L193" s="34" t="s">
        <v>68</v>
      </c>
      <c r="M193" s="24">
        <f t="shared" ref="M193:M194" si="27">O193*P193</f>
        <v>39.756166987302812</v>
      </c>
      <c r="N193" s="3">
        <f>M193/M196</f>
        <v>0.22152381559059703</v>
      </c>
      <c r="O193" s="3">
        <f>MW_H2O</f>
        <v>1.8015280000000002E-2</v>
      </c>
      <c r="P193" s="3">
        <f>J207</f>
        <v>2206.8026135204564</v>
      </c>
      <c r="Q193" s="153">
        <f>P193/$AC$109</f>
        <v>0.22986860168502563</v>
      </c>
    </row>
    <row r="194" spans="2:17" ht="18" x14ac:dyDescent="0.25">
      <c r="B194" s="34" t="s">
        <v>65</v>
      </c>
      <c r="C194" s="24">
        <f>CH4_to_coke_oven</f>
        <v>2.5952479560831092</v>
      </c>
      <c r="D194" s="3">
        <f t="shared" ref="D194:D196" si="28">C194/$C$197</f>
        <v>0.38375112193347316</v>
      </c>
      <c r="E194" s="3">
        <f>MW_CH4</f>
        <v>1.604276E-2</v>
      </c>
      <c r="F194" s="3">
        <f t="shared" ref="F194:F196" si="29">C194/E194</f>
        <v>161.77066515257408</v>
      </c>
      <c r="G194" s="153">
        <f t="shared" ref="G194:G196" si="30">F194/$F$197</f>
        <v>7.8636235837663715E-2</v>
      </c>
      <c r="L194" s="240" t="s">
        <v>64</v>
      </c>
      <c r="M194" s="24">
        <f t="shared" si="27"/>
        <v>7.1194946192317552</v>
      </c>
      <c r="N194" s="3">
        <f>M194/M196</f>
        <v>3.9670263323741545E-2</v>
      </c>
      <c r="O194" s="3">
        <f>MW_CO2</f>
        <v>4.4009800000000002E-2</v>
      </c>
      <c r="P194" s="3">
        <f>H207</f>
        <v>161.77066515257408</v>
      </c>
      <c r="Q194" s="153">
        <f>P194/$AC$109</f>
        <v>1.6850621965213659E-2</v>
      </c>
    </row>
    <row r="195" spans="2:17" ht="18" x14ac:dyDescent="0.25">
      <c r="B195" s="236" t="s">
        <v>24</v>
      </c>
      <c r="C195" s="24">
        <f>O2_to_coke_oven</f>
        <v>0.24267065409682326</v>
      </c>
      <c r="D195" s="3">
        <f t="shared" si="28"/>
        <v>3.5882943497443413E-2</v>
      </c>
      <c r="E195" s="3">
        <f>MW_O2</f>
        <v>3.1998800000000001E-2</v>
      </c>
      <c r="F195" s="3">
        <f t="shared" si="29"/>
        <v>7.5837423308631342</v>
      </c>
      <c r="G195" s="153">
        <f t="shared" si="30"/>
        <v>3.6864344341996282E-3</v>
      </c>
      <c r="L195" s="20" t="s">
        <v>67</v>
      </c>
      <c r="M195" s="24">
        <f>O195*P195</f>
        <v>132.59112340396311</v>
      </c>
      <c r="N195" s="3">
        <f>M195/M196</f>
        <v>0.73880592108566134</v>
      </c>
      <c r="O195" s="3">
        <f>MW_N2</f>
        <v>2.801348E-2</v>
      </c>
      <c r="P195" s="3">
        <f>H214</f>
        <v>4733.118605898414</v>
      </c>
      <c r="Q195" s="153">
        <f>P195/$AC$109</f>
        <v>0.4930188812000702</v>
      </c>
    </row>
    <row r="196" spans="2:17" ht="18" x14ac:dyDescent="0.25">
      <c r="B196" s="20" t="s">
        <v>67</v>
      </c>
      <c r="C196" s="24">
        <f>N2_to_coke_oven</f>
        <v>0.12849398567785134</v>
      </c>
      <c r="D196" s="3">
        <f t="shared" si="28"/>
        <v>1.9000000000000003E-2</v>
      </c>
      <c r="E196" s="3">
        <f>MW_N2</f>
        <v>2.801348E-2</v>
      </c>
      <c r="F196" s="3">
        <f t="shared" si="29"/>
        <v>4.5868626703234066</v>
      </c>
      <c r="G196" s="153">
        <f t="shared" si="30"/>
        <v>2.2296602066780094E-3</v>
      </c>
      <c r="L196" s="3" t="s">
        <v>19</v>
      </c>
      <c r="M196" s="17">
        <f>SUM(M193:M195)</f>
        <v>179.46678501049769</v>
      </c>
      <c r="N196" s="17">
        <f>SUM(N193:N195)</f>
        <v>0.99999999999999989</v>
      </c>
      <c r="O196" s="17"/>
      <c r="P196" s="17">
        <f>SUM(P193:P195)</f>
        <v>7101.6918845714445</v>
      </c>
      <c r="Q196" s="17">
        <f>SUM(Q192:Q195)</f>
        <v>0.73973810485030955</v>
      </c>
    </row>
    <row r="197" spans="2:17" x14ac:dyDescent="0.2">
      <c r="B197" s="3" t="s">
        <v>19</v>
      </c>
      <c r="C197" s="17">
        <f>SUM(C193:C196)</f>
        <v>6.762841351465859</v>
      </c>
      <c r="D197" s="17">
        <f>SUM(D192:D196)</f>
        <v>1</v>
      </c>
      <c r="E197" s="17"/>
      <c r="F197" s="17">
        <f>SUM(F192:F196)</f>
        <v>2057.2025533690689</v>
      </c>
      <c r="G197" s="17">
        <f>SUM(G192:G196)</f>
        <v>0.99999999999999978</v>
      </c>
    </row>
    <row r="199" spans="2:17" ht="18" x14ac:dyDescent="0.25">
      <c r="B199" s="236" t="s">
        <v>24</v>
      </c>
      <c r="C199" s="3">
        <f>E199*F199</f>
        <v>40.241314240746561</v>
      </c>
      <c r="D199" s="3">
        <f>C199/C201</f>
        <v>0.23300750051310182</v>
      </c>
      <c r="E199" s="3">
        <f>MW_O2</f>
        <v>3.1998800000000001E-2</v>
      </c>
      <c r="F199" s="3">
        <f>C214</f>
        <v>1257.5882295819392</v>
      </c>
    </row>
    <row r="200" spans="2:17" ht="18" x14ac:dyDescent="0.25">
      <c r="B200" s="20" t="s">
        <v>67</v>
      </c>
      <c r="C200" s="3">
        <f>E200*F200</f>
        <v>132.46262941828525</v>
      </c>
      <c r="D200" s="3">
        <f>C200/C201</f>
        <v>0.76699249948689818</v>
      </c>
      <c r="E200" s="3">
        <f>MW_N2</f>
        <v>2.801348E-2</v>
      </c>
      <c r="F200" s="3">
        <f>E214</f>
        <v>4728.5317432280908</v>
      </c>
    </row>
    <row r="201" spans="2:17" x14ac:dyDescent="0.2">
      <c r="C201" s="3">
        <f>SUM(C199:C200)</f>
        <v>172.70394365903181</v>
      </c>
      <c r="D201" s="3">
        <f>SUM(D199:D200)</f>
        <v>1</v>
      </c>
    </row>
    <row r="202" spans="2:17" x14ac:dyDescent="0.2">
      <c r="B202" s="3" t="s">
        <v>476</v>
      </c>
      <c r="C202" s="3">
        <f>C201+C197</f>
        <v>179.46678501049766</v>
      </c>
    </row>
    <row r="204" spans="2:17" ht="17" x14ac:dyDescent="0.25">
      <c r="B204" s="169" t="s">
        <v>113</v>
      </c>
      <c r="C204" s="199" t="s">
        <v>406</v>
      </c>
      <c r="E204" s="199" t="s">
        <v>406</v>
      </c>
      <c r="G204" s="169" t="s">
        <v>114</v>
      </c>
      <c r="H204" s="199" t="s">
        <v>406</v>
      </c>
      <c r="J204" s="199" t="s">
        <v>406</v>
      </c>
    </row>
    <row r="205" spans="2:17" ht="16" x14ac:dyDescent="0.2">
      <c r="C205" s="13" t="s">
        <v>42</v>
      </c>
      <c r="D205" s="1"/>
      <c r="E205" s="13" t="s">
        <v>42</v>
      </c>
      <c r="H205" s="13" t="s">
        <v>42</v>
      </c>
      <c r="I205" s="1"/>
      <c r="J205" s="13" t="s">
        <v>42</v>
      </c>
    </row>
    <row r="206" spans="2:17" ht="16" x14ac:dyDescent="0.2">
      <c r="B206" s="61" t="s">
        <v>18</v>
      </c>
      <c r="C206" s="1">
        <f>C207</f>
        <v>161.77066515257408</v>
      </c>
      <c r="D206" s="19" t="s">
        <v>182</v>
      </c>
      <c r="E206" s="1">
        <f>(2*F193)+(4*C207)</f>
        <v>4413.6052270409127</v>
      </c>
      <c r="G206" s="13" t="s">
        <v>18</v>
      </c>
      <c r="H206" s="1">
        <f>C206</f>
        <v>161.77066515257408</v>
      </c>
      <c r="I206" s="19" t="s">
        <v>182</v>
      </c>
      <c r="J206" s="1">
        <f>E206</f>
        <v>4413.6052270409127</v>
      </c>
    </row>
    <row r="207" spans="2:17" ht="18" x14ac:dyDescent="0.25">
      <c r="B207" s="61" t="s">
        <v>449</v>
      </c>
      <c r="C207" s="1">
        <f>F194</f>
        <v>161.77066515257408</v>
      </c>
      <c r="D207" s="61"/>
      <c r="E207" s="1"/>
      <c r="G207" s="240" t="s">
        <v>64</v>
      </c>
      <c r="H207" s="1">
        <f>H206</f>
        <v>161.77066515257408</v>
      </c>
      <c r="I207" s="13" t="s">
        <v>68</v>
      </c>
      <c r="J207" s="1">
        <f>J206/2</f>
        <v>2206.8026135204564</v>
      </c>
    </row>
    <row r="209" spans="2:20" x14ac:dyDescent="0.2">
      <c r="B209" s="13" t="s">
        <v>29</v>
      </c>
      <c r="C209" s="3">
        <f>2*C210</f>
        <v>15.167484661726268</v>
      </c>
      <c r="G209" s="13" t="s">
        <v>29</v>
      </c>
      <c r="H209" s="3">
        <f>2*H210</f>
        <v>323.54133030514816</v>
      </c>
      <c r="I209" s="13" t="s">
        <v>29</v>
      </c>
      <c r="J209" s="3">
        <f>J210</f>
        <v>2206.8026135204564</v>
      </c>
    </row>
    <row r="210" spans="2:20" ht="18" x14ac:dyDescent="0.25">
      <c r="B210" s="235" t="s">
        <v>24</v>
      </c>
      <c r="C210" s="3">
        <f>F195</f>
        <v>7.5837423308631342</v>
      </c>
      <c r="D210" s="20" t="s">
        <v>67</v>
      </c>
      <c r="E210" s="3">
        <f>F196</f>
        <v>4.5868626703234066</v>
      </c>
      <c r="G210" s="239" t="s">
        <v>64</v>
      </c>
      <c r="H210" s="3">
        <f>H207</f>
        <v>161.77066515257408</v>
      </c>
      <c r="I210" s="13" t="s">
        <v>68</v>
      </c>
      <c r="J210" s="3">
        <f>J207</f>
        <v>2206.8026135204564</v>
      </c>
    </row>
    <row r="213" spans="2:20" x14ac:dyDescent="0.2">
      <c r="B213" s="13" t="s">
        <v>29</v>
      </c>
      <c r="C213" s="3">
        <f>J209+H209-C209</f>
        <v>2515.1764591638785</v>
      </c>
    </row>
    <row r="214" spans="2:20" ht="18" x14ac:dyDescent="0.25">
      <c r="B214" s="235" t="s">
        <v>24</v>
      </c>
      <c r="C214" s="3">
        <f>C213/2</f>
        <v>1257.5882295819392</v>
      </c>
      <c r="D214" s="20" t="s">
        <v>67</v>
      </c>
      <c r="E214" s="3">
        <f>3.76*C214</f>
        <v>4728.5317432280908</v>
      </c>
      <c r="G214" s="20" t="s">
        <v>67</v>
      </c>
      <c r="H214" s="3">
        <f>E210+E214</f>
        <v>4733.118605898414</v>
      </c>
    </row>
    <row r="220" spans="2:20" ht="16" thickBot="1" x14ac:dyDescent="0.25"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</row>
    <row r="222" spans="2:20" ht="18" x14ac:dyDescent="0.25">
      <c r="B222" s="337" t="s">
        <v>493</v>
      </c>
      <c r="C222" s="337"/>
      <c r="D222" s="337"/>
      <c r="E222" s="337"/>
      <c r="G222" s="20" t="s">
        <v>67</v>
      </c>
      <c r="H222" s="235" t="s">
        <v>24</v>
      </c>
      <c r="J222" s="312" t="s">
        <v>70</v>
      </c>
      <c r="K222" s="312"/>
      <c r="L222" s="312"/>
      <c r="M222" s="312"/>
      <c r="N222" s="312"/>
      <c r="O222" s="312"/>
    </row>
    <row r="223" spans="2:20" ht="18" x14ac:dyDescent="0.25">
      <c r="B223" s="337"/>
      <c r="C223" s="337"/>
      <c r="D223" s="337"/>
      <c r="E223" s="337"/>
      <c r="G223" s="13">
        <v>3.76</v>
      </c>
      <c r="H223" s="13">
        <v>2</v>
      </c>
      <c r="J223" s="312" t="s">
        <v>495</v>
      </c>
      <c r="K223" s="312"/>
      <c r="L223" s="312"/>
      <c r="M223" s="13"/>
      <c r="N223" s="338" t="s">
        <v>75</v>
      </c>
      <c r="O223" s="329"/>
    </row>
    <row r="224" spans="2:20" x14ac:dyDescent="0.2">
      <c r="B224" s="337"/>
      <c r="C224" s="337"/>
      <c r="D224" s="337"/>
      <c r="E224" s="337"/>
      <c r="J224" s="312" t="str">
        <f>_xlfn.CONCAT(G229," ",B229," ","+"," ",G230," ","("," ",B230," ","+"," ",G231," ",B231," ",")"," ","--&gt;"," ",M229," ",H229," ","+"," ",M230," ",H230," ","+"," ",M231," ",H231)</f>
        <v>1 C12H23 + 17.75 ( O2 + 3.76 N2 ) --&gt; 12 CO2 + 11.5 H2O + 66.74 N2</v>
      </c>
      <c r="K224" s="312"/>
      <c r="L224" s="312"/>
      <c r="M224" s="312"/>
      <c r="N224" s="312"/>
      <c r="O224" s="312"/>
    </row>
    <row r="225" spans="2:16" x14ac:dyDescent="0.2">
      <c r="B225" s="313" t="s">
        <v>656</v>
      </c>
      <c r="C225" s="313"/>
      <c r="D225" s="313"/>
      <c r="E225" s="313"/>
    </row>
    <row r="227" spans="2:16" ht="17" x14ac:dyDescent="0.25">
      <c r="C227" s="3" t="s">
        <v>1</v>
      </c>
      <c r="D227" s="3" t="s">
        <v>5</v>
      </c>
      <c r="E227" s="199" t="s">
        <v>406</v>
      </c>
      <c r="H227" s="169" t="s">
        <v>387</v>
      </c>
      <c r="I227" s="3" t="s">
        <v>1</v>
      </c>
      <c r="J227" s="3" t="s">
        <v>5</v>
      </c>
      <c r="K227" s="199" t="s">
        <v>406</v>
      </c>
    </row>
    <row r="228" spans="2:16" ht="18" x14ac:dyDescent="0.25">
      <c r="B228" s="169" t="s">
        <v>494</v>
      </c>
      <c r="C228" s="13" t="s">
        <v>11</v>
      </c>
      <c r="D228" s="19" t="s">
        <v>84</v>
      </c>
      <c r="E228" s="13" t="s">
        <v>42</v>
      </c>
      <c r="F228" s="3" t="s">
        <v>44</v>
      </c>
      <c r="H228" s="13" t="s">
        <v>41</v>
      </c>
      <c r="I228" s="13" t="s">
        <v>11</v>
      </c>
      <c r="J228" s="19" t="s">
        <v>84</v>
      </c>
      <c r="K228" s="13" t="s">
        <v>42</v>
      </c>
      <c r="L228" s="3" t="s">
        <v>44</v>
      </c>
    </row>
    <row r="229" spans="2:16" ht="18" x14ac:dyDescent="0.25">
      <c r="B229" s="61" t="s">
        <v>488</v>
      </c>
      <c r="C229" s="3" t="e">
        <f>'Ore-&gt;PI'!L226</f>
        <v>#REF!</v>
      </c>
      <c r="D229" s="3">
        <f>MW_C12H23</f>
        <v>0.16731462</v>
      </c>
      <c r="E229" s="3" t="e">
        <f>C229/D229</f>
        <v>#REF!</v>
      </c>
      <c r="F229" s="30" t="s">
        <v>33</v>
      </c>
      <c r="G229" s="3">
        <v>1</v>
      </c>
      <c r="H229" s="239" t="s">
        <v>64</v>
      </c>
      <c r="I229" s="3" t="e">
        <f>J229*K229</f>
        <v>#REF!</v>
      </c>
      <c r="J229" s="3">
        <f>MW_CO2</f>
        <v>4.4009800000000002E-2</v>
      </c>
      <c r="K229" s="3" t="e">
        <f>M229*E229</f>
        <v>#REF!</v>
      </c>
      <c r="L229" s="30" t="s">
        <v>35</v>
      </c>
      <c r="M229" s="3">
        <f>12*G229</f>
        <v>12</v>
      </c>
    </row>
    <row r="230" spans="2:16" ht="18" x14ac:dyDescent="0.25">
      <c r="B230" s="235" t="s">
        <v>24</v>
      </c>
      <c r="C230" s="3" t="e">
        <f>E230*D230</f>
        <v>#REF!</v>
      </c>
      <c r="D230" s="3">
        <f>MW_O2</f>
        <v>3.1998800000000001E-2</v>
      </c>
      <c r="E230" s="3" t="e">
        <f>E229*G230</f>
        <v>#REF!</v>
      </c>
      <c r="F230" s="30" t="s">
        <v>34</v>
      </c>
      <c r="G230" s="3">
        <f>((2*M229)+M230)/2</f>
        <v>17.75</v>
      </c>
      <c r="H230" s="13" t="s">
        <v>68</v>
      </c>
      <c r="I230" s="3" t="e">
        <f t="shared" ref="I230:I231" si="31">J230*K230</f>
        <v>#REF!</v>
      </c>
      <c r="J230" s="3">
        <f>MW_H2O</f>
        <v>1.8015280000000002E-2</v>
      </c>
      <c r="K230" s="3" t="e">
        <f>M230*E229</f>
        <v>#REF!</v>
      </c>
      <c r="L230" s="30" t="s">
        <v>36</v>
      </c>
      <c r="M230" s="3">
        <f>(23/2)*G229</f>
        <v>11.5</v>
      </c>
    </row>
    <row r="231" spans="2:16" ht="18" x14ac:dyDescent="0.25">
      <c r="B231" s="20" t="s">
        <v>67</v>
      </c>
      <c r="C231" s="3" t="e">
        <f>E231*D231</f>
        <v>#REF!</v>
      </c>
      <c r="D231" s="3">
        <f>MW_N2</f>
        <v>2.801348E-2</v>
      </c>
      <c r="E231" s="3" t="e">
        <f>E230*G231</f>
        <v>#REF!</v>
      </c>
      <c r="F231" s="30" t="s">
        <v>206</v>
      </c>
      <c r="G231" s="3">
        <v>3.76</v>
      </c>
      <c r="H231" s="20" t="s">
        <v>67</v>
      </c>
      <c r="I231" s="3" t="e">
        <f t="shared" si="31"/>
        <v>#REF!</v>
      </c>
      <c r="J231" s="3">
        <f>MW_N2</f>
        <v>2.801348E-2</v>
      </c>
      <c r="K231" s="3" t="e">
        <f>E231</f>
        <v>#REF!</v>
      </c>
      <c r="L231" s="30" t="s">
        <v>37</v>
      </c>
      <c r="M231" s="3">
        <f>G230*G231</f>
        <v>66.739999999999995</v>
      </c>
    </row>
    <row r="232" spans="2:16" x14ac:dyDescent="0.2">
      <c r="B232" s="3" t="s">
        <v>19</v>
      </c>
      <c r="C232" s="17" t="e">
        <f>SUM(C229:C231)</f>
        <v>#REF!</v>
      </c>
      <c r="D232" s="17"/>
      <c r="E232" s="17" t="e">
        <f>SUM(E229:E231)</f>
        <v>#REF!</v>
      </c>
      <c r="I232" s="17" t="e">
        <f>SUM(I229:I231)</f>
        <v>#REF!</v>
      </c>
      <c r="J232" s="17"/>
      <c r="K232" s="17" t="e">
        <f>SUM(K229:K231)</f>
        <v>#REF!</v>
      </c>
    </row>
    <row r="235" spans="2:16" x14ac:dyDescent="0.2">
      <c r="J235" s="132" t="s">
        <v>637</v>
      </c>
      <c r="K235" s="132" t="s">
        <v>640</v>
      </c>
      <c r="L235" s="3" t="s">
        <v>390</v>
      </c>
      <c r="M235" s="3" t="s">
        <v>40</v>
      </c>
      <c r="N235" s="4" t="s">
        <v>35</v>
      </c>
      <c r="O235" s="132" t="s">
        <v>638</v>
      </c>
      <c r="P235" s="132" t="s">
        <v>639</v>
      </c>
    </row>
    <row r="236" spans="2:16" x14ac:dyDescent="0.2">
      <c r="C236" s="3" t="s">
        <v>636</v>
      </c>
      <c r="J236" s="13" t="s">
        <v>98</v>
      </c>
      <c r="K236" s="13" t="s">
        <v>98</v>
      </c>
      <c r="L236" s="13" t="s">
        <v>346</v>
      </c>
      <c r="M236" s="13" t="s">
        <v>240</v>
      </c>
      <c r="N236" s="13" t="s">
        <v>240</v>
      </c>
      <c r="O236" s="13" t="s">
        <v>98</v>
      </c>
      <c r="P236" s="13" t="s">
        <v>346</v>
      </c>
    </row>
    <row r="237" spans="2:16" ht="18" x14ac:dyDescent="0.25">
      <c r="B237" s="13" t="s">
        <v>182</v>
      </c>
      <c r="C237" s="3" t="e">
        <f>23*C239</f>
        <v>#REF!</v>
      </c>
      <c r="D237" s="19" t="s">
        <v>303</v>
      </c>
      <c r="E237" s="3" t="e">
        <f>E239</f>
        <v>#REF!</v>
      </c>
      <c r="F237" s="19" t="s">
        <v>303</v>
      </c>
      <c r="G237" s="3" t="e">
        <f>G238/2</f>
        <v>#REF!</v>
      </c>
      <c r="J237" s="3">
        <v>1.0401</v>
      </c>
      <c r="K237" s="3">
        <v>0.17280000000000001</v>
      </c>
      <c r="L237" s="3">
        <f>LHV_Diesel</f>
        <v>42600</v>
      </c>
      <c r="M237" s="3" t="e">
        <f>C243/C245</f>
        <v>#REF!</v>
      </c>
      <c r="N237" s="3" t="e">
        <f>C244/C245</f>
        <v>#REF!</v>
      </c>
      <c r="O237" s="3" t="e">
        <f>J237+(K237*(M237/N237))</f>
        <v>#REF!</v>
      </c>
      <c r="P237" s="3" t="e">
        <f>O237*L237</f>
        <v>#REF!</v>
      </c>
    </row>
    <row r="238" spans="2:16" x14ac:dyDescent="0.2">
      <c r="B238" s="13" t="s">
        <v>18</v>
      </c>
      <c r="C238" s="3" t="e">
        <f>12*C239</f>
        <v>#REF!</v>
      </c>
      <c r="D238" s="13" t="s">
        <v>18</v>
      </c>
      <c r="E238" s="3" t="e">
        <f>E239</f>
        <v>#REF!</v>
      </c>
      <c r="F238" s="3" t="s">
        <v>29</v>
      </c>
      <c r="G238" s="3" t="e">
        <f>G239</f>
        <v>#REF!</v>
      </c>
    </row>
    <row r="239" spans="2:16" ht="18" x14ac:dyDescent="0.25">
      <c r="B239" s="61" t="s">
        <v>488</v>
      </c>
      <c r="C239" s="3" t="e">
        <f>E229</f>
        <v>#REF!</v>
      </c>
      <c r="D239" s="239" t="s">
        <v>64</v>
      </c>
      <c r="E239" s="3" t="e">
        <f>C238</f>
        <v>#REF!</v>
      </c>
      <c r="F239" s="13" t="s">
        <v>68</v>
      </c>
      <c r="G239" s="3" t="e">
        <f>C237/2</f>
        <v>#REF!</v>
      </c>
    </row>
    <row r="241" spans="2:21" x14ac:dyDescent="0.2">
      <c r="C241" s="3" t="s">
        <v>1</v>
      </c>
      <c r="N241" s="3" t="s">
        <v>641</v>
      </c>
    </row>
    <row r="242" spans="2:21" x14ac:dyDescent="0.2">
      <c r="C242" s="3" t="s">
        <v>584</v>
      </c>
      <c r="N242" s="3" t="s">
        <v>642</v>
      </c>
    </row>
    <row r="243" spans="2:21" x14ac:dyDescent="0.2">
      <c r="B243" s="13" t="s">
        <v>182</v>
      </c>
      <c r="C243" s="3" t="e">
        <f>C237*MW_H</f>
        <v>#REF!</v>
      </c>
    </row>
    <row r="244" spans="2:21" x14ac:dyDescent="0.2">
      <c r="B244" s="13" t="s">
        <v>18</v>
      </c>
      <c r="C244" s="3" t="e">
        <f>C238*MW_C</f>
        <v>#REF!</v>
      </c>
    </row>
    <row r="245" spans="2:21" ht="18" thickBot="1" x14ac:dyDescent="0.3">
      <c r="B245" s="61" t="s">
        <v>488</v>
      </c>
      <c r="C245" s="98" t="e">
        <f>SUM(C243:C244)</f>
        <v>#REF!</v>
      </c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</row>
    <row r="247" spans="2:21" x14ac:dyDescent="0.2">
      <c r="B247" s="337" t="s">
        <v>503</v>
      </c>
      <c r="C247" s="337"/>
      <c r="D247" s="337"/>
      <c r="E247" s="337"/>
      <c r="J247" s="312" t="s">
        <v>70</v>
      </c>
      <c r="K247" s="312"/>
      <c r="L247" s="312"/>
      <c r="M247" s="312"/>
      <c r="N247" s="312"/>
      <c r="O247" s="312"/>
    </row>
    <row r="248" spans="2:21" ht="18" x14ac:dyDescent="0.25">
      <c r="B248" s="337"/>
      <c r="C248" s="337"/>
      <c r="D248" s="337"/>
      <c r="E248" s="337"/>
      <c r="J248" s="312" t="s">
        <v>505</v>
      </c>
      <c r="K248" s="312"/>
      <c r="L248" s="312"/>
      <c r="M248" s="13"/>
      <c r="N248" s="338" t="s">
        <v>75</v>
      </c>
      <c r="O248" s="329"/>
    </row>
    <row r="249" spans="2:21" x14ac:dyDescent="0.2">
      <c r="B249" s="337"/>
      <c r="C249" s="337"/>
      <c r="D249" s="337"/>
      <c r="E249" s="337"/>
      <c r="J249" s="312" t="str">
        <f>_xlfn.CONCAT(G254," ",B254," ","+"," ",G255," ","("," ",B255," ","+"," ",G256," ",B256," ",")"," ","--&gt;"," ",M254," ",H254," ","+"," ",M255," ",H255," ","+"," ",M256," ",H256)</f>
        <v>1 C8H18 + 12.5 ( O2 + 3.76 N2 ) --&gt; 8 CO2 + 9 H2O + 47 N2</v>
      </c>
      <c r="K249" s="312"/>
      <c r="L249" s="312"/>
      <c r="M249" s="312"/>
      <c r="N249" s="312"/>
      <c r="O249" s="312"/>
    </row>
    <row r="250" spans="2:21" x14ac:dyDescent="0.2">
      <c r="B250" s="313" t="s">
        <v>656</v>
      </c>
      <c r="C250" s="313"/>
      <c r="D250" s="313"/>
      <c r="E250" s="313"/>
    </row>
    <row r="252" spans="2:21" ht="17" x14ac:dyDescent="0.25">
      <c r="C252" s="3" t="s">
        <v>1</v>
      </c>
      <c r="D252" s="3" t="s">
        <v>5</v>
      </c>
      <c r="E252" s="199" t="s">
        <v>406</v>
      </c>
      <c r="H252" s="169" t="s">
        <v>387</v>
      </c>
      <c r="I252" s="3" t="s">
        <v>1</v>
      </c>
      <c r="J252" s="3" t="s">
        <v>5</v>
      </c>
      <c r="K252" s="199" t="s">
        <v>406</v>
      </c>
    </row>
    <row r="253" spans="2:21" ht="18" x14ac:dyDescent="0.25">
      <c r="B253" s="169" t="s">
        <v>504</v>
      </c>
      <c r="C253" s="13" t="s">
        <v>11</v>
      </c>
      <c r="D253" s="19" t="s">
        <v>84</v>
      </c>
      <c r="E253" s="13" t="s">
        <v>42</v>
      </c>
      <c r="F253" s="3" t="s">
        <v>44</v>
      </c>
      <c r="H253" s="13" t="s">
        <v>41</v>
      </c>
      <c r="I253" s="13" t="s">
        <v>11</v>
      </c>
      <c r="J253" s="19" t="s">
        <v>84</v>
      </c>
      <c r="K253" s="13" t="s">
        <v>42</v>
      </c>
      <c r="L253" s="3" t="s">
        <v>44</v>
      </c>
    </row>
    <row r="254" spans="2:21" ht="18" x14ac:dyDescent="0.25">
      <c r="B254" s="61" t="s">
        <v>487</v>
      </c>
      <c r="C254" s="3">
        <f>'Ore-&gt;PI'!L155</f>
        <v>5.1714158616864253E-4</v>
      </c>
      <c r="D254" s="3">
        <f>MW_C8H18</f>
        <v>0.11423092</v>
      </c>
      <c r="E254" s="3">
        <f>C254/D254</f>
        <v>4.5271594255622081E-3</v>
      </c>
      <c r="F254" s="30" t="s">
        <v>33</v>
      </c>
      <c r="G254" s="3">
        <v>1</v>
      </c>
      <c r="H254" s="239" t="s">
        <v>64</v>
      </c>
      <c r="I254" s="3">
        <f>J254*K254</f>
        <v>1.5939150470968614E-3</v>
      </c>
      <c r="J254" s="3">
        <f>MW_CO2</f>
        <v>4.4009800000000002E-2</v>
      </c>
      <c r="K254" s="3">
        <f>M254*E254</f>
        <v>3.6217275404497665E-2</v>
      </c>
      <c r="L254" s="30" t="s">
        <v>35</v>
      </c>
      <c r="M254" s="3">
        <f>8*G254</f>
        <v>8</v>
      </c>
    </row>
    <row r="255" spans="2:21" ht="18" x14ac:dyDescent="0.25">
      <c r="B255" s="235" t="s">
        <v>24</v>
      </c>
      <c r="C255" s="3">
        <f>E255*D255</f>
        <v>1.8107958628335E-3</v>
      </c>
      <c r="D255" s="3">
        <f>MW_O2</f>
        <v>3.1998800000000001E-2</v>
      </c>
      <c r="E255" s="3">
        <f>E254*G255</f>
        <v>5.6589492819527604E-2</v>
      </c>
      <c r="F255" s="30" t="s">
        <v>34</v>
      </c>
      <c r="G255" s="3">
        <f>((2*M254)+(M255))/2</f>
        <v>12.5</v>
      </c>
      <c r="H255" s="13" t="s">
        <v>68</v>
      </c>
      <c r="I255" s="3">
        <f t="shared" ref="I255:I256" si="32">J255*K255</f>
        <v>7.3402240190528106E-4</v>
      </c>
      <c r="J255" s="3">
        <f>MW_H2O</f>
        <v>1.8015280000000002E-2</v>
      </c>
      <c r="K255" s="3">
        <f>M255*E254</f>
        <v>4.0744434830059871E-2</v>
      </c>
      <c r="L255" s="30" t="s">
        <v>36</v>
      </c>
      <c r="M255" s="3">
        <f>9*G254</f>
        <v>9</v>
      </c>
    </row>
    <row r="256" spans="2:21" ht="18" x14ac:dyDescent="0.25">
      <c r="B256" s="20" t="s">
        <v>67</v>
      </c>
      <c r="C256" s="3">
        <f>E256*D256</f>
        <v>5.9606100311655258E-3</v>
      </c>
      <c r="D256" s="3">
        <f>MW_N2</f>
        <v>2.801348E-2</v>
      </c>
      <c r="E256" s="3">
        <f>E255*G256</f>
        <v>0.21277649300142379</v>
      </c>
      <c r="F256" s="30" t="s">
        <v>206</v>
      </c>
      <c r="G256" s="3">
        <v>3.76</v>
      </c>
      <c r="H256" s="20" t="s">
        <v>67</v>
      </c>
      <c r="I256" s="3">
        <f t="shared" si="32"/>
        <v>5.9606100311655258E-3</v>
      </c>
      <c r="J256" s="3">
        <f>MW_N2</f>
        <v>2.801348E-2</v>
      </c>
      <c r="K256" s="3">
        <f>E256</f>
        <v>0.21277649300142379</v>
      </c>
      <c r="L256" s="30" t="s">
        <v>37</v>
      </c>
      <c r="M256" s="3">
        <f>G256*G255</f>
        <v>47</v>
      </c>
    </row>
    <row r="257" spans="2:21" x14ac:dyDescent="0.2">
      <c r="B257" s="3" t="s">
        <v>19</v>
      </c>
      <c r="C257" s="17">
        <f>SUM(C254:C256)</f>
        <v>8.2885474801676681E-3</v>
      </c>
      <c r="D257" s="17"/>
      <c r="E257" s="17">
        <f>SUM(E254:E256)</f>
        <v>0.27389314524651359</v>
      </c>
      <c r="I257" s="17">
        <f>SUM(I254:I256)</f>
        <v>8.2885474801676681E-3</v>
      </c>
      <c r="J257" s="17"/>
      <c r="K257" s="17">
        <f>SUM(K254:K256)</f>
        <v>0.28973820323598132</v>
      </c>
    </row>
    <row r="259" spans="2:21" x14ac:dyDescent="0.2">
      <c r="B259" s="132" t="s">
        <v>637</v>
      </c>
      <c r="C259" s="132" t="s">
        <v>640</v>
      </c>
      <c r="D259" s="3" t="s">
        <v>390</v>
      </c>
      <c r="E259" s="3" t="s">
        <v>40</v>
      </c>
      <c r="F259" s="4" t="s">
        <v>35</v>
      </c>
      <c r="G259" s="132" t="s">
        <v>638</v>
      </c>
      <c r="H259" s="132" t="s">
        <v>643</v>
      </c>
    </row>
    <row r="260" spans="2:21" x14ac:dyDescent="0.2">
      <c r="B260" s="13" t="s">
        <v>98</v>
      </c>
      <c r="C260" s="13" t="s">
        <v>98</v>
      </c>
      <c r="D260" s="13" t="s">
        <v>346</v>
      </c>
      <c r="E260" s="13" t="s">
        <v>240</v>
      </c>
      <c r="F260" s="13" t="s">
        <v>240</v>
      </c>
      <c r="G260" s="13" t="s">
        <v>98</v>
      </c>
      <c r="H260" s="13" t="s">
        <v>346</v>
      </c>
    </row>
    <row r="261" spans="2:21" x14ac:dyDescent="0.2">
      <c r="B261" s="3">
        <v>1.0401</v>
      </c>
      <c r="C261" s="3">
        <v>0.17280000000000001</v>
      </c>
      <c r="D261" s="3">
        <f>LHV_Gasoline</f>
        <v>43400</v>
      </c>
      <c r="E261" s="3">
        <f>(MW_H*18)/(MW_C8H18)</f>
        <v>0.15882669946105663</v>
      </c>
      <c r="F261" s="3">
        <f>1-E261</f>
        <v>0.84117330053894335</v>
      </c>
      <c r="G261" s="3">
        <f>B261+(C261*(E261/F261))</f>
        <v>1.0727273475980352</v>
      </c>
      <c r="H261" s="3">
        <f>G261*D261</f>
        <v>46556.366885754731</v>
      </c>
    </row>
    <row r="262" spans="2:21" ht="16" thickBot="1" x14ac:dyDescent="0.25"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</row>
    <row r="264" spans="2:21" x14ac:dyDescent="0.2">
      <c r="B264" s="337" t="s">
        <v>508</v>
      </c>
      <c r="C264" s="337"/>
      <c r="D264" s="337"/>
      <c r="E264" s="337"/>
      <c r="J264" s="312" t="s">
        <v>70</v>
      </c>
      <c r="K264" s="312"/>
      <c r="L264" s="312"/>
      <c r="M264" s="312"/>
      <c r="N264" s="312"/>
      <c r="O264" s="312"/>
    </row>
    <row r="265" spans="2:21" ht="18" x14ac:dyDescent="0.25">
      <c r="B265" s="337"/>
      <c r="C265" s="337"/>
      <c r="D265" s="337"/>
      <c r="E265" s="337"/>
      <c r="J265" s="312" t="s">
        <v>510</v>
      </c>
      <c r="K265" s="312"/>
      <c r="L265" s="312"/>
      <c r="M265" s="13"/>
      <c r="N265" s="338" t="s">
        <v>75</v>
      </c>
      <c r="O265" s="329"/>
    </row>
    <row r="266" spans="2:21" x14ac:dyDescent="0.2">
      <c r="B266" s="337"/>
      <c r="C266" s="337"/>
      <c r="D266" s="337"/>
      <c r="E266" s="337"/>
      <c r="J266" s="312" t="str">
        <f>_xlfn.CONCAT(G271," ",B271," ","+"," ",G272," ","("," ",B272," ","+"," ",G273," ",B273," ",")"," ","--&gt;"," ",M271," ",H271," ","+"," ",M272," ",H272," ","+"," ",M273," ",H273)</f>
        <v>1 C10H20 + 15 ( O2 + 3.76 N2 ) --&gt; 10 CO2 + 10 H2O + 56.4 N2</v>
      </c>
      <c r="K266" s="312"/>
      <c r="L266" s="312"/>
      <c r="M266" s="312"/>
      <c r="N266" s="312"/>
      <c r="O266" s="312"/>
    </row>
    <row r="267" spans="2:21" x14ac:dyDescent="0.2">
      <c r="B267" s="313" t="s">
        <v>656</v>
      </c>
      <c r="C267" s="313"/>
      <c r="D267" s="313"/>
      <c r="E267" s="313"/>
    </row>
    <row r="269" spans="2:21" ht="17" x14ac:dyDescent="0.25">
      <c r="C269" s="3" t="s">
        <v>1</v>
      </c>
      <c r="D269" s="3" t="s">
        <v>5</v>
      </c>
      <c r="E269" s="199" t="s">
        <v>406</v>
      </c>
      <c r="H269" s="169" t="s">
        <v>387</v>
      </c>
      <c r="I269" s="3" t="s">
        <v>1</v>
      </c>
      <c r="J269" s="3" t="s">
        <v>5</v>
      </c>
      <c r="K269" s="199" t="s">
        <v>406</v>
      </c>
    </row>
    <row r="270" spans="2:21" ht="18" x14ac:dyDescent="0.25">
      <c r="B270" s="169" t="s">
        <v>352</v>
      </c>
      <c r="C270" s="13" t="s">
        <v>11</v>
      </c>
      <c r="D270" s="19" t="s">
        <v>84</v>
      </c>
      <c r="E270" s="13" t="s">
        <v>42</v>
      </c>
      <c r="F270" s="3" t="s">
        <v>44</v>
      </c>
      <c r="H270" s="13" t="s">
        <v>41</v>
      </c>
      <c r="I270" s="13" t="s">
        <v>11</v>
      </c>
      <c r="J270" s="19" t="s">
        <v>84</v>
      </c>
      <c r="K270" s="13" t="s">
        <v>42</v>
      </c>
      <c r="L270" s="3" t="s">
        <v>44</v>
      </c>
    </row>
    <row r="271" spans="2:21" ht="18" x14ac:dyDescent="0.25">
      <c r="B271" s="61" t="s">
        <v>506</v>
      </c>
      <c r="C271" s="3">
        <f>'Ore-&gt;PI'!$EC$105</f>
        <v>4.8979947555174279</v>
      </c>
      <c r="D271" s="3">
        <f>MW_Oil</f>
        <v>0.1402688</v>
      </c>
      <c r="E271" s="3">
        <f>C271/D271</f>
        <v>34.918633049669118</v>
      </c>
      <c r="F271" s="30" t="s">
        <v>33</v>
      </c>
      <c r="G271" s="3">
        <v>1</v>
      </c>
      <c r="H271" s="239" t="s">
        <v>64</v>
      </c>
      <c r="I271" s="3">
        <f>J271*K271</f>
        <v>15.367620567893281</v>
      </c>
      <c r="J271" s="3">
        <f>MW_CO2</f>
        <v>4.4009800000000002E-2</v>
      </c>
      <c r="K271" s="3">
        <f>M271*E271</f>
        <v>349.1863304966912</v>
      </c>
      <c r="L271" s="30" t="s">
        <v>35</v>
      </c>
      <c r="M271" s="3">
        <v>10</v>
      </c>
    </row>
    <row r="272" spans="2:21" ht="18" x14ac:dyDescent="0.25">
      <c r="B272" s="235" t="s">
        <v>24</v>
      </c>
      <c r="C272" s="3">
        <f>E272*D272</f>
        <v>16.760315328446286</v>
      </c>
      <c r="D272" s="3">
        <f>MW_O2</f>
        <v>3.1998800000000001E-2</v>
      </c>
      <c r="E272" s="3">
        <f>E271*G272</f>
        <v>523.7794957450368</v>
      </c>
      <c r="F272" s="30" t="s">
        <v>34</v>
      </c>
      <c r="G272" s="3">
        <f>((2*M271)+(M272))/2</f>
        <v>15</v>
      </c>
      <c r="H272" s="13" t="s">
        <v>68</v>
      </c>
      <c r="I272" s="3">
        <f t="shared" ref="I272:I273" si="33">J272*K272</f>
        <v>6.2906895160704313</v>
      </c>
      <c r="J272" s="3">
        <f>MW_H2O</f>
        <v>1.8015280000000002E-2</v>
      </c>
      <c r="K272" s="3">
        <f>M272*E271</f>
        <v>349.1863304966912</v>
      </c>
      <c r="L272" s="30" t="s">
        <v>36</v>
      </c>
      <c r="M272" s="3">
        <v>10</v>
      </c>
    </row>
    <row r="273" spans="2:19" ht="18" x14ac:dyDescent="0.25">
      <c r="B273" s="20" t="s">
        <v>67</v>
      </c>
      <c r="C273" s="3">
        <f>E273*D273</f>
        <v>55.170052971023409</v>
      </c>
      <c r="D273" s="3">
        <f>MW_N2</f>
        <v>2.801348E-2</v>
      </c>
      <c r="E273" s="3">
        <f>E272*G273</f>
        <v>1969.4109040013382</v>
      </c>
      <c r="F273" s="30" t="s">
        <v>206</v>
      </c>
      <c r="G273" s="3">
        <v>3.76</v>
      </c>
      <c r="H273" s="20" t="s">
        <v>67</v>
      </c>
      <c r="I273" s="3">
        <f t="shared" si="33"/>
        <v>55.170052971023409</v>
      </c>
      <c r="J273" s="3">
        <f>MW_N2</f>
        <v>2.801348E-2</v>
      </c>
      <c r="K273" s="3">
        <f>E273</f>
        <v>1969.4109040013382</v>
      </c>
      <c r="L273" s="30" t="s">
        <v>37</v>
      </c>
      <c r="M273" s="3">
        <f>G273*G272</f>
        <v>56.4</v>
      </c>
    </row>
    <row r="274" spans="2:19" x14ac:dyDescent="0.2">
      <c r="B274" s="3" t="s">
        <v>19</v>
      </c>
      <c r="C274" s="17">
        <f>SUM(C271:C273)</f>
        <v>76.828363054987122</v>
      </c>
      <c r="D274" s="17"/>
      <c r="E274" s="17">
        <f>SUM(E271:E273)</f>
        <v>2528.1090327960442</v>
      </c>
      <c r="I274" s="17">
        <f>SUM(I271:I273)</f>
        <v>76.828363054987122</v>
      </c>
      <c r="J274" s="17"/>
      <c r="K274" s="17">
        <f>SUM(K271:K273)</f>
        <v>2667.7835649947206</v>
      </c>
    </row>
    <row r="276" spans="2:19" x14ac:dyDescent="0.2">
      <c r="B276" s="132" t="s">
        <v>637</v>
      </c>
      <c r="C276" s="132" t="s">
        <v>640</v>
      </c>
      <c r="D276" s="3" t="s">
        <v>390</v>
      </c>
      <c r="E276" s="3" t="s">
        <v>40</v>
      </c>
      <c r="F276" s="4" t="s">
        <v>35</v>
      </c>
      <c r="G276" s="132" t="s">
        <v>638</v>
      </c>
      <c r="H276" s="132" t="s">
        <v>644</v>
      </c>
    </row>
    <row r="277" spans="2:19" x14ac:dyDescent="0.2">
      <c r="B277" s="13" t="s">
        <v>98</v>
      </c>
      <c r="C277" s="13" t="s">
        <v>98</v>
      </c>
      <c r="D277" s="13" t="s">
        <v>346</v>
      </c>
      <c r="E277" s="13" t="s">
        <v>240</v>
      </c>
      <c r="F277" s="13" t="s">
        <v>240</v>
      </c>
      <c r="G277" s="13" t="s">
        <v>98</v>
      </c>
      <c r="H277" s="13" t="s">
        <v>346</v>
      </c>
    </row>
    <row r="278" spans="2:19" ht="16" thickBot="1" x14ac:dyDescent="0.25">
      <c r="B278" s="298">
        <v>1.0401</v>
      </c>
      <c r="C278" s="298">
        <v>0.17280000000000001</v>
      </c>
      <c r="D278" s="298">
        <f>LHV_Oil</f>
        <v>39500</v>
      </c>
      <c r="E278" s="298">
        <f>(MW_H*20)/(MW_Oil)</f>
        <v>0.14371549482137158</v>
      </c>
      <c r="F278" s="298">
        <f>1-E278</f>
        <v>0.85628450517862842</v>
      </c>
      <c r="G278" s="298">
        <f>B278+(0.1728*(E278/F278))</f>
        <v>1.069102086753809</v>
      </c>
      <c r="H278" s="298">
        <f>G278*D278</f>
        <v>42229.532426775455</v>
      </c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</row>
    <row r="280" spans="2:19" x14ac:dyDescent="0.2">
      <c r="B280" s="337" t="s">
        <v>507</v>
      </c>
      <c r="C280" s="337"/>
      <c r="D280" s="337"/>
      <c r="E280" s="337"/>
      <c r="J280" s="312" t="s">
        <v>70</v>
      </c>
      <c r="K280" s="312"/>
      <c r="L280" s="312"/>
      <c r="M280" s="312"/>
      <c r="N280" s="312"/>
      <c r="O280" s="312"/>
    </row>
    <row r="281" spans="2:19" ht="18" x14ac:dyDescent="0.25">
      <c r="B281" s="337"/>
      <c r="C281" s="337"/>
      <c r="D281" s="337"/>
      <c r="E281" s="337"/>
      <c r="J281" s="312" t="s">
        <v>74</v>
      </c>
      <c r="K281" s="312"/>
      <c r="L281" s="312"/>
      <c r="M281" s="13"/>
      <c r="N281" s="338" t="s">
        <v>75</v>
      </c>
      <c r="O281" s="329"/>
    </row>
    <row r="282" spans="2:19" x14ac:dyDescent="0.2">
      <c r="B282" s="337"/>
      <c r="C282" s="337"/>
      <c r="D282" s="337"/>
      <c r="E282" s="337"/>
      <c r="J282" s="312" t="str">
        <f>_xlfn.CONCAT(G287," ",B287," ","+"," ",G288," ","("," ",B288," ","+"," ",G289," ",B289," ",")"," ","--&gt;"," ",M287," ",H287," ","+"," ",M288," ",H288," ","+"," ",M289," ",H289)</f>
        <v>1 CH4 + 2 ( O2 + 3.76 N2 ) --&gt; 1 CO2 + 2 H2O + 7.52 N2</v>
      </c>
      <c r="K282" s="312"/>
      <c r="L282" s="312"/>
      <c r="M282" s="312"/>
      <c r="N282" s="312"/>
      <c r="O282" s="312"/>
    </row>
    <row r="283" spans="2:19" x14ac:dyDescent="0.2">
      <c r="B283" s="313" t="s">
        <v>656</v>
      </c>
      <c r="C283" s="313"/>
      <c r="D283" s="313"/>
      <c r="E283" s="313"/>
    </row>
    <row r="285" spans="2:19" ht="17" x14ac:dyDescent="0.25">
      <c r="C285" s="3" t="s">
        <v>1</v>
      </c>
      <c r="D285" s="3" t="s">
        <v>5</v>
      </c>
      <c r="E285" s="199" t="s">
        <v>406</v>
      </c>
      <c r="H285" s="169" t="s">
        <v>387</v>
      </c>
      <c r="I285" s="3" t="s">
        <v>1</v>
      </c>
      <c r="J285" s="3" t="s">
        <v>5</v>
      </c>
      <c r="K285" s="199" t="s">
        <v>406</v>
      </c>
    </row>
    <row r="286" spans="2:19" ht="18" x14ac:dyDescent="0.25">
      <c r="B286" s="169" t="s">
        <v>509</v>
      </c>
      <c r="C286" s="13" t="s">
        <v>11</v>
      </c>
      <c r="D286" s="19" t="s">
        <v>84</v>
      </c>
      <c r="E286" s="13" t="s">
        <v>42</v>
      </c>
      <c r="F286" s="3" t="s">
        <v>44</v>
      </c>
      <c r="H286" s="13" t="s">
        <v>41</v>
      </c>
      <c r="I286" s="13" t="s">
        <v>11</v>
      </c>
      <c r="J286" s="19" t="s">
        <v>84</v>
      </c>
      <c r="K286" s="13" t="s">
        <v>42</v>
      </c>
      <c r="L286" s="3" t="s">
        <v>44</v>
      </c>
    </row>
    <row r="287" spans="2:19" ht="18" x14ac:dyDescent="0.25">
      <c r="B287" s="13" t="s">
        <v>65</v>
      </c>
      <c r="C287" s="3">
        <f>'Ore-&gt;PI'!EC118</f>
        <v>44.774669200794314</v>
      </c>
      <c r="D287" s="3">
        <f>MW_CH4</f>
        <v>1.604276E-2</v>
      </c>
      <c r="E287" s="3">
        <f>C287/D287</f>
        <v>2790.9579898218458</v>
      </c>
      <c r="F287" s="30" t="s">
        <v>33</v>
      </c>
      <c r="G287" s="3">
        <v>1</v>
      </c>
      <c r="H287" s="239" t="s">
        <v>64</v>
      </c>
      <c r="I287" s="3">
        <f>J287*K287</f>
        <v>122.82950294046147</v>
      </c>
      <c r="J287" s="3">
        <f>MW_CO2</f>
        <v>4.4009800000000002E-2</v>
      </c>
      <c r="K287" s="3">
        <f>M287*E287</f>
        <v>2790.9579898218458</v>
      </c>
      <c r="L287" s="30" t="s">
        <v>35</v>
      </c>
      <c r="M287" s="3">
        <v>1</v>
      </c>
    </row>
    <row r="288" spans="2:19" ht="18" x14ac:dyDescent="0.25">
      <c r="B288" s="235" t="s">
        <v>24</v>
      </c>
      <c r="C288" s="3">
        <f>E288*D288</f>
        <v>178.61461304942256</v>
      </c>
      <c r="D288" s="3">
        <f>MW_O2</f>
        <v>3.1998800000000001E-2</v>
      </c>
      <c r="E288" s="3">
        <f>(K287+(K288/2))</f>
        <v>5581.9159796436916</v>
      </c>
      <c r="F288" s="30" t="s">
        <v>34</v>
      </c>
      <c r="G288" s="3">
        <f>E288/E287</f>
        <v>2</v>
      </c>
      <c r="H288" s="13" t="s">
        <v>68</v>
      </c>
      <c r="I288" s="3">
        <f t="shared" ref="I288:I289" si="34">J288*K288</f>
        <v>100.55977930975541</v>
      </c>
      <c r="J288" s="3">
        <f>MW_H2O</f>
        <v>1.8015280000000002E-2</v>
      </c>
      <c r="K288" s="3">
        <f>M288*E287</f>
        <v>5581.9159796436916</v>
      </c>
      <c r="L288" s="30" t="s">
        <v>36</v>
      </c>
      <c r="M288" s="3">
        <v>2</v>
      </c>
    </row>
    <row r="289" spans="2:13" ht="18" x14ac:dyDescent="0.25">
      <c r="B289" s="20" t="s">
        <v>67</v>
      </c>
      <c r="C289" s="3">
        <f>E289*D289</f>
        <v>587.94703263193287</v>
      </c>
      <c r="D289" s="3">
        <f>MW_N2</f>
        <v>2.801348E-2</v>
      </c>
      <c r="E289" s="3">
        <f>E288*G289</f>
        <v>20988.004083460281</v>
      </c>
      <c r="F289" s="30" t="s">
        <v>206</v>
      </c>
      <c r="G289" s="3">
        <v>3.76</v>
      </c>
      <c r="H289" s="20" t="s">
        <v>67</v>
      </c>
      <c r="I289" s="3">
        <f t="shared" si="34"/>
        <v>587.94703263193287</v>
      </c>
      <c r="J289" s="3">
        <f>MW_N2</f>
        <v>2.801348E-2</v>
      </c>
      <c r="K289" s="3">
        <f>E289</f>
        <v>20988.004083460281</v>
      </c>
      <c r="L289" s="30" t="s">
        <v>37</v>
      </c>
      <c r="M289" s="3">
        <f>G289*G288</f>
        <v>7.52</v>
      </c>
    </row>
    <row r="290" spans="2:13" x14ac:dyDescent="0.2">
      <c r="B290" s="3" t="s">
        <v>19</v>
      </c>
      <c r="C290" s="17">
        <f>SUM(C287:C289)</f>
        <v>811.33631488214974</v>
      </c>
      <c r="D290" s="17"/>
      <c r="E290" s="17">
        <f>SUM(E287:E289)</f>
        <v>29360.878052925818</v>
      </c>
      <c r="I290" s="17">
        <f>SUM(I287:I289)</f>
        <v>811.33631488214974</v>
      </c>
      <c r="J290" s="17"/>
      <c r="K290" s="17">
        <f>SUM(K287:K289)</f>
        <v>29360.878052925818</v>
      </c>
    </row>
    <row r="292" spans="2:13" x14ac:dyDescent="0.2">
      <c r="C292" s="3" t="s">
        <v>1</v>
      </c>
      <c r="D292" s="3" t="s">
        <v>5</v>
      </c>
      <c r="E292" s="132" t="s">
        <v>322</v>
      </c>
      <c r="F292" s="3" t="s">
        <v>390</v>
      </c>
      <c r="G292" s="3" t="s">
        <v>588</v>
      </c>
      <c r="H292" s="3" t="s">
        <v>588</v>
      </c>
    </row>
    <row r="293" spans="2:13" ht="18" x14ac:dyDescent="0.25">
      <c r="C293" s="13" t="s">
        <v>11</v>
      </c>
      <c r="D293" s="19" t="s">
        <v>84</v>
      </c>
      <c r="E293" s="13" t="s">
        <v>98</v>
      </c>
      <c r="F293" s="13" t="s">
        <v>346</v>
      </c>
      <c r="G293" s="13" t="s">
        <v>346</v>
      </c>
      <c r="H293" s="13" t="s">
        <v>58</v>
      </c>
    </row>
    <row r="294" spans="2:13" x14ac:dyDescent="0.2">
      <c r="B294" s="13" t="s">
        <v>182</v>
      </c>
      <c r="C294" s="3">
        <f>(C295*D294)/D295</f>
        <v>15.029616209890477</v>
      </c>
      <c r="D294" s="3">
        <f>MW_H*4</f>
        <v>4.0317600000000006E-3</v>
      </c>
      <c r="E294" s="3">
        <f>1.0401+(0.1728*(C297/C298))</f>
        <v>1.1274125921766986</v>
      </c>
      <c r="F294" s="3">
        <f>LHV_CH4</f>
        <v>50000</v>
      </c>
      <c r="G294" s="3">
        <f>E294*F294</f>
        <v>56370.629608834934</v>
      </c>
      <c r="H294" s="3">
        <f>G294*D287</f>
        <v>904.34048186343273</v>
      </c>
    </row>
    <row r="295" spans="2:13" ht="17" x14ac:dyDescent="0.25">
      <c r="B295" s="13" t="s">
        <v>65</v>
      </c>
      <c r="C295" s="3">
        <f>C287</f>
        <v>44.774669200794314</v>
      </c>
      <c r="D295" s="3">
        <f>MW_C</f>
        <v>1.2010999999999999E-2</v>
      </c>
    </row>
    <row r="297" spans="2:13" x14ac:dyDescent="0.2">
      <c r="B297" s="3" t="s">
        <v>586</v>
      </c>
      <c r="C297" s="3">
        <f>C294/C295</f>
        <v>0.33567230039130802</v>
      </c>
    </row>
    <row r="298" spans="2:13" x14ac:dyDescent="0.2">
      <c r="B298" s="3" t="s">
        <v>587</v>
      </c>
      <c r="C298" s="3">
        <f>(1-C297)</f>
        <v>0.66432769960869198</v>
      </c>
    </row>
  </sheetData>
  <mergeCells count="78">
    <mergeCell ref="A80:A85"/>
    <mergeCell ref="A97:A100"/>
    <mergeCell ref="J247:O247"/>
    <mergeCell ref="J248:L248"/>
    <mergeCell ref="B250:E250"/>
    <mergeCell ref="N248:O248"/>
    <mergeCell ref="J249:O249"/>
    <mergeCell ref="C154:G155"/>
    <mergeCell ref="B183:G185"/>
    <mergeCell ref="B225:E225"/>
    <mergeCell ref="B247:E249"/>
    <mergeCell ref="B267:E267"/>
    <mergeCell ref="B283:E283"/>
    <mergeCell ref="B264:E266"/>
    <mergeCell ref="J264:O264"/>
    <mergeCell ref="J265:L265"/>
    <mergeCell ref="N265:O265"/>
    <mergeCell ref="J266:O266"/>
    <mergeCell ref="B280:E282"/>
    <mergeCell ref="J280:O280"/>
    <mergeCell ref="J281:L281"/>
    <mergeCell ref="N281:O281"/>
    <mergeCell ref="J282:O282"/>
    <mergeCell ref="Y69:AF71"/>
    <mergeCell ref="B222:E224"/>
    <mergeCell ref="J222:O222"/>
    <mergeCell ref="J223:L223"/>
    <mergeCell ref="N223:O223"/>
    <mergeCell ref="J224:O224"/>
    <mergeCell ref="B69:G70"/>
    <mergeCell ref="H77:L77"/>
    <mergeCell ref="H84:K84"/>
    <mergeCell ref="X87:X96"/>
    <mergeCell ref="G106:G108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</mergeCells>
  <conditionalFormatting sqref="I158">
    <cfRule type="cellIs" dxfId="35" priority="1" operator="notEqual">
      <formula>0</formula>
    </cfRule>
  </conditionalFormatting>
  <hyperlinks>
    <hyperlink ref="A2" r:id="rId1" xr:uid="{06BDC9B5-4B0A-4C45-943E-2ED9BE99B31A}"/>
    <hyperlink ref="M132" r:id="rId2" xr:uid="{F9BA8725-7C53-AB44-AF4C-E18E05DBDF2F}"/>
    <hyperlink ref="AE123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23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0" t="s">
        <v>612</v>
      </c>
      <c r="E3" s="3" t="s">
        <v>611</v>
      </c>
      <c r="F3" s="290" t="s">
        <v>606</v>
      </c>
      <c r="G3" s="290" t="s">
        <v>614</v>
      </c>
      <c r="H3" s="3" t="s">
        <v>615</v>
      </c>
      <c r="I3" s="290" t="s">
        <v>616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623</v>
      </c>
      <c r="V3" s="3" t="s">
        <v>624</v>
      </c>
    </row>
    <row r="4" spans="2:22" x14ac:dyDescent="0.2">
      <c r="B4" s="3"/>
      <c r="C4" s="169" t="s">
        <v>595</v>
      </c>
      <c r="D4" s="13" t="s">
        <v>613</v>
      </c>
      <c r="E4" s="13" t="s">
        <v>63</v>
      </c>
      <c r="F4" s="13" t="s">
        <v>346</v>
      </c>
      <c r="G4" s="13" t="s">
        <v>613</v>
      </c>
      <c r="H4" s="13" t="s">
        <v>98</v>
      </c>
      <c r="I4" s="13" t="s">
        <v>613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69" t="s">
        <v>595</v>
      </c>
      <c r="U4" s="13" t="s">
        <v>58</v>
      </c>
      <c r="V4" s="13" t="s">
        <v>58</v>
      </c>
    </row>
    <row r="5" spans="2:22" ht="15" customHeight="1" x14ac:dyDescent="0.2">
      <c r="B5" s="344" t="s">
        <v>589</v>
      </c>
      <c r="C5" s="3" t="s">
        <v>594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594</v>
      </c>
      <c r="U5" s="3">
        <f>K5</f>
        <v>-9.8484726160779719</v>
      </c>
      <c r="V5">
        <f>K15</f>
        <v>880.83108552905367</v>
      </c>
    </row>
    <row r="6" spans="2:22" ht="18" x14ac:dyDescent="0.25">
      <c r="B6" s="344"/>
      <c r="C6" s="3"/>
      <c r="D6" s="3" t="s">
        <v>54</v>
      </c>
      <c r="E6" s="1" t="s">
        <v>599</v>
      </c>
      <c r="F6" s="1" t="s">
        <v>600</v>
      </c>
      <c r="G6" s="1" t="s">
        <v>601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597</v>
      </c>
      <c r="U6" s="3">
        <f>H8</f>
        <v>831.8</v>
      </c>
      <c r="V6" s="3">
        <f>H18</f>
        <v>831.8</v>
      </c>
    </row>
    <row r="7" spans="2:22" ht="16" x14ac:dyDescent="0.2">
      <c r="B7" s="344"/>
      <c r="C7" s="3"/>
      <c r="D7" s="13" t="s">
        <v>58</v>
      </c>
      <c r="E7" s="294" t="s">
        <v>58</v>
      </c>
      <c r="F7" s="294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596</v>
      </c>
      <c r="U7" s="3">
        <f>Q11</f>
        <v>-293.51452993154498</v>
      </c>
      <c r="V7">
        <f>P21</f>
        <v>-2123.0450060933322</v>
      </c>
    </row>
    <row r="8" spans="2:22" x14ac:dyDescent="0.2">
      <c r="B8" s="344"/>
      <c r="C8" s="3" t="s">
        <v>597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44"/>
      <c r="C9" s="3"/>
      <c r="D9" s="3" t="s">
        <v>40</v>
      </c>
      <c r="E9" s="3" t="s">
        <v>591</v>
      </c>
      <c r="F9" s="3" t="s">
        <v>592</v>
      </c>
      <c r="G9" s="290" t="s">
        <v>603</v>
      </c>
      <c r="H9" s="290" t="s">
        <v>604</v>
      </c>
      <c r="I9" s="3" t="s">
        <v>605</v>
      </c>
      <c r="J9" s="290" t="s">
        <v>606</v>
      </c>
      <c r="K9" s="290" t="s">
        <v>607</v>
      </c>
      <c r="L9" s="290" t="s">
        <v>101</v>
      </c>
      <c r="M9" s="290" t="s">
        <v>608</v>
      </c>
      <c r="N9" s="290" t="s">
        <v>609</v>
      </c>
      <c r="O9" s="3" t="s">
        <v>54</v>
      </c>
      <c r="P9" s="290" t="s">
        <v>610</v>
      </c>
      <c r="Q9" s="290" t="s">
        <v>34</v>
      </c>
    </row>
    <row r="10" spans="2:22" ht="17" x14ac:dyDescent="0.25">
      <c r="B10" s="344"/>
      <c r="C10" s="3"/>
      <c r="D10" s="13" t="s">
        <v>625</v>
      </c>
      <c r="E10" s="13" t="s">
        <v>240</v>
      </c>
      <c r="F10" s="13" t="s">
        <v>240</v>
      </c>
      <c r="G10" s="13" t="s">
        <v>498</v>
      </c>
      <c r="H10" s="13" t="s">
        <v>498</v>
      </c>
      <c r="I10" s="13" t="s">
        <v>240</v>
      </c>
      <c r="J10" s="13" t="s">
        <v>498</v>
      </c>
      <c r="K10" s="13" t="s">
        <v>499</v>
      </c>
      <c r="L10" s="13" t="s">
        <v>499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623</v>
      </c>
      <c r="V10" s="3" t="s">
        <v>624</v>
      </c>
    </row>
    <row r="11" spans="2:22" x14ac:dyDescent="0.2">
      <c r="B11" s="344"/>
      <c r="C11" s="3" t="s">
        <v>596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595</v>
      </c>
      <c r="U11" s="13" t="s">
        <v>58</v>
      </c>
      <c r="V11" s="13" t="s">
        <v>58</v>
      </c>
    </row>
    <row r="12" spans="2:22" x14ac:dyDescent="0.2">
      <c r="S12" s="345" t="s">
        <v>626</v>
      </c>
      <c r="T12" s="13" t="s">
        <v>594</v>
      </c>
      <c r="U12" s="238" t="s">
        <v>474</v>
      </c>
      <c r="V12" s="238">
        <v>880.83</v>
      </c>
    </row>
    <row r="13" spans="2:22" x14ac:dyDescent="0.2">
      <c r="B13" s="238"/>
      <c r="C13" s="238"/>
      <c r="D13" s="238" t="s">
        <v>593</v>
      </c>
      <c r="E13" s="238" t="s">
        <v>591</v>
      </c>
      <c r="F13" s="238" t="s">
        <v>592</v>
      </c>
      <c r="G13" s="238" t="s">
        <v>33</v>
      </c>
      <c r="H13" s="238" t="s">
        <v>34</v>
      </c>
      <c r="I13" s="291" t="s">
        <v>322</v>
      </c>
      <c r="J13" s="291" t="s">
        <v>345</v>
      </c>
      <c r="K13" s="291" t="s">
        <v>34</v>
      </c>
      <c r="L13" s="238"/>
      <c r="M13" s="238"/>
      <c r="N13" s="238"/>
      <c r="O13" s="238"/>
      <c r="P13" s="238"/>
      <c r="S13" s="345"/>
      <c r="T13" s="13" t="s">
        <v>597</v>
      </c>
      <c r="U13" s="238">
        <v>831.8</v>
      </c>
      <c r="V13" s="238">
        <f>U13</f>
        <v>831.8</v>
      </c>
    </row>
    <row r="14" spans="2:22" x14ac:dyDescent="0.2">
      <c r="B14" s="238"/>
      <c r="C14" s="238"/>
      <c r="D14" s="292" t="s">
        <v>11</v>
      </c>
      <c r="E14" s="292" t="s">
        <v>240</v>
      </c>
      <c r="F14" s="292" t="s">
        <v>240</v>
      </c>
      <c r="G14" s="292" t="s">
        <v>598</v>
      </c>
      <c r="H14" s="292" t="s">
        <v>598</v>
      </c>
      <c r="I14" s="292" t="s">
        <v>98</v>
      </c>
      <c r="J14" s="292" t="s">
        <v>346</v>
      </c>
      <c r="K14" s="292" t="s">
        <v>58</v>
      </c>
      <c r="L14" s="238"/>
      <c r="M14" s="238"/>
      <c r="N14" s="238"/>
      <c r="O14" s="238"/>
      <c r="P14" s="238"/>
      <c r="S14" s="345"/>
      <c r="T14" s="13" t="s">
        <v>596</v>
      </c>
      <c r="U14" s="238">
        <v>869.44899999999996</v>
      </c>
      <c r="V14" s="238">
        <v>858.81600000000003</v>
      </c>
    </row>
    <row r="15" spans="2:22" x14ac:dyDescent="0.2">
      <c r="B15" s="344" t="s">
        <v>590</v>
      </c>
      <c r="C15" s="238" t="s">
        <v>594</v>
      </c>
      <c r="D15" s="238">
        <f>'Ore-&gt;PI'!BR156</f>
        <v>20798.316475388398</v>
      </c>
      <c r="E15" s="238">
        <f>((MW_C*D15)/MW_CH4)/D15</f>
        <v>0.74868663496804777</v>
      </c>
      <c r="F15" s="238">
        <f>1-E15</f>
        <v>0.25131336503195223</v>
      </c>
      <c r="G15" s="238">
        <v>1.0401</v>
      </c>
      <c r="H15" s="238">
        <v>0.17280000000000001</v>
      </c>
      <c r="I15" s="238">
        <f>G15+(H15*(F15/E15))</f>
        <v>1.098104173507618</v>
      </c>
      <c r="J15" s="238">
        <f>LHV_CH4</f>
        <v>50000</v>
      </c>
      <c r="K15" s="238">
        <f>I15*J15*MW_CH4</f>
        <v>880.83108552905367</v>
      </c>
      <c r="L15" s="238"/>
      <c r="M15" s="238"/>
      <c r="N15" s="238"/>
      <c r="O15" s="238"/>
      <c r="P15" s="238"/>
    </row>
    <row r="16" spans="2:22" ht="18" x14ac:dyDescent="0.2">
      <c r="B16" s="344"/>
      <c r="C16" s="238"/>
      <c r="D16" s="238" t="s">
        <v>54</v>
      </c>
      <c r="E16" s="293" t="s">
        <v>599</v>
      </c>
      <c r="F16" s="293" t="s">
        <v>600</v>
      </c>
      <c r="G16" s="293" t="s">
        <v>601</v>
      </c>
      <c r="H16" s="238" t="s">
        <v>34</v>
      </c>
      <c r="I16" s="238"/>
      <c r="J16" s="238"/>
      <c r="K16" s="238"/>
      <c r="L16" s="238"/>
      <c r="M16" s="238"/>
      <c r="N16" s="238"/>
      <c r="O16" s="238"/>
      <c r="P16" s="238"/>
    </row>
    <row r="17" spans="2:16" ht="16" x14ac:dyDescent="0.2">
      <c r="B17" s="344"/>
      <c r="C17" s="238"/>
      <c r="D17" s="292" t="s">
        <v>58</v>
      </c>
      <c r="E17" s="294" t="s">
        <v>58</v>
      </c>
      <c r="F17" s="294" t="s">
        <v>58</v>
      </c>
      <c r="G17" s="294" t="s">
        <v>58</v>
      </c>
      <c r="H17" s="294" t="s">
        <v>58</v>
      </c>
      <c r="I17" s="238"/>
      <c r="J17" s="238"/>
      <c r="K17" s="238"/>
      <c r="L17" s="238"/>
      <c r="M17" s="238"/>
      <c r="N17" s="238"/>
      <c r="O17" s="238"/>
      <c r="P17" s="238"/>
    </row>
    <row r="18" spans="2:16" x14ac:dyDescent="0.2">
      <c r="B18" s="344"/>
      <c r="C18" s="238" t="s">
        <v>597</v>
      </c>
      <c r="D18" s="238">
        <f>D8</f>
        <v>-50.7</v>
      </c>
      <c r="E18" s="238">
        <f>b_ch_H2</f>
        <v>236.1</v>
      </c>
      <c r="F18" s="238">
        <f>F8</f>
        <v>410.3</v>
      </c>
      <c r="G18" s="238">
        <f>D18+(2*E18)+F18</f>
        <v>831.8</v>
      </c>
      <c r="H18" s="238">
        <f>G18</f>
        <v>831.8</v>
      </c>
      <c r="I18" s="238"/>
      <c r="J18" s="238"/>
      <c r="K18" s="238"/>
      <c r="L18" s="238"/>
      <c r="M18" s="238"/>
      <c r="N18" s="238"/>
      <c r="O18" s="238"/>
      <c r="P18" s="238"/>
    </row>
    <row r="19" spans="2:16" ht="19" x14ac:dyDescent="0.2">
      <c r="B19" s="344"/>
      <c r="C19" s="238"/>
      <c r="D19" s="238" t="s">
        <v>497</v>
      </c>
      <c r="E19" s="238" t="s">
        <v>497</v>
      </c>
      <c r="F19" s="295" t="s">
        <v>618</v>
      </c>
      <c r="G19" s="295" t="s">
        <v>619</v>
      </c>
      <c r="H19" s="295" t="s">
        <v>606</v>
      </c>
      <c r="I19" s="295" t="s">
        <v>616</v>
      </c>
      <c r="J19" s="295" t="s">
        <v>616</v>
      </c>
      <c r="K19" s="238" t="s">
        <v>40</v>
      </c>
      <c r="L19" s="295" t="s">
        <v>608</v>
      </c>
      <c r="M19" s="295" t="s">
        <v>609</v>
      </c>
      <c r="N19" s="295" t="s">
        <v>620</v>
      </c>
      <c r="O19" s="295" t="s">
        <v>621</v>
      </c>
      <c r="P19" s="295" t="s">
        <v>34</v>
      </c>
    </row>
    <row r="20" spans="2:16" x14ac:dyDescent="0.2">
      <c r="B20" s="344"/>
      <c r="C20" s="238"/>
      <c r="D20" s="292" t="s">
        <v>498</v>
      </c>
      <c r="E20" s="292" t="s">
        <v>58</v>
      </c>
      <c r="F20" s="292" t="s">
        <v>58</v>
      </c>
      <c r="G20" s="292" t="s">
        <v>58</v>
      </c>
      <c r="H20" s="292" t="s">
        <v>58</v>
      </c>
      <c r="I20" s="292" t="s">
        <v>499</v>
      </c>
      <c r="J20" s="292" t="s">
        <v>617</v>
      </c>
      <c r="K20" s="292" t="s">
        <v>602</v>
      </c>
      <c r="L20" s="292" t="s">
        <v>98</v>
      </c>
      <c r="M20" s="292" t="s">
        <v>98</v>
      </c>
      <c r="N20" s="292" t="s">
        <v>58</v>
      </c>
      <c r="O20" s="292" t="s">
        <v>58</v>
      </c>
      <c r="P20" s="292" t="s">
        <v>58</v>
      </c>
    </row>
    <row r="21" spans="2:16" x14ac:dyDescent="0.2">
      <c r="B21" s="344"/>
      <c r="C21" s="238" t="s">
        <v>596</v>
      </c>
      <c r="D21" s="238">
        <f>102720+(27360*D11)</f>
        <v>1406849.0553009105</v>
      </c>
      <c r="E21" s="238">
        <f>D21*cal_to_kJ</f>
        <v>5886.2564473790098</v>
      </c>
      <c r="F21" s="238">
        <f>-393.52</f>
        <v>-393.52</v>
      </c>
      <c r="G21" s="238">
        <f>-285830/1000</f>
        <v>-285.83</v>
      </c>
      <c r="H21" s="238">
        <f>E21+F21+((D11/2)*G21)</f>
        <v>-1319.3835796067215</v>
      </c>
      <c r="I21" s="238">
        <f>1.12+(4.4*D11)</f>
        <v>210.84835684663767</v>
      </c>
      <c r="J21" s="238">
        <f>I21*cal_to_kJ</f>
        <v>0.88218952504633208</v>
      </c>
      <c r="K21" s="238">
        <f>(12.011*4)/1.008</f>
        <v>47.662698412698411</v>
      </c>
      <c r="L21" s="238">
        <f>(4*F11)/E11</f>
        <v>1.3426892015652319</v>
      </c>
      <c r="M21" s="238">
        <f>(1*D21)/D21</f>
        <v>1</v>
      </c>
      <c r="N21" s="238">
        <f>((28898-(C2*10.3))+(1.987*C2*LN(4)))*cal_to_kJ</f>
        <v>111.49660903769009</v>
      </c>
      <c r="O21" s="238">
        <f>(94052-(C2*2.07))*cal_to_kJ</f>
        <v>390.93132662800002</v>
      </c>
      <c r="P21" s="238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568</v>
      </c>
    </row>
    <row r="33" spans="3:3" x14ac:dyDescent="0.2">
      <c r="C33" s="3" t="s">
        <v>569</v>
      </c>
    </row>
    <row r="34" spans="3:3" x14ac:dyDescent="0.2">
      <c r="C34" s="3" t="s">
        <v>553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B19" zoomScale="75" zoomScaleNormal="120" workbookViewId="0">
      <selection activeCell="P63" sqref="P63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2" t="s">
        <v>364</v>
      </c>
      <c r="Q23" s="362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3"/>
      <c r="Q24" s="363"/>
    </row>
    <row r="25" spans="14:66" ht="16" x14ac:dyDescent="0.2">
      <c r="P25" s="359" t="s">
        <v>344</v>
      </c>
      <c r="Q25" s="138" t="s">
        <v>317</v>
      </c>
      <c r="AO25" s="367" t="s">
        <v>434</v>
      </c>
      <c r="AP25" s="367"/>
      <c r="AQ25" s="367"/>
      <c r="AR25" s="367"/>
      <c r="AS25" s="367"/>
      <c r="AT25" s="367"/>
      <c r="AU25" s="367"/>
      <c r="BH25" s="367" t="s">
        <v>438</v>
      </c>
      <c r="BI25" s="367"/>
      <c r="BJ25" s="367"/>
      <c r="BK25" s="367"/>
      <c r="BL25" s="367"/>
      <c r="BM25" s="367"/>
      <c r="BN25" s="367"/>
    </row>
    <row r="26" spans="14:66" x14ac:dyDescent="0.2">
      <c r="P26" s="360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632</v>
      </c>
      <c r="Q28" s="136" t="e">
        <f>V42/V59</f>
        <v>#REF!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 t="e">
        <f>V46/V59</f>
        <v>#REF!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9"/>
      <c r="R41" s="269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2" t="s">
        <v>419</v>
      </c>
      <c r="F42" s="372"/>
      <c r="G42" s="372"/>
      <c r="H42" s="372"/>
      <c r="J42" s="4"/>
      <c r="K42" s="4"/>
      <c r="L42" s="4"/>
      <c r="M42" s="4"/>
      <c r="N42" s="4"/>
      <c r="O42" s="4"/>
      <c r="P42" s="269"/>
      <c r="Q42" s="269" t="s">
        <v>420</v>
      </c>
      <c r="R42" s="269"/>
      <c r="S42" s="4"/>
      <c r="T42" s="4"/>
      <c r="U42" s="50">
        <f>K52</f>
        <v>1011.7674660019052</v>
      </c>
      <c r="V42" s="48">
        <f>V52</f>
        <v>109233.7126431732</v>
      </c>
      <c r="W42" s="354" t="s">
        <v>412</v>
      </c>
      <c r="X42" s="354"/>
      <c r="Y42" s="354"/>
      <c r="Z42" s="354"/>
      <c r="AA42" s="354"/>
      <c r="AB42" s="4"/>
      <c r="AC42" s="4"/>
      <c r="AD42" s="4"/>
      <c r="AE42" s="4"/>
      <c r="AF42" s="4"/>
      <c r="AG42" s="4"/>
      <c r="AH42" s="4"/>
      <c r="AI42" s="97"/>
      <c r="AJ42" s="4" t="s">
        <v>547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54" t="s">
        <v>561</v>
      </c>
      <c r="AQ42" s="354"/>
      <c r="AR42" s="354"/>
      <c r="AS42" s="354"/>
      <c r="AT42" s="354"/>
      <c r="AV42" s="4"/>
      <c r="AW42" s="4"/>
      <c r="AX42" s="4"/>
      <c r="AY42" s="4"/>
      <c r="AZ42" s="4"/>
      <c r="BA42" s="4"/>
      <c r="BB42" s="4"/>
      <c r="BC42" s="4" t="s">
        <v>546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54" t="s">
        <v>439</v>
      </c>
      <c r="BJ42" s="354"/>
      <c r="BK42" s="354"/>
      <c r="BL42" s="354"/>
      <c r="BM42" s="354"/>
      <c r="BV42" s="3" t="s">
        <v>544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2"/>
      <c r="F43" s="372"/>
      <c r="G43" s="372"/>
      <c r="H43" s="372"/>
      <c r="J43" s="4"/>
      <c r="K43" s="4"/>
      <c r="L43" s="4"/>
      <c r="M43" s="4"/>
      <c r="N43" s="4"/>
      <c r="O43" s="4"/>
      <c r="P43" s="4"/>
      <c r="Q43" s="4"/>
      <c r="R43" s="4"/>
      <c r="S43" s="4"/>
      <c r="W43" s="361"/>
      <c r="X43" s="361"/>
      <c r="Y43" s="361"/>
      <c r="Z43" s="361"/>
      <c r="AA43" s="36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54"/>
      <c r="AQ43" s="354"/>
      <c r="AR43" s="354"/>
      <c r="AS43" s="354"/>
      <c r="AT43" s="35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54"/>
      <c r="BJ43" s="354"/>
      <c r="BK43" s="354"/>
      <c r="BL43" s="354"/>
      <c r="BM43" s="354"/>
    </row>
    <row r="44" spans="5:80" ht="19.25" customHeight="1" x14ac:dyDescent="0.25">
      <c r="J44" s="4"/>
      <c r="K44" s="1" t="s">
        <v>554</v>
      </c>
      <c r="L44" s="1" t="s">
        <v>555</v>
      </c>
      <c r="M44" s="1" t="s">
        <v>557</v>
      </c>
      <c r="N44" s="1" t="s">
        <v>85</v>
      </c>
      <c r="O44" s="1" t="s">
        <v>658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556</v>
      </c>
      <c r="V44" s="1" t="s">
        <v>50</v>
      </c>
      <c r="W44" s="22" t="s">
        <v>427</v>
      </c>
      <c r="X44" s="100" t="s">
        <v>475</v>
      </c>
      <c r="Y44" s="190" t="s">
        <v>337</v>
      </c>
      <c r="Z44" s="357" t="s">
        <v>344</v>
      </c>
      <c r="AA44" s="138" t="s">
        <v>317</v>
      </c>
      <c r="AB44" s="4"/>
      <c r="AC44" s="4"/>
      <c r="AD44" s="1" t="s">
        <v>554</v>
      </c>
      <c r="AE44" s="1" t="s">
        <v>555</v>
      </c>
      <c r="AF44" s="1" t="s">
        <v>557</v>
      </c>
      <c r="AG44" s="1" t="s">
        <v>85</v>
      </c>
      <c r="AH44" s="1" t="s">
        <v>658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556</v>
      </c>
      <c r="AO44" s="1" t="s">
        <v>50</v>
      </c>
      <c r="AP44" s="22" t="s">
        <v>427</v>
      </c>
      <c r="AQ44" s="22" t="s">
        <v>475</v>
      </c>
      <c r="AR44" s="159" t="s">
        <v>337</v>
      </c>
      <c r="AS44" s="359" t="s">
        <v>344</v>
      </c>
      <c r="AT44" s="138" t="s">
        <v>317</v>
      </c>
      <c r="AU44" s="4"/>
      <c r="AV44" s="4"/>
      <c r="AW44" s="1" t="s">
        <v>554</v>
      </c>
      <c r="AX44" s="1" t="s">
        <v>555</v>
      </c>
      <c r="AY44" s="1" t="s">
        <v>557</v>
      </c>
      <c r="AZ44" s="1" t="s">
        <v>85</v>
      </c>
      <c r="BA44" s="1" t="s">
        <v>658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556</v>
      </c>
      <c r="BH44" s="1" t="s">
        <v>50</v>
      </c>
      <c r="BI44" s="22" t="s">
        <v>427</v>
      </c>
      <c r="BJ44" s="22" t="s">
        <v>475</v>
      </c>
      <c r="BK44" s="190" t="s">
        <v>337</v>
      </c>
      <c r="BL44" s="359" t="s">
        <v>344</v>
      </c>
      <c r="BM44" s="138" t="s">
        <v>317</v>
      </c>
      <c r="BN44" s="1"/>
      <c r="BO44" s="4"/>
      <c r="BP44" s="1" t="s">
        <v>554</v>
      </c>
      <c r="BQ44" s="1" t="s">
        <v>555</v>
      </c>
      <c r="BR44" s="1" t="s">
        <v>557</v>
      </c>
      <c r="BS44" s="1" t="s">
        <v>85</v>
      </c>
      <c r="BT44" s="1" t="s">
        <v>658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556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645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1" t="s">
        <v>48</v>
      </c>
      <c r="X45" s="75" t="s">
        <v>48</v>
      </c>
      <c r="Y45" s="191" t="s">
        <v>89</v>
      </c>
      <c r="Z45" s="358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645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1" t="s">
        <v>48</v>
      </c>
      <c r="AQ45" s="9" t="s">
        <v>48</v>
      </c>
      <c r="AR45" s="1" t="s">
        <v>89</v>
      </c>
      <c r="AS45" s="360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645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1" t="s">
        <v>48</v>
      </c>
      <c r="BJ45" s="9" t="s">
        <v>48</v>
      </c>
      <c r="BK45" s="9" t="s">
        <v>89</v>
      </c>
      <c r="BL45" s="360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645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5" t="s">
        <v>420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 t="e">
        <f>SUM(V42,V59,V72) -AO63-AO42</f>
        <v>#REF!</v>
      </c>
      <c r="Y46" s="192">
        <f>ROUND(U42+U59+U72-AN42-AN63, 10)</f>
        <v>0</v>
      </c>
      <c r="Z46" s="189" t="s">
        <v>341</v>
      </c>
      <c r="AA46" s="136" t="e">
        <f>(($AG$46*($AN$46-$U$46))/V59)</f>
        <v>#REF!</v>
      </c>
      <c r="AB46" s="355" t="s">
        <v>547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5" t="s">
        <v>546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2">
        <f>BZ42+BZ55-BG42</f>
        <v>0</v>
      </c>
      <c r="BL46" s="139" t="s">
        <v>341</v>
      </c>
      <c r="BM46" s="136">
        <f>((BS46*(BZ46-BG46))/BN35)</f>
        <v>0.10204303400670409</v>
      </c>
      <c r="BN46" s="355" t="s">
        <v>544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5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632</v>
      </c>
      <c r="AA47" s="136" t="e">
        <f>($AO$42+AO63)/(V59+V72+$V$42)</f>
        <v>#REF!</v>
      </c>
      <c r="AB47" s="355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632</v>
      </c>
      <c r="AT47" s="136">
        <f>BH42/(AU28+AO42)</f>
        <v>0.15191900995389168</v>
      </c>
      <c r="AU47" s="355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632</v>
      </c>
      <c r="BM47" s="136">
        <f>(CA42+CA55)/(BN35+BH42)</f>
        <v>0.9084965360427989</v>
      </c>
      <c r="BN47" s="355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5" t="s">
        <v>549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404</v>
      </c>
      <c r="AA48" s="137" t="e">
        <f>$AO$46/(V59+V72+$V$42)</f>
        <v>#REF!</v>
      </c>
      <c r="AB48" s="355" t="s">
        <v>548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404</v>
      </c>
      <c r="AT48" s="137">
        <f>BH46/(AU28+AO42)</f>
        <v>0.12756053024900801</v>
      </c>
      <c r="AU48" s="355" t="s">
        <v>545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404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5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5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5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659</v>
      </c>
      <c r="BU49" s="4"/>
      <c r="BV49" s="4"/>
      <c r="BZ49" s="3" t="s">
        <v>96</v>
      </c>
      <c r="CA49" s="1" t="s">
        <v>93</v>
      </c>
    </row>
    <row r="50" spans="2:86" x14ac:dyDescent="0.2">
      <c r="I50" s="355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5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5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5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5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5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581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659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583</v>
      </c>
      <c r="Z53" s="1" t="s">
        <v>583</v>
      </c>
      <c r="AA53" s="1" t="s">
        <v>583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659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583</v>
      </c>
      <c r="AS53" s="1" t="s">
        <v>583</v>
      </c>
      <c r="AT53" s="1" t="s">
        <v>583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659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583</v>
      </c>
      <c r="BK53" s="1" t="s">
        <v>583</v>
      </c>
      <c r="BL53" s="1" t="s">
        <v>583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582</v>
      </c>
      <c r="Z54" s="3" t="s">
        <v>582</v>
      </c>
      <c r="AA54" s="3" t="s">
        <v>582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582</v>
      </c>
      <c r="AS54" s="3" t="s">
        <v>582</v>
      </c>
      <c r="AT54" s="3" t="s">
        <v>582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582</v>
      </c>
      <c r="BK54" s="3" t="s">
        <v>582</v>
      </c>
      <c r="BL54" s="3" t="s">
        <v>582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543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4">
        <f>N47</f>
        <v>1979.5520626852608</v>
      </c>
      <c r="Z56" s="284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4">
        <f>AG47</f>
        <v>1979.5520626852608</v>
      </c>
      <c r="AS56" s="284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4">
        <f>2*N48</f>
        <v>26.539522960691897</v>
      </c>
      <c r="Z57" s="284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4">
        <f>2*AG48</f>
        <v>26.539522960691897</v>
      </c>
      <c r="AS57" s="284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554</v>
      </c>
      <c r="BQ57" s="1" t="s">
        <v>555</v>
      </c>
      <c r="BR57" s="1" t="s">
        <v>557</v>
      </c>
      <c r="BS57" s="1" t="s">
        <v>85</v>
      </c>
      <c r="BT57" s="1" t="s">
        <v>658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556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4">
        <f>2*N49</f>
        <v>196.14637665136635</v>
      </c>
      <c r="Z58" s="284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4">
        <f>2*AG49</f>
        <v>196.14637665136635</v>
      </c>
      <c r="AS58" s="284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9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645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1" t="s">
        <v>572</v>
      </c>
      <c r="R59" s="4"/>
      <c r="S59" s="4"/>
      <c r="T59" s="4"/>
      <c r="U59" s="50">
        <f>L64</f>
        <v>2.0694989883749622</v>
      </c>
      <c r="V59" s="48" t="e">
        <f>V64</f>
        <v>#REF!</v>
      </c>
      <c r="X59" s="4" t="s">
        <v>181</v>
      </c>
      <c r="Y59" s="284">
        <f>N50</f>
        <v>12.394871839617645</v>
      </c>
      <c r="Z59" s="284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4">
        <f>AG50</f>
        <v>12.394871839617645</v>
      </c>
      <c r="AS59" s="284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4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5" t="s">
        <v>543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4">
        <f>N51</f>
        <v>4.1765146853454036</v>
      </c>
      <c r="Z60" s="284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4">
        <f>AG51</f>
        <v>4.1765146853454036</v>
      </c>
      <c r="AS60" s="284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4">
        <f>AZ51</f>
        <v>4.1765146853454036</v>
      </c>
      <c r="BK60" s="284">
        <f>BS62</f>
        <v>4.1765146853454036</v>
      </c>
      <c r="BL60" s="3">
        <f t="shared" si="30"/>
        <v>0</v>
      </c>
      <c r="BM60" s="4"/>
      <c r="BN60" s="355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8" t="s">
        <v>485</v>
      </c>
      <c r="C61" s="348"/>
      <c r="D61" s="348"/>
      <c r="E61" s="348"/>
      <c r="F61" s="348"/>
      <c r="G61" s="348"/>
      <c r="H61" s="348"/>
      <c r="J61" s="4"/>
      <c r="K61" s="3" t="s">
        <v>560</v>
      </c>
      <c r="L61" s="1" t="s">
        <v>554</v>
      </c>
      <c r="M61" s="1" t="s">
        <v>557</v>
      </c>
      <c r="N61" s="1" t="s">
        <v>85</v>
      </c>
      <c r="O61" s="1" t="s">
        <v>658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556</v>
      </c>
      <c r="V61" s="1" t="s">
        <v>50</v>
      </c>
      <c r="X61" s="4" t="s">
        <v>18</v>
      </c>
      <c r="Y61" s="284">
        <f>12*N63</f>
        <v>148.42688499366969</v>
      </c>
      <c r="Z61" s="284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4">
        <f>(3*AG46)+(2*AG47)+AG48+(3*AG49)</f>
        <v>20818.724417046393</v>
      </c>
      <c r="AS61" s="284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4">
        <f>(3*AZ46)+(2*AZ47)+AZ48+(3*AZ49)</f>
        <v>20818.724417046393</v>
      </c>
      <c r="BK61" s="284">
        <f>(3*BS46)+(2*BS47)+BS59+(3*BS60)</f>
        <v>20818.724417046393</v>
      </c>
      <c r="BL61" s="3">
        <f t="shared" si="30"/>
        <v>0</v>
      </c>
      <c r="BM61" s="4"/>
      <c r="BN61" s="355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9"/>
      <c r="C62" s="349"/>
      <c r="D62" s="349"/>
      <c r="E62" s="349"/>
      <c r="F62" s="349"/>
      <c r="G62" s="349"/>
      <c r="H62" s="349"/>
      <c r="J62" s="4" t="s">
        <v>41</v>
      </c>
      <c r="K62" s="3" t="s">
        <v>559</v>
      </c>
      <c r="L62" s="1" t="s">
        <v>88</v>
      </c>
      <c r="M62" s="1" t="s">
        <v>90</v>
      </c>
      <c r="N62" s="1" t="s">
        <v>86</v>
      </c>
      <c r="O62" s="1" t="s">
        <v>645</v>
      </c>
      <c r="P62" s="1" t="s">
        <v>646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4">
        <f>23*N63</f>
        <v>284.48486290453354</v>
      </c>
      <c r="Z62" s="284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5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0" t="s">
        <v>572</v>
      </c>
      <c r="J63" s="62" t="s">
        <v>488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 t="e">
        <f>b_ch_Diesel</f>
        <v>#REF!</v>
      </c>
      <c r="Q63" s="17">
        <f>N63/N64</f>
        <v>1</v>
      </c>
      <c r="R63" s="17">
        <f>LN(Q63)</f>
        <v>0</v>
      </c>
      <c r="S63" s="17">
        <f>RT0*R63</f>
        <v>0</v>
      </c>
      <c r="T63" s="17" t="e">
        <f>S63+P63</f>
        <v>#REF!</v>
      </c>
      <c r="U63" s="17" t="e">
        <f>Q63*T63</f>
        <v>#REF!</v>
      </c>
      <c r="V63" s="17" t="e">
        <f>U63*L63</f>
        <v>#REF!</v>
      </c>
      <c r="X63" s="4" t="s">
        <v>29</v>
      </c>
      <c r="Y63" s="284">
        <f>(3*N46)+(2*N47)+N48+(3*N49)+(2*N76)</f>
        <v>21257.820618485999</v>
      </c>
      <c r="Z63" s="284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513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9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 t="e">
        <f>SUM(U63)</f>
        <v>#REF!</v>
      </c>
      <c r="V64" s="17" t="e">
        <f>SUM(V63)</f>
        <v>#REF!</v>
      </c>
      <c r="X64" s="4" t="s">
        <v>363</v>
      </c>
      <c r="Y64" s="284">
        <f>2*N77</f>
        <v>1651.0017174129191</v>
      </c>
      <c r="Z64" s="284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659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659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554</v>
      </c>
      <c r="AE65" s="1" t="s">
        <v>555</v>
      </c>
      <c r="AF65" s="1" t="s">
        <v>557</v>
      </c>
      <c r="AG65" s="1" t="s">
        <v>85</v>
      </c>
      <c r="AH65" s="1" t="s">
        <v>658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556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645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5" t="s">
        <v>513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5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5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5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659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524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8" t="s">
        <v>518</v>
      </c>
      <c r="F74" s="348"/>
      <c r="G74" s="348"/>
      <c r="H74" s="348"/>
      <c r="K74" s="1" t="s">
        <v>554</v>
      </c>
      <c r="L74" s="1" t="s">
        <v>555</v>
      </c>
      <c r="M74" s="1" t="s">
        <v>557</v>
      </c>
      <c r="N74" s="1" t="s">
        <v>85</v>
      </c>
      <c r="O74" s="1" t="s">
        <v>658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556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8"/>
      <c r="F75" s="348"/>
      <c r="G75" s="348"/>
      <c r="H75" s="348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645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5" t="s">
        <v>524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5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659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401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515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8"/>
      <c r="AI102" s="188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8" t="s">
        <v>514</v>
      </c>
      <c r="DU103" s="348"/>
      <c r="DV103" s="348"/>
      <c r="DW103" s="348"/>
      <c r="DX103" s="348"/>
      <c r="DY103" s="348"/>
      <c r="EA103" s="4"/>
      <c r="EB103" s="3" t="s">
        <v>560</v>
      </c>
      <c r="EC103" s="1" t="s">
        <v>554</v>
      </c>
      <c r="ED103" s="3" t="s">
        <v>5</v>
      </c>
      <c r="EE103" s="1" t="s">
        <v>85</v>
      </c>
      <c r="EF103" s="1" t="s">
        <v>658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556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9"/>
      <c r="DU104" s="349"/>
      <c r="DV104" s="349"/>
      <c r="DW104" s="349"/>
      <c r="DX104" s="349"/>
      <c r="DY104" s="349"/>
      <c r="EA104" s="4" t="s">
        <v>41</v>
      </c>
      <c r="EB104" s="3" t="s">
        <v>559</v>
      </c>
      <c r="EC104" s="1" t="s">
        <v>88</v>
      </c>
      <c r="ED104" s="1" t="s">
        <v>90</v>
      </c>
      <c r="EE104" s="1" t="s">
        <v>86</v>
      </c>
      <c r="EF104" s="1" t="s">
        <v>645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563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0" t="s">
        <v>515</v>
      </c>
      <c r="EA105" s="96" t="s">
        <v>506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555</v>
      </c>
      <c r="FD106" s="1" t="s">
        <v>5</v>
      </c>
      <c r="FE106" s="1" t="s">
        <v>85</v>
      </c>
      <c r="FF106" s="1" t="s">
        <v>658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556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7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659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558</v>
      </c>
      <c r="FD107" s="2" t="s">
        <v>12</v>
      </c>
      <c r="FE107" s="2" t="s">
        <v>13</v>
      </c>
      <c r="FF107" s="1" t="s">
        <v>645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0" t="s">
        <v>563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56" t="s">
        <v>434</v>
      </c>
      <c r="AP110" s="347"/>
      <c r="AQ110" s="347"/>
      <c r="AR110" s="347"/>
      <c r="AS110" s="347"/>
      <c r="AT110" s="347"/>
      <c r="AU110" s="347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47" t="s">
        <v>438</v>
      </c>
      <c r="BH110" s="347"/>
      <c r="BI110" s="347"/>
      <c r="BJ110" s="347"/>
      <c r="BK110" s="347"/>
      <c r="BL110" s="347"/>
      <c r="BM110" s="347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659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0" t="s">
        <v>364</v>
      </c>
      <c r="Q111" s="370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1"/>
      <c r="Q112" s="371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6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9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60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531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473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47" t="s">
        <v>440</v>
      </c>
      <c r="EQ114" s="347"/>
      <c r="ER114" s="347"/>
      <c r="ES114" s="347"/>
      <c r="ET114" s="347"/>
      <c r="EU114" s="347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554</v>
      </c>
      <c r="CM116" s="1" t="s">
        <v>555</v>
      </c>
      <c r="CN116" s="1" t="s">
        <v>557</v>
      </c>
      <c r="CO116" s="1" t="s">
        <v>85</v>
      </c>
      <c r="CP116" s="1" t="s">
        <v>658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556</v>
      </c>
      <c r="CW116" s="1" t="s">
        <v>50</v>
      </c>
      <c r="CX116" s="6"/>
      <c r="CY116" s="4"/>
      <c r="DB116" s="4"/>
      <c r="DC116" s="4"/>
      <c r="DT116" s="348" t="s">
        <v>472</v>
      </c>
      <c r="DU116" s="348"/>
      <c r="DV116" s="348"/>
      <c r="DW116" s="348"/>
      <c r="DX116" s="348"/>
      <c r="DY116" s="348"/>
      <c r="EA116" s="4"/>
      <c r="EB116" s="3" t="s">
        <v>560</v>
      </c>
      <c r="EC116" s="1" t="s">
        <v>554</v>
      </c>
      <c r="ED116" s="3" t="s">
        <v>5</v>
      </c>
      <c r="EE116" s="1" t="s">
        <v>85</v>
      </c>
      <c r="EF116" s="1" t="s">
        <v>658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556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645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9"/>
      <c r="DU117" s="349"/>
      <c r="DV117" s="349"/>
      <c r="DW117" s="349"/>
      <c r="DX117" s="349"/>
      <c r="DY117" s="349"/>
      <c r="EA117" s="4" t="s">
        <v>41</v>
      </c>
      <c r="EB117" s="3" t="s">
        <v>559</v>
      </c>
      <c r="EC117" s="1" t="s">
        <v>88</v>
      </c>
      <c r="ED117" s="1" t="s">
        <v>90</v>
      </c>
      <c r="EE117" s="1" t="s">
        <v>86</v>
      </c>
      <c r="EF117" s="1" t="s">
        <v>645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6">
        <v>1</v>
      </c>
      <c r="EU117" s="268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3" t="s">
        <v>531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0" t="s">
        <v>473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659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659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529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2" t="s">
        <v>517</v>
      </c>
      <c r="F126" s="372"/>
      <c r="G126" s="372"/>
      <c r="H126" s="372"/>
      <c r="J126" s="6"/>
      <c r="K126" s="121"/>
      <c r="L126" s="6"/>
      <c r="M126" s="6"/>
      <c r="N126" s="6"/>
      <c r="O126" s="6"/>
      <c r="P126" s="6"/>
      <c r="Q126" s="6" t="s">
        <v>422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5" t="s">
        <v>413</v>
      </c>
      <c r="X126" s="365"/>
      <c r="Y126" s="365"/>
      <c r="Z126" s="365"/>
      <c r="AA126" s="365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516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5" t="s">
        <v>540</v>
      </c>
      <c r="AR126" s="365"/>
      <c r="AS126" s="365"/>
      <c r="AT126" s="365"/>
      <c r="AU126" s="365"/>
      <c r="AV126" s="6"/>
      <c r="AW126" s="6"/>
      <c r="AX126" s="121"/>
      <c r="AY126" s="6"/>
      <c r="AZ126" s="6"/>
      <c r="BA126" s="6"/>
      <c r="BB126" s="6"/>
      <c r="BC126" s="6"/>
      <c r="BD126" s="6" t="s">
        <v>541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5" t="s">
        <v>436</v>
      </c>
      <c r="BK126" s="365"/>
      <c r="BL126" s="365"/>
      <c r="BM126" s="365"/>
      <c r="BN126" s="365"/>
      <c r="BO126" s="6"/>
      <c r="BP126" s="6"/>
      <c r="BQ126" s="121"/>
      <c r="BR126" s="6"/>
      <c r="BS126" s="6"/>
      <c r="BT126" s="6"/>
      <c r="BU126" s="6"/>
      <c r="BV126" s="6"/>
      <c r="BW126" s="6" t="s">
        <v>481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5" t="s">
        <v>437</v>
      </c>
      <c r="CD126" s="365"/>
      <c r="CE126" s="365"/>
      <c r="CF126" s="365"/>
      <c r="CG126" s="365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84" t="s">
        <v>81</v>
      </c>
      <c r="DT126" s="384"/>
      <c r="DU126" s="384"/>
      <c r="DV126" s="384"/>
      <c r="DW126" s="384"/>
      <c r="DX126" s="384"/>
      <c r="DY126" s="384"/>
      <c r="EG126" s="3" t="s">
        <v>550</v>
      </c>
      <c r="EL126" s="171">
        <f>EB134</f>
        <v>1309.8157778632656</v>
      </c>
      <c r="EM126" s="172">
        <f>EM134</f>
        <v>7072531.8830895294</v>
      </c>
      <c r="EN126" s="353" t="s">
        <v>424</v>
      </c>
      <c r="EO126" s="353"/>
      <c r="EP126" s="353"/>
      <c r="EQ126" s="353"/>
      <c r="ER126" s="353"/>
      <c r="ES126" s="353"/>
      <c r="ET126" s="353"/>
      <c r="EY126" s="1"/>
      <c r="EZ126" s="1"/>
      <c r="FA126" s="1"/>
      <c r="FB126" s="1"/>
      <c r="FC126" s="1"/>
      <c r="FD126" s="1"/>
      <c r="FE126" s="3" t="s">
        <v>551</v>
      </c>
      <c r="FL126" s="50">
        <f>FB131</f>
        <v>616.23583583508366</v>
      </c>
      <c r="FM126" s="48">
        <f>FM131</f>
        <v>4157895.2984628798</v>
      </c>
      <c r="FN126" s="353" t="s">
        <v>418</v>
      </c>
      <c r="FO126" s="353"/>
      <c r="FP126" s="353"/>
      <c r="FQ126" s="353"/>
      <c r="FR126" s="353"/>
      <c r="FS126" s="353"/>
      <c r="FT126" s="353"/>
    </row>
    <row r="127" spans="5:176" ht="16.25" customHeight="1" thickBot="1" x14ac:dyDescent="0.25">
      <c r="E127" s="372"/>
      <c r="F127" s="372"/>
      <c r="G127" s="372"/>
      <c r="H127" s="37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6"/>
      <c r="X127" s="366"/>
      <c r="Y127" s="366"/>
      <c r="Z127" s="366"/>
      <c r="AA127" s="36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5"/>
      <c r="AR127" s="365"/>
      <c r="AS127" s="365"/>
      <c r="AT127" s="365"/>
      <c r="AU127" s="365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5"/>
      <c r="BK127" s="365"/>
      <c r="BL127" s="365"/>
      <c r="BM127" s="365"/>
      <c r="BN127" s="365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5"/>
      <c r="CD127" s="365"/>
      <c r="CE127" s="365"/>
      <c r="CF127" s="365"/>
      <c r="CG127" s="365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84"/>
      <c r="DT127" s="384"/>
      <c r="DU127" s="384"/>
      <c r="DV127" s="384"/>
      <c r="DW127" s="384"/>
      <c r="DX127" s="384"/>
      <c r="DY127" s="384"/>
      <c r="EN127" s="353"/>
      <c r="EO127" s="353"/>
      <c r="EP127" s="353"/>
      <c r="EQ127" s="353"/>
      <c r="ER127" s="353"/>
      <c r="ES127" s="353"/>
      <c r="ET127" s="353"/>
      <c r="EY127" s="1"/>
      <c r="EZ127" s="1"/>
      <c r="FA127" s="1"/>
      <c r="FB127" s="1"/>
      <c r="FC127" s="1"/>
      <c r="FD127" s="1"/>
      <c r="FE127" s="1"/>
      <c r="FF127" s="1"/>
      <c r="FG127" s="1"/>
      <c r="FN127" s="353"/>
      <c r="FO127" s="353"/>
      <c r="FP127" s="353"/>
      <c r="FQ127" s="353"/>
      <c r="FR127" s="353"/>
      <c r="FS127" s="353"/>
      <c r="FT127" s="353"/>
    </row>
    <row r="128" spans="5:176" ht="19.75" customHeight="1" thickBot="1" x14ac:dyDescent="0.3">
      <c r="J128" s="4"/>
      <c r="K128" s="1" t="s">
        <v>554</v>
      </c>
      <c r="L128" s="1" t="s">
        <v>555</v>
      </c>
      <c r="M128" s="1" t="s">
        <v>557</v>
      </c>
      <c r="N128" s="1" t="s">
        <v>85</v>
      </c>
      <c r="O128" s="1" t="s">
        <v>658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556</v>
      </c>
      <c r="V128" s="1" t="s">
        <v>50</v>
      </c>
      <c r="W128" s="22" t="s">
        <v>427</v>
      </c>
      <c r="X128" s="100" t="s">
        <v>475</v>
      </c>
      <c r="Y128" s="135" t="s">
        <v>348</v>
      </c>
      <c r="Z128" s="359" t="s">
        <v>344</v>
      </c>
      <c r="AA128" s="138" t="s">
        <v>317</v>
      </c>
      <c r="AB128" s="1"/>
      <c r="AC128" s="6"/>
      <c r="AD128" s="4"/>
      <c r="AE128" s="1" t="s">
        <v>554</v>
      </c>
      <c r="AF128" s="1" t="s">
        <v>555</v>
      </c>
      <c r="AG128" s="1" t="s">
        <v>557</v>
      </c>
      <c r="AH128" s="1" t="s">
        <v>85</v>
      </c>
      <c r="AI128" s="1" t="s">
        <v>658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556</v>
      </c>
      <c r="AP128" s="1" t="s">
        <v>50</v>
      </c>
      <c r="AQ128" s="22" t="s">
        <v>427</v>
      </c>
      <c r="AR128" s="100" t="s">
        <v>475</v>
      </c>
      <c r="AS128" s="135" t="s">
        <v>348</v>
      </c>
      <c r="AT128" s="359" t="s">
        <v>344</v>
      </c>
      <c r="AU128" s="138" t="s">
        <v>317</v>
      </c>
      <c r="AV128" s="1"/>
      <c r="AW128" s="4"/>
      <c r="AX128" s="1" t="s">
        <v>554</v>
      </c>
      <c r="AY128" s="1" t="s">
        <v>555</v>
      </c>
      <c r="AZ128" s="1" t="s">
        <v>557</v>
      </c>
      <c r="BA128" s="1" t="s">
        <v>85</v>
      </c>
      <c r="BB128" s="1" t="s">
        <v>658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556</v>
      </c>
      <c r="BI128" s="1" t="s">
        <v>50</v>
      </c>
      <c r="BJ128" s="22" t="s">
        <v>427</v>
      </c>
      <c r="BK128" s="100" t="s">
        <v>475</v>
      </c>
      <c r="BL128" s="135" t="s">
        <v>348</v>
      </c>
      <c r="BM128" s="359" t="s">
        <v>344</v>
      </c>
      <c r="BN128" s="138" t="s">
        <v>317</v>
      </c>
      <c r="BO128" s="1"/>
      <c r="BP128" s="4"/>
      <c r="BQ128" s="1" t="s">
        <v>554</v>
      </c>
      <c r="BR128" s="1" t="s">
        <v>555</v>
      </c>
      <c r="BS128" s="1" t="s">
        <v>557</v>
      </c>
      <c r="BT128" s="1" t="s">
        <v>85</v>
      </c>
      <c r="BU128" s="1" t="s">
        <v>658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556</v>
      </c>
      <c r="CB128" s="1" t="s">
        <v>50</v>
      </c>
      <c r="CC128" s="22" t="s">
        <v>427</v>
      </c>
      <c r="CD128" s="100" t="s">
        <v>475</v>
      </c>
      <c r="CE128" s="135" t="s">
        <v>348</v>
      </c>
      <c r="CF128" s="359" t="s">
        <v>344</v>
      </c>
      <c r="CG128" s="138" t="s">
        <v>317</v>
      </c>
      <c r="CH128" s="113"/>
      <c r="CI128" s="113"/>
      <c r="CJ128" s="113"/>
      <c r="CK128" s="4"/>
      <c r="CL128" s="1" t="s">
        <v>554</v>
      </c>
      <c r="CM128" s="1" t="s">
        <v>555</v>
      </c>
      <c r="CN128" s="1" t="s">
        <v>557</v>
      </c>
      <c r="CO128" s="1" t="s">
        <v>85</v>
      </c>
      <c r="CP128" s="1" t="s">
        <v>658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556</v>
      </c>
      <c r="CW128" s="1" t="s">
        <v>50</v>
      </c>
      <c r="DS128" s="384"/>
      <c r="DT128" s="384"/>
      <c r="DU128" s="384"/>
      <c r="DV128" s="384"/>
      <c r="DW128" s="384"/>
      <c r="DX128" s="384"/>
      <c r="DY128" s="384"/>
      <c r="EA128" s="4"/>
      <c r="EB128" s="1" t="s">
        <v>554</v>
      </c>
      <c r="EC128" s="1" t="s">
        <v>555</v>
      </c>
      <c r="ED128" s="1" t="s">
        <v>557</v>
      </c>
      <c r="EE128" s="1" t="s">
        <v>85</v>
      </c>
      <c r="EF128" s="1" t="s">
        <v>658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556</v>
      </c>
      <c r="EM128" s="1" t="s">
        <v>50</v>
      </c>
      <c r="EN128" s="353"/>
      <c r="EO128" s="353"/>
      <c r="EP128" s="353"/>
      <c r="EQ128" s="353"/>
      <c r="ER128" s="353"/>
      <c r="ES128" s="353"/>
      <c r="ET128" s="353"/>
      <c r="EZ128" s="1"/>
      <c r="FA128" s="1"/>
      <c r="FB128" s="1" t="s">
        <v>554</v>
      </c>
      <c r="FC128" s="1" t="s">
        <v>555</v>
      </c>
      <c r="FD128" s="1" t="s">
        <v>557</v>
      </c>
      <c r="FE128" s="1" t="s">
        <v>85</v>
      </c>
      <c r="FF128" s="1" t="s">
        <v>658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556</v>
      </c>
      <c r="FM128" s="1" t="s">
        <v>50</v>
      </c>
      <c r="FN128" s="353"/>
      <c r="FO128" s="353"/>
      <c r="FP128" s="353"/>
      <c r="FQ128" s="353"/>
      <c r="FR128" s="353"/>
      <c r="FS128" s="353"/>
      <c r="FT128" s="353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645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1" t="s">
        <v>48</v>
      </c>
      <c r="X129" s="111" t="s">
        <v>48</v>
      </c>
      <c r="Y129" s="111" t="s">
        <v>324</v>
      </c>
      <c r="Z129" s="360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645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1" t="s">
        <v>48</v>
      </c>
      <c r="AR129" s="111" t="s">
        <v>48</v>
      </c>
      <c r="AS129" s="111" t="s">
        <v>324</v>
      </c>
      <c r="AT129" s="360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645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1" t="s">
        <v>48</v>
      </c>
      <c r="BK129" s="111" t="s">
        <v>48</v>
      </c>
      <c r="BL129" s="111" t="s">
        <v>324</v>
      </c>
      <c r="BM129" s="360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645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1" t="s">
        <v>48</v>
      </c>
      <c r="CD129" s="111" t="s">
        <v>48</v>
      </c>
      <c r="CE129" s="111" t="s">
        <v>324</v>
      </c>
      <c r="CF129" s="360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645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427</v>
      </c>
      <c r="DU129" s="22" t="s">
        <v>475</v>
      </c>
      <c r="DV129" s="159" t="s">
        <v>337</v>
      </c>
      <c r="DW129" s="351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558</v>
      </c>
      <c r="ED129" s="1" t="s">
        <v>90</v>
      </c>
      <c r="EE129" s="1" t="s">
        <v>86</v>
      </c>
      <c r="EF129" s="1" t="s">
        <v>645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427</v>
      </c>
      <c r="EP129" s="22" t="s">
        <v>475</v>
      </c>
      <c r="EQ129" s="190" t="s">
        <v>337</v>
      </c>
      <c r="ER129" s="379" t="s">
        <v>344</v>
      </c>
      <c r="ES129" s="102" t="s">
        <v>317</v>
      </c>
      <c r="FA129" s="2" t="s">
        <v>41</v>
      </c>
      <c r="FB129" s="1" t="s">
        <v>88</v>
      </c>
      <c r="FC129" s="1" t="s">
        <v>558</v>
      </c>
      <c r="FD129" s="1" t="s">
        <v>90</v>
      </c>
      <c r="FE129" s="1" t="s">
        <v>86</v>
      </c>
      <c r="FF129" s="1" t="s">
        <v>645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6" t="s">
        <v>422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 t="e">
        <f>SUM(V126,V140,V163,V151)-$AP$126-AP142</f>
        <v>#REF!</v>
      </c>
      <c r="Y130" s="192">
        <f>SUM(U126,U140,U151,U163) - SUM(AO126,AO142)</f>
        <v>0</v>
      </c>
      <c r="Z130" s="139" t="s">
        <v>341</v>
      </c>
      <c r="AA130" s="136" t="e">
        <f>(($AH$130*($AO$130-U130))/(V140+V151))</f>
        <v>#REF!</v>
      </c>
      <c r="AB130" s="4"/>
      <c r="AC130" s="346" t="s">
        <v>516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2">
        <f>BH126-AO126</f>
        <v>0</v>
      </c>
      <c r="AT130" s="139" t="s">
        <v>341</v>
      </c>
      <c r="AU130" s="136">
        <f>((BA130*(BH130-AO130)/AU113))</f>
        <v>0</v>
      </c>
      <c r="AV130" s="346" t="s">
        <v>541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2">
        <f>CA126-BH126</f>
        <v>0</v>
      </c>
      <c r="BM130" s="139" t="s">
        <v>341</v>
      </c>
      <c r="BN130" s="136">
        <f>((BT130*(CA130-BH130)/BM116))</f>
        <v>0</v>
      </c>
      <c r="BO130" s="346" t="s">
        <v>528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2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0" t="s">
        <v>529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1" t="s">
        <v>48</v>
      </c>
      <c r="DU130" s="9" t="s">
        <v>48</v>
      </c>
      <c r="DV130" s="1" t="s">
        <v>89</v>
      </c>
      <c r="DW130" s="352"/>
      <c r="DX130" s="136" t="s">
        <v>82</v>
      </c>
      <c r="DY130" s="4"/>
      <c r="DZ130" s="346" t="s">
        <v>550</v>
      </c>
      <c r="EA130" s="8" t="s">
        <v>15</v>
      </c>
      <c r="EB130" s="173">
        <f>Fe2O3_BF_in</f>
        <v>881.06000000000006</v>
      </c>
      <c r="EC130" s="173">
        <f>EB130/$EB$134</f>
        <v>0.67265947997457687</v>
      </c>
      <c r="ED130" s="174">
        <f>MW_Fe2O3</f>
        <v>0.1596882</v>
      </c>
      <c r="EE130" s="174">
        <f>EB130/ED130</f>
        <v>5517.3769884061567</v>
      </c>
      <c r="EF130" s="174">
        <f>h_Fe2O3</f>
        <v>-5161.3080991582347</v>
      </c>
      <c r="EG130" s="174">
        <f>b_ch_Fe2O3</f>
        <v>17.358400000000074</v>
      </c>
      <c r="EH130" s="174">
        <f>EE130/$EE$134</f>
        <v>0.21197353787675174</v>
      </c>
      <c r="EI130" s="175">
        <f>LN(EH130)</f>
        <v>-1.5512938334370325</v>
      </c>
      <c r="EJ130" s="175">
        <f>RT0*EI130</f>
        <v>-3.5229403607560474</v>
      </c>
      <c r="EK130" s="175">
        <f>EG130+EJ130</f>
        <v>13.835459639244027</v>
      </c>
      <c r="EL130" s="175">
        <f>EK130*EH130</f>
        <v>2.9327513278815638</v>
      </c>
      <c r="EM130" s="175">
        <f>$EE$134*EL130</f>
        <v>76335.446637587142</v>
      </c>
      <c r="EO130" s="211" t="s">
        <v>48</v>
      </c>
      <c r="EP130" s="9" t="s">
        <v>48</v>
      </c>
      <c r="EQ130" s="9" t="s">
        <v>89</v>
      </c>
      <c r="ER130" s="380"/>
      <c r="ES130" s="136" t="s">
        <v>82</v>
      </c>
      <c r="EZ130" s="220" t="s">
        <v>551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0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6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632</v>
      </c>
      <c r="AA131" s="136" t="e">
        <f>($AP$126+AP142)/(SUM(V126,V140,V163,V151))</f>
        <v>#REF!</v>
      </c>
      <c r="AB131" s="4"/>
      <c r="AC131" s="346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632</v>
      </c>
      <c r="AU131" s="136">
        <f>BI126/(AU113+AP126)</f>
        <v>0.89989464623142024</v>
      </c>
      <c r="AV131" s="346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632</v>
      </c>
      <c r="BN131" s="136">
        <f>CB126/(BM113+BI126)</f>
        <v>0.99885105550639652</v>
      </c>
      <c r="BO131" s="346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6"/>
      <c r="EA131" s="1" t="s">
        <v>17</v>
      </c>
      <c r="EB131" s="176">
        <f>SiO2_BF_in</f>
        <v>118.94000000000001</v>
      </c>
      <c r="EC131" s="176">
        <f t="shared" ref="EC131:EC133" si="46">EB131/$EB$134</f>
        <v>9.0806663051524489E-2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7.6052924246496442E-2</v>
      </c>
      <c r="EI131" s="177">
        <f t="shared" ref="EI131:EI133" si="47">LN(EH131)</f>
        <v>-2.5763258093856205</v>
      </c>
      <c r="EJ131" s="177">
        <f>RT0*EI131</f>
        <v>-5.8507563046472342</v>
      </c>
      <c r="EK131" s="177">
        <f t="shared" ref="EK131:EK133" si="48">EG131+EJ131</f>
        <v>-4.3247563046471669</v>
      </c>
      <c r="EL131" s="177">
        <f t="shared" ref="EL131:EL133" si="49">EK131*EH131</f>
        <v>-0.32891036362188886</v>
      </c>
      <c r="EM131" s="177">
        <f>$EE$134*EL131</f>
        <v>-8561.0802634753836</v>
      </c>
      <c r="EO131" s="104">
        <f>FM141+FM104</f>
        <v>466894.01496025029</v>
      </c>
      <c r="EP131" s="279">
        <f>SUM(EM101,EM114,EM126,EM140,EM152)-(FM126+FM141+FM104)</f>
        <v>7692579.107507634</v>
      </c>
      <c r="EQ131" s="278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404</v>
      </c>
      <c r="AA132" s="137" t="e">
        <f>$AP$130/(SUM(V126,V140,V163,V151))</f>
        <v>#REF!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404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404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404</v>
      </c>
      <c r="CG132" s="137">
        <f>CW130/(CB126+CB152+CB140)</f>
        <v>2.2384370405662918E-4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659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632</v>
      </c>
      <c r="DX132" s="103">
        <f>EM126/(CW126+CW206+CA42)</f>
        <v>0.99300939590335358</v>
      </c>
      <c r="DY132" s="4"/>
      <c r="DZ132" s="346"/>
      <c r="EA132" s="1" t="s">
        <v>123</v>
      </c>
      <c r="EB132" s="176">
        <f>CV126</f>
        <v>111.00813284002646</v>
      </c>
      <c r="EC132" s="176">
        <f t="shared" si="46"/>
        <v>8.4750951023904092E-2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7.6052924246496442E-2</v>
      </c>
      <c r="EI132" s="177">
        <f t="shared" si="47"/>
        <v>-2.5763258093856205</v>
      </c>
      <c r="EJ132" s="177">
        <f>RT0*EI132</f>
        <v>-5.8507563046472342</v>
      </c>
      <c r="EK132" s="177">
        <f t="shared" si="48"/>
        <v>116.40724369535269</v>
      </c>
      <c r="EL132" s="177">
        <f t="shared" si="49"/>
        <v>8.8531112865061079</v>
      </c>
      <c r="EM132" s="177">
        <f>$EE$134*EL132</f>
        <v>230434.19936864119</v>
      </c>
      <c r="EP132" s="4"/>
      <c r="EQ132" s="4"/>
      <c r="ER132" s="139" t="s">
        <v>632</v>
      </c>
      <c r="ES132" s="103">
        <f>SUM(FM104,FM126,FM141)/SUM(EU117,EM101,EM114,EM126,EM140,EM152)</f>
        <v>0.3660238419002077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659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659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659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659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659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404</v>
      </c>
      <c r="DX133" s="99">
        <f>EM130/(CW126+CW206+CA42)</f>
        <v>1.0717776463170951E-2</v>
      </c>
      <c r="DY133" s="4"/>
      <c r="DZ133" s="346"/>
      <c r="EA133" s="1" t="s">
        <v>18</v>
      </c>
      <c r="EB133" s="176">
        <f>Coking_BF_in</f>
        <v>198.80764502323905</v>
      </c>
      <c r="EC133" s="176">
        <f t="shared" si="46"/>
        <v>0.15178290594999461</v>
      </c>
      <c r="ED133" s="165">
        <f>MW_C</f>
        <v>1.2010999999999999E-2</v>
      </c>
      <c r="EE133" s="165">
        <f>EB133/ED133</f>
        <v>16552.130965218472</v>
      </c>
      <c r="EF133" s="165">
        <f>h_C</f>
        <v>0</v>
      </c>
      <c r="EG133" s="165">
        <f>b_ch_C</f>
        <v>410.3</v>
      </c>
      <c r="EH133" s="165">
        <f>EE133/$EE$134</f>
        <v>0.63592061363025532</v>
      </c>
      <c r="EI133" s="177">
        <f t="shared" si="47"/>
        <v>-0.45268154476892275</v>
      </c>
      <c r="EJ133" s="177">
        <f>RT0*EI133</f>
        <v>-1.0280258003104901</v>
      </c>
      <c r="EK133" s="177">
        <f t="shared" si="48"/>
        <v>409.27197419968951</v>
      </c>
      <c r="EL133" s="177">
        <f t="shared" si="49"/>
        <v>260.26448497473257</v>
      </c>
      <c r="EM133" s="177">
        <f>$EE$134*EL133</f>
        <v>6774323.3173467768</v>
      </c>
      <c r="ER133" s="140" t="s">
        <v>404</v>
      </c>
      <c r="ES133" s="99">
        <f>FM130/SUM(EU117,EM152,EM140,EM126,EM114,EM101)</f>
        <v>0.32907203079392555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3">
        <f>SUM(EB130:EB133)</f>
        <v>1309.8157778632656</v>
      </c>
      <c r="EC134" s="173"/>
      <c r="ED134" s="174">
        <f>SUM(ED130:ED133)</f>
        <v>0.28786090000000003</v>
      </c>
      <c r="EE134" s="174">
        <f>SUM(EE130:EE133)</f>
        <v>26028.612078995153</v>
      </c>
      <c r="EF134" s="17" cm="1">
        <f t="array" ref="EF134">SUM(EB130:EB133*EF130:EF133) / EB134</f>
        <v>-5807.700525901595</v>
      </c>
      <c r="EG134" s="174"/>
      <c r="EH134" s="174">
        <f>SUM(EH130:EH133)</f>
        <v>1</v>
      </c>
      <c r="EI134" s="174"/>
      <c r="EJ134" s="174"/>
      <c r="EK134" s="174"/>
      <c r="EL134" s="174"/>
      <c r="EM134" s="174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583</v>
      </c>
      <c r="AS135" s="1" t="s">
        <v>583</v>
      </c>
      <c r="AT135" s="1" t="s">
        <v>583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583</v>
      </c>
      <c r="BL135" s="1" t="s">
        <v>583</v>
      </c>
      <c r="BM135" s="1" t="s">
        <v>583</v>
      </c>
      <c r="BN135" s="4"/>
      <c r="BO135" s="4"/>
      <c r="BP135" s="4"/>
      <c r="BQ135" s="4"/>
      <c r="BR135" s="4"/>
      <c r="BS135" s="4"/>
      <c r="BW135" s="4"/>
      <c r="BX135" s="4"/>
      <c r="EB135" s="178" t="s">
        <v>89</v>
      </c>
      <c r="EC135" s="178"/>
      <c r="ED135" s="165" t="s">
        <v>91</v>
      </c>
      <c r="EE135" s="165" t="s">
        <v>87</v>
      </c>
      <c r="EF135" s="1" t="s">
        <v>659</v>
      </c>
      <c r="EG135" s="179"/>
      <c r="EH135" s="179"/>
      <c r="EI135" s="165"/>
      <c r="EJ135" s="165"/>
      <c r="EK135" s="165"/>
      <c r="EL135" s="165" t="s">
        <v>96</v>
      </c>
      <c r="EM135" s="177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583</v>
      </c>
      <c r="Z136" s="1" t="s">
        <v>583</v>
      </c>
      <c r="AA136" s="1" t="s">
        <v>583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582</v>
      </c>
      <c r="AS136" s="3" t="s">
        <v>582</v>
      </c>
      <c r="AT136" s="3" t="s">
        <v>582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582</v>
      </c>
      <c r="BL136" s="3" t="s">
        <v>582</v>
      </c>
      <c r="BM136" s="3" t="s">
        <v>582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581</v>
      </c>
      <c r="CH136" s="1"/>
      <c r="CI136" s="1"/>
      <c r="CL136" s="4"/>
      <c r="CM136" s="4"/>
      <c r="CV136" s="63" t="s">
        <v>1</v>
      </c>
      <c r="CW136" s="58" t="s">
        <v>0</v>
      </c>
      <c r="EG136" s="176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48" t="s">
        <v>485</v>
      </c>
      <c r="C137" s="348"/>
      <c r="D137" s="348"/>
      <c r="E137" s="348"/>
      <c r="F137" s="348"/>
      <c r="G137" s="348"/>
      <c r="H137" s="348"/>
      <c r="T137" s="4"/>
      <c r="U137" s="4"/>
      <c r="V137" s="4"/>
      <c r="W137" s="4"/>
      <c r="X137" s="4" t="s">
        <v>60</v>
      </c>
      <c r="Y137" s="3" t="s">
        <v>582</v>
      </c>
      <c r="Z137" s="3" t="s">
        <v>582</v>
      </c>
      <c r="AA137" s="3" t="s">
        <v>582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583</v>
      </c>
      <c r="CF137" s="1" t="s">
        <v>583</v>
      </c>
      <c r="CG137" s="1" t="s">
        <v>583</v>
      </c>
      <c r="CH137" s="1"/>
      <c r="CI137" s="1"/>
      <c r="CL137" s="4"/>
      <c r="CM137" s="4"/>
      <c r="CV137" s="65" t="s">
        <v>89</v>
      </c>
      <c r="CW137" s="64" t="s">
        <v>93</v>
      </c>
      <c r="EB137" s="176"/>
      <c r="EC137" s="176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581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9"/>
      <c r="C138" s="349"/>
      <c r="D138" s="349"/>
      <c r="E138" s="349"/>
      <c r="F138" s="349"/>
      <c r="G138" s="349"/>
      <c r="H138" s="349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340</v>
      </c>
      <c r="CA138" s="155" t="s">
        <v>1</v>
      </c>
      <c r="CB138" s="58" t="s">
        <v>0</v>
      </c>
      <c r="CD138" s="4" t="s">
        <v>60</v>
      </c>
      <c r="CE138" s="3" t="s">
        <v>582</v>
      </c>
      <c r="CF138" s="3" t="s">
        <v>582</v>
      </c>
      <c r="CG138" s="3" t="s">
        <v>582</v>
      </c>
      <c r="CH138" s="1"/>
      <c r="CI138" s="1"/>
      <c r="CJ138" s="1"/>
      <c r="CK138" s="1"/>
      <c r="CL138" s="1"/>
      <c r="CO138" s="4"/>
      <c r="CP138" s="4"/>
      <c r="CQ138" s="4"/>
      <c r="CR138" s="3" t="s">
        <v>530</v>
      </c>
      <c r="CV138" s="50">
        <f>CL145</f>
        <v>376967.02647382859</v>
      </c>
      <c r="CW138" s="48">
        <f>CW145</f>
        <v>33179125.659109436</v>
      </c>
      <c r="EB138" s="176"/>
      <c r="EC138" s="176"/>
      <c r="ED138" s="165"/>
      <c r="EE138" s="165"/>
      <c r="EF138" s="165"/>
      <c r="EG138" s="165"/>
      <c r="EH138" s="165"/>
      <c r="EI138" s="165"/>
      <c r="EJ138" s="165"/>
      <c r="EK138" s="165"/>
      <c r="EL138" s="180" t="s">
        <v>1</v>
      </c>
      <c r="EM138" s="181" t="s">
        <v>0</v>
      </c>
      <c r="EP138" s="4"/>
      <c r="EQ138" s="1" t="s">
        <v>583</v>
      </c>
      <c r="ER138" s="1" t="s">
        <v>583</v>
      </c>
      <c r="ES138" s="1" t="s">
        <v>583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6"/>
      <c r="EC139" s="176"/>
      <c r="ED139" s="165"/>
      <c r="EE139" s="165"/>
      <c r="EF139" s="165"/>
      <c r="EG139" s="165"/>
      <c r="EH139" s="165"/>
      <c r="EI139" s="165"/>
      <c r="EJ139" s="165"/>
      <c r="EK139" s="165"/>
      <c r="EL139" s="182" t="s">
        <v>89</v>
      </c>
      <c r="EM139" s="183" t="s">
        <v>93</v>
      </c>
      <c r="EP139" s="4" t="s">
        <v>60</v>
      </c>
      <c r="EQ139" s="3" t="s">
        <v>582</v>
      </c>
      <c r="ER139" s="3" t="s">
        <v>582</v>
      </c>
      <c r="ES139" s="3" t="s">
        <v>582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2" t="s">
        <v>572</v>
      </c>
      <c r="R140" s="4"/>
      <c r="S140" s="4"/>
      <c r="T140" s="4"/>
      <c r="U140" s="50">
        <f>L145</f>
        <v>5.671161105764883E-3</v>
      </c>
      <c r="V140" s="48" t="e">
        <f>V145</f>
        <v>#REF!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524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554</v>
      </c>
      <c r="CM140" s="1" t="s">
        <v>555</v>
      </c>
      <c r="CN140" s="1" t="s">
        <v>557</v>
      </c>
      <c r="CO140" s="1" t="s">
        <v>85</v>
      </c>
      <c r="CP140" s="1" t="s">
        <v>658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556</v>
      </c>
      <c r="CW140" s="1" t="s">
        <v>50</v>
      </c>
      <c r="EB140" s="176"/>
      <c r="EC140" s="176"/>
      <c r="ED140" s="165"/>
      <c r="EE140" s="165"/>
      <c r="EF140" s="165"/>
      <c r="EG140" s="165"/>
      <c r="EH140" s="165" t="s">
        <v>524</v>
      </c>
      <c r="EI140" s="165"/>
      <c r="EJ140" s="165"/>
      <c r="EK140" s="165"/>
      <c r="EL140" s="171">
        <f>EB146</f>
        <v>2432.9315137804706</v>
      </c>
      <c r="EM140" s="172">
        <f>EM146</f>
        <v>20263.204971384457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645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6"/>
      <c r="EC141" s="176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9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552</v>
      </c>
      <c r="FL141" s="50">
        <f>FB148</f>
        <v>2977.7959132317783</v>
      </c>
      <c r="FM141" s="48">
        <f>FM148</f>
        <v>399018.65874240285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560</v>
      </c>
      <c r="L142" s="1" t="s">
        <v>554</v>
      </c>
      <c r="M142" s="1" t="s">
        <v>557</v>
      </c>
      <c r="N142" s="1" t="s">
        <v>85</v>
      </c>
      <c r="O142" s="1" t="s">
        <v>658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556</v>
      </c>
      <c r="V142" s="1" t="s">
        <v>50</v>
      </c>
      <c r="W142" s="4"/>
      <c r="X142" s="4" t="s">
        <v>182</v>
      </c>
      <c r="Y142" s="284">
        <f>(23*N144)+(18*N155)</f>
        <v>0.86107827692526073</v>
      </c>
      <c r="Z142" s="284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8" t="s">
        <v>518</v>
      </c>
      <c r="BL142" s="348"/>
      <c r="BM142" s="348"/>
      <c r="BN142" s="348"/>
      <c r="BP142" s="4"/>
      <c r="BQ142" s="1" t="s">
        <v>554</v>
      </c>
      <c r="BR142" s="1" t="s">
        <v>555</v>
      </c>
      <c r="BS142" s="1" t="s">
        <v>557</v>
      </c>
      <c r="BT142" s="1" t="s">
        <v>85</v>
      </c>
      <c r="BU142" s="1" t="s">
        <v>658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556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5" t="s">
        <v>530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48" t="s">
        <v>518</v>
      </c>
      <c r="DW142" s="348"/>
      <c r="DX142" s="348"/>
      <c r="DY142" s="348"/>
      <c r="EA142" s="4"/>
      <c r="EB142" s="1" t="s">
        <v>554</v>
      </c>
      <c r="EC142" s="1" t="s">
        <v>555</v>
      </c>
      <c r="ED142" s="1" t="s">
        <v>557</v>
      </c>
      <c r="EE142" s="1" t="s">
        <v>85</v>
      </c>
      <c r="EF142" s="1" t="s">
        <v>658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556</v>
      </c>
      <c r="EM142" s="1" t="s">
        <v>50</v>
      </c>
      <c r="EN142" s="1"/>
      <c r="EP142" s="3" t="s">
        <v>31</v>
      </c>
      <c r="EQ142" s="289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559</v>
      </c>
      <c r="L143" s="1" t="s">
        <v>88</v>
      </c>
      <c r="M143" s="1" t="s">
        <v>90</v>
      </c>
      <c r="N143" s="1" t="s">
        <v>86</v>
      </c>
      <c r="O143" s="1" t="s">
        <v>645</v>
      </c>
      <c r="P143" s="1" t="s">
        <v>645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4">
        <f>2*N168</f>
        <v>4.9498831634702833</v>
      </c>
      <c r="Z143" s="284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8"/>
      <c r="BL143" s="348"/>
      <c r="BM143" s="348"/>
      <c r="BN143" s="348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645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5"/>
      <c r="CK143" s="3" t="s">
        <v>585</v>
      </c>
      <c r="CL143" s="287">
        <f>CO2_Kiln_Out+CO2_Kiln_out_from_methane</f>
        <v>57148.190828027335</v>
      </c>
      <c r="CM143" s="287">
        <f>CL143/CL145</f>
        <v>0.15159997245009682</v>
      </c>
      <c r="CN143" s="287">
        <f>MW_CO2</f>
        <v>4.4009800000000002E-2</v>
      </c>
      <c r="CO143" s="287">
        <f>CL143/CN143</f>
        <v>1298533.30003834</v>
      </c>
      <c r="CP143" s="287">
        <f>h_CO2</f>
        <v>-8941.1903712354979</v>
      </c>
      <c r="CQ143" s="287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48"/>
      <c r="DW143" s="348"/>
      <c r="DX143" s="348"/>
      <c r="DY143" s="348"/>
      <c r="EA143" s="94" t="s">
        <v>41</v>
      </c>
      <c r="EB143" s="184" t="s">
        <v>88</v>
      </c>
      <c r="EC143" s="1" t="s">
        <v>558</v>
      </c>
      <c r="ED143" s="185" t="s">
        <v>90</v>
      </c>
      <c r="EE143" s="185" t="s">
        <v>86</v>
      </c>
      <c r="EF143" s="1" t="s">
        <v>645</v>
      </c>
      <c r="EG143" s="185" t="s">
        <v>95</v>
      </c>
      <c r="EH143" s="185" t="s">
        <v>25</v>
      </c>
      <c r="EI143" s="185" t="s">
        <v>98</v>
      </c>
      <c r="EJ143" s="185" t="s">
        <v>95</v>
      </c>
      <c r="EK143" s="185" t="s">
        <v>95</v>
      </c>
      <c r="EL143" s="185" t="s">
        <v>94</v>
      </c>
      <c r="EM143" s="185" t="s">
        <v>92</v>
      </c>
      <c r="EN143" s="1"/>
      <c r="EP143" s="3" t="s">
        <v>18</v>
      </c>
      <c r="EQ143" s="83">
        <f>EE133+EE157+EE118+(10*EE105)</f>
        <v>20447.205056249022</v>
      </c>
      <c r="ER143" s="83">
        <f>FE145</f>
        <v>20447.205056249019</v>
      </c>
      <c r="ES143" s="3">
        <f t="shared" si="59"/>
        <v>0</v>
      </c>
      <c r="FA143" s="1"/>
      <c r="FB143" s="1" t="s">
        <v>554</v>
      </c>
      <c r="FC143" s="1" t="s">
        <v>555</v>
      </c>
      <c r="FD143" s="1" t="s">
        <v>557</v>
      </c>
      <c r="FE143" s="1" t="s">
        <v>85</v>
      </c>
      <c r="FF143" s="1" t="s">
        <v>658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556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0" t="s">
        <v>572</v>
      </c>
      <c r="J144" s="62" t="s">
        <v>488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 t="e">
        <f>b_ch_Diesel</f>
        <v>#REF!</v>
      </c>
      <c r="Q144" s="17">
        <f>N144/N145</f>
        <v>1</v>
      </c>
      <c r="R144" s="17">
        <f>LN(Q144)</f>
        <v>0</v>
      </c>
      <c r="S144" s="17">
        <f>RT0*R144</f>
        <v>0</v>
      </c>
      <c r="T144" s="17" t="e">
        <f>S144+P144</f>
        <v>#REF!</v>
      </c>
      <c r="U144" s="17" t="e">
        <f>Q144*T144</f>
        <v>#REF!</v>
      </c>
      <c r="V144" s="17" t="e">
        <f>U144*L144</f>
        <v>#REF!</v>
      </c>
      <c r="W144" s="4"/>
      <c r="X144" s="4"/>
      <c r="Y144" s="4"/>
      <c r="Z144" s="4"/>
      <c r="AA144" s="4"/>
      <c r="AB144" s="4"/>
      <c r="AD144" s="4"/>
      <c r="AE144" s="1" t="s">
        <v>554</v>
      </c>
      <c r="AF144" s="1" t="s">
        <v>555</v>
      </c>
      <c r="AG144" s="1" t="s">
        <v>557</v>
      </c>
      <c r="AH144" s="1" t="s">
        <v>85</v>
      </c>
      <c r="AI144" s="1" t="s">
        <v>658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556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5" t="s">
        <v>524</v>
      </c>
      <c r="BP144" s="8" t="s">
        <v>303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5"/>
      <c r="CK144" s="7" t="s">
        <v>67</v>
      </c>
      <c r="CL144" s="288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5" t="s">
        <v>524</v>
      </c>
      <c r="EA144" s="1" t="s">
        <v>303</v>
      </c>
      <c r="EB144" s="176">
        <f>O2_BF_in+O2_added_BF+((((EE118*O2_Naturalgas_molcoeff)+(EE105*O2_Oil_molcoeff)))*ED144)</f>
        <v>647.99189233293589</v>
      </c>
      <c r="EC144" s="173">
        <f>EB144/EB146</f>
        <v>0.26634201935509383</v>
      </c>
      <c r="ED144" s="259">
        <f>MW_O2</f>
        <v>3.1998800000000001E-2</v>
      </c>
      <c r="EE144" s="165">
        <f>EB144/ED144</f>
        <v>20250.506029380347</v>
      </c>
      <c r="EF144" s="27">
        <f>h_O2</f>
        <v>0</v>
      </c>
      <c r="EG144" s="165">
        <f>b_ch_O2</f>
        <v>4</v>
      </c>
      <c r="EH144" s="165">
        <f>EE144/$EE$146</f>
        <v>0.24117026197494509</v>
      </c>
      <c r="EI144" s="177">
        <f>LN(EH144)</f>
        <v>-1.4222521137080268</v>
      </c>
      <c r="EJ144" s="177">
        <f>RT0*EI144</f>
        <v>-3.2298906026406153</v>
      </c>
      <c r="EK144" s="177">
        <f>EG144+EJ144</f>
        <v>0.77010939735938466</v>
      </c>
      <c r="EL144" s="177">
        <f>EK144*EH144</f>
        <v>0.18572748511052989</v>
      </c>
      <c r="EM144" s="177">
        <f>$EE$146*EL144</f>
        <v>15595.104994508685</v>
      </c>
      <c r="EP144" s="3" t="s">
        <v>29</v>
      </c>
      <c r="EQ144" s="83">
        <f>(3*EE130)+(2*EE131)+EE132+(2*EE144)+(2*EE158)</f>
        <v>63062.580807123006</v>
      </c>
      <c r="ER144" s="83">
        <f>FE146+(2*FE145)+(3*FE108)</f>
        <v>63062.580807122999</v>
      </c>
      <c r="ES144" s="3">
        <f t="shared" si="59"/>
        <v>0</v>
      </c>
      <c r="FA144" s="2" t="s">
        <v>41</v>
      </c>
      <c r="FB144" s="1" t="s">
        <v>88</v>
      </c>
      <c r="FC144" s="1" t="s">
        <v>558</v>
      </c>
      <c r="FD144" s="1" t="s">
        <v>90</v>
      </c>
      <c r="FE144" s="1" t="s">
        <v>86</v>
      </c>
      <c r="FF144" s="1" t="s">
        <v>645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 t="e">
        <f>SUM(U144)</f>
        <v>#REF!</v>
      </c>
      <c r="V145" s="17" t="e">
        <f>SUM(V144)</f>
        <v>#REF!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645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5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5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5"/>
      <c r="EA145" s="60" t="s">
        <v>67</v>
      </c>
      <c r="EB145" s="186">
        <f>N2_BF_out+N2_added_BF+(((EE105+N2_molcoeff)+(EE118*N2_molcoeff))*ED145)</f>
        <v>1784.9396214475348</v>
      </c>
      <c r="EC145" s="186">
        <f>EB145/EB146</f>
        <v>0.73365798064490617</v>
      </c>
      <c r="ED145" s="265">
        <f>MW_N2</f>
        <v>2.801348E-2</v>
      </c>
      <c r="EE145" s="187">
        <f>EB145/ED145</f>
        <v>63717.16835778828</v>
      </c>
      <c r="EF145" s="6">
        <f>h_N2</f>
        <v>0</v>
      </c>
      <c r="EG145" s="187">
        <f>b_ch_N2</f>
        <v>0.7</v>
      </c>
      <c r="EH145" s="187">
        <f>EE145/$EE$146</f>
        <v>0.75882973802505482</v>
      </c>
      <c r="EI145" s="185">
        <f>LN(EH145)</f>
        <v>-0.27597785082857806</v>
      </c>
      <c r="EJ145" s="185">
        <f>RT0*EI145</f>
        <v>-0.62673717151611019</v>
      </c>
      <c r="EK145" s="185">
        <f>EG145+EJ145</f>
        <v>7.3262828483889764E-2</v>
      </c>
      <c r="EL145" s="185">
        <f>EK145*EH145</f>
        <v>5.5594012945404593E-2</v>
      </c>
      <c r="EM145" s="185">
        <f>$EE$146*EL145</f>
        <v>4668.0999768757711</v>
      </c>
      <c r="EP145" s="3" t="s">
        <v>182</v>
      </c>
      <c r="EQ145" s="83">
        <f>(20*EE105)+(4*EE118)+(2*EE156)+(4*EE157)</f>
        <v>32459.029013138355</v>
      </c>
      <c r="ER145" s="83">
        <f>2*FE146</f>
        <v>32459.029013138359</v>
      </c>
      <c r="ES145" s="3">
        <f t="shared" si="59"/>
        <v>0</v>
      </c>
      <c r="EZ145" s="355" t="s">
        <v>552</v>
      </c>
      <c r="FA145" s="3" t="s">
        <v>23</v>
      </c>
      <c r="FB145" s="8">
        <f>CO2_BF_Out+CO2_out_BF+(((EE105*Co2_Oil_molcoef)+(EE118*Co2_Naturalgas_molcoeff))*FD145)</f>
        <v>899.87740508450815</v>
      </c>
      <c r="FC145" s="8">
        <f>BF_CO2Waste/$FB$148</f>
        <v>0.30219579558354565</v>
      </c>
      <c r="FD145" s="8">
        <f>MW_CO2</f>
        <v>4.4009800000000002E-2</v>
      </c>
      <c r="FE145" s="8">
        <f>FB145/FD145</f>
        <v>20447.205056249019</v>
      </c>
      <c r="FF145" s="8">
        <f>h_CO2</f>
        <v>-8941.1903712354979</v>
      </c>
      <c r="FG145" s="8">
        <f>b_ch_CO2</f>
        <v>19.900000000000034</v>
      </c>
      <c r="FH145" s="8">
        <f>FE145/$FE$148</f>
        <v>0.2036264037917776</v>
      </c>
      <c r="FI145" s="8">
        <f>LN(FH145)</f>
        <v>-1.5914683180786449</v>
      </c>
      <c r="FJ145" s="8">
        <f>RT0*FI145</f>
        <v>-3.6141753739855735</v>
      </c>
      <c r="FK145" s="8">
        <f>FG145+FJ145</f>
        <v>16.28582462601446</v>
      </c>
      <c r="FL145" s="8">
        <f>FK145*FH145</f>
        <v>3.3162239013788959</v>
      </c>
      <c r="FM145" s="8">
        <f>$FE$148*FL145</f>
        <v>332999.59563822765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659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5" t="s">
        <v>496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659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2432.9315137804706</v>
      </c>
      <c r="ED146" s="3">
        <f>SUM(ED144:ED145)</f>
        <v>6.0012280000000001E-2</v>
      </c>
      <c r="EE146" s="3">
        <f>SUM(EE144:EE145)</f>
        <v>83967.674387168634</v>
      </c>
      <c r="EF146" s="27">
        <f>SUM(EF144:EF145)</f>
        <v>0</v>
      </c>
      <c r="EL146" s="3">
        <f>SUM(EL144:EL145)</f>
        <v>0.24132149805593447</v>
      </c>
      <c r="EM146" s="3">
        <f>SUM(EM144:EM145)</f>
        <v>20263.204971384457</v>
      </c>
      <c r="EP146" s="3" t="s">
        <v>363</v>
      </c>
      <c r="EQ146" s="83">
        <f>(2*EE145)+(2*EE159)</f>
        <v>127477.14743383291</v>
      </c>
      <c r="ER146" s="83">
        <f>2*FE147</f>
        <v>127477.1474338329</v>
      </c>
      <c r="ES146" s="3">
        <f t="shared" si="59"/>
        <v>0</v>
      </c>
      <c r="EZ146" s="355"/>
      <c r="FA146" s="3" t="s">
        <v>451</v>
      </c>
      <c r="FB146" s="1">
        <f>H2O_out_BF+(((EE105*H2O_Oil_molcoeff)+(EE118*H2O_Naturalgas_molcoeff))*FD146)</f>
        <v>292.37924809990562</v>
      </c>
      <c r="FC146" s="1">
        <f>FB146/FB148</f>
        <v>9.8186462947552622E-2</v>
      </c>
      <c r="FD146" s="1">
        <f>MW_H2O</f>
        <v>1.8015280000000002E-2</v>
      </c>
      <c r="FE146" s="1">
        <f>FB146/FD146</f>
        <v>16229.51450656918</v>
      </c>
      <c r="FF146" s="1">
        <f>h_H2O</f>
        <v>-13421.939597941302</v>
      </c>
      <c r="FG146" s="1">
        <f>b_ch_H2O</f>
        <v>9.5113440000000082</v>
      </c>
      <c r="FH146" s="1">
        <f>FE146/$FE$148</f>
        <v>0.1616239317387379</v>
      </c>
      <c r="FI146" s="1">
        <f>LN(FH146)</f>
        <v>-1.8224830514170602</v>
      </c>
      <c r="FJ146" s="1">
        <f>RT0*FI146</f>
        <v>-4.1388026950418544</v>
      </c>
      <c r="FK146" s="1">
        <f>FG146+FJ146</f>
        <v>5.3725413049581539</v>
      </c>
      <c r="FL146" s="1">
        <f>FK146*FH146</f>
        <v>0.86833124913610649</v>
      </c>
      <c r="FM146" s="1">
        <f>$FE$148*FL146</f>
        <v>87193.737045960457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5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659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659</v>
      </c>
      <c r="EG147" s="4"/>
      <c r="EH147" s="4"/>
      <c r="EL147" s="3" t="s">
        <v>96</v>
      </c>
      <c r="EM147" s="1" t="s">
        <v>93</v>
      </c>
      <c r="EZ147" s="355"/>
      <c r="FA147" s="60" t="s">
        <v>67</v>
      </c>
      <c r="FB147" s="178">
        <f>EB145+EB159</f>
        <v>1785.5392600473647</v>
      </c>
      <c r="FC147" s="1">
        <f>FB147/FB148</f>
        <v>0.59961774146890179</v>
      </c>
      <c r="FD147" s="6">
        <f>MW_N2</f>
        <v>2.801348E-2</v>
      </c>
      <c r="FE147" s="6">
        <f>FB147/FD147</f>
        <v>63738.573716916449</v>
      </c>
      <c r="FF147" s="6">
        <f>h_N2</f>
        <v>0</v>
      </c>
      <c r="FG147" s="7">
        <f>b_ch_N2</f>
        <v>0.7</v>
      </c>
      <c r="FH147" s="1">
        <f>FE147/$FE$148</f>
        <v>0.63474966446948455</v>
      </c>
      <c r="FI147" s="1">
        <f>LN(FH147)</f>
        <v>-0.45452458700011272</v>
      </c>
      <c r="FJ147" s="1">
        <f>RT0*FI147</f>
        <v>-1.0322112922675177</v>
      </c>
      <c r="FK147" s="1">
        <f>FG147+FJ147</f>
        <v>-0.33221129226751778</v>
      </c>
      <c r="FL147" s="1">
        <f>FK147*FH147</f>
        <v>-0.21087100629978078</v>
      </c>
      <c r="FM147" s="1">
        <f>$FE$148*FL147</f>
        <v>-21174.673941785259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5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1" t="s">
        <v>19</v>
      </c>
      <c r="FB148" s="27">
        <f>SUM(FB145:FB147)</f>
        <v>2977.7959132317783</v>
      </c>
      <c r="FC148" s="27"/>
      <c r="FD148" s="27">
        <f>SUM(FD145:FD147)</f>
        <v>9.0038560000000004E-2</v>
      </c>
      <c r="FE148" s="27">
        <f>SUM(FE145:FE147)</f>
        <v>100415.29327973464</v>
      </c>
      <c r="FF148" s="17" cm="1">
        <f t="array" ref="FF148">SUM(FB145:FB147*FF145:FF147) / FB148</f>
        <v>-4019.842912717002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3.973684144215222</v>
      </c>
      <c r="FM148" s="27">
        <f>SUM(FM145:FM147)</f>
        <v>399018.65874240285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5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659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659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340</v>
      </c>
      <c r="CA150" s="155" t="s">
        <v>1</v>
      </c>
      <c r="CB150" s="58" t="s">
        <v>0</v>
      </c>
      <c r="EL150" s="180" t="s">
        <v>1</v>
      </c>
      <c r="EM150" s="181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2" t="s">
        <v>573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7"/>
      <c r="BJ151" s="197"/>
      <c r="BK151" s="197"/>
      <c r="BL151" s="197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2" t="s">
        <v>89</v>
      </c>
      <c r="EM151" s="183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473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669</v>
      </c>
      <c r="EL152" s="171">
        <f>EB160</f>
        <v>31.559926306840676</v>
      </c>
      <c r="EM152" s="172">
        <f>EM160</f>
        <v>2696214.4485817407</v>
      </c>
    </row>
    <row r="153" spans="2:169" ht="19.25" customHeight="1" x14ac:dyDescent="0.25">
      <c r="B153" s="348" t="s">
        <v>486</v>
      </c>
      <c r="C153" s="348"/>
      <c r="D153" s="348"/>
      <c r="E153" s="348"/>
      <c r="F153" s="348"/>
      <c r="G153" s="348"/>
      <c r="H153" s="348"/>
      <c r="J153" s="4"/>
      <c r="K153" s="3" t="s">
        <v>560</v>
      </c>
      <c r="L153" s="1" t="s">
        <v>554</v>
      </c>
      <c r="M153" s="1" t="s">
        <v>557</v>
      </c>
      <c r="N153" s="1" t="s">
        <v>85</v>
      </c>
      <c r="O153" s="1" t="s">
        <v>658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556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9"/>
      <c r="C154" s="349"/>
      <c r="D154" s="349"/>
      <c r="E154" s="349"/>
      <c r="F154" s="349"/>
      <c r="G154" s="349"/>
      <c r="H154" s="349"/>
      <c r="J154" s="4" t="s">
        <v>41</v>
      </c>
      <c r="K154" s="3" t="s">
        <v>559</v>
      </c>
      <c r="L154" s="1" t="s">
        <v>88</v>
      </c>
      <c r="M154" s="1" t="s">
        <v>90</v>
      </c>
      <c r="N154" s="1" t="s">
        <v>86</v>
      </c>
      <c r="O154" s="1" t="s">
        <v>645</v>
      </c>
      <c r="P154" s="1" t="s">
        <v>645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8" t="s">
        <v>472</v>
      </c>
      <c r="BL154" s="348"/>
      <c r="BM154" s="348"/>
      <c r="BN154" s="348"/>
      <c r="BP154" s="4"/>
      <c r="BQ154" s="3" t="s">
        <v>560</v>
      </c>
      <c r="BR154" s="1" t="s">
        <v>554</v>
      </c>
      <c r="BS154" s="3" t="s">
        <v>5</v>
      </c>
      <c r="BT154" s="3" t="s">
        <v>363</v>
      </c>
      <c r="BU154" s="1" t="s">
        <v>658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554</v>
      </c>
      <c r="EC154" s="1" t="s">
        <v>555</v>
      </c>
      <c r="ED154" s="1" t="s">
        <v>557</v>
      </c>
      <c r="EE154" s="1" t="s">
        <v>85</v>
      </c>
      <c r="EF154" s="1" t="s">
        <v>658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556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0" t="s">
        <v>573</v>
      </c>
      <c r="J155" s="62" t="s">
        <v>487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8"/>
      <c r="BL155" s="348"/>
      <c r="BM155" s="348"/>
      <c r="BN155" s="348"/>
      <c r="BP155" s="4"/>
      <c r="BQ155" s="3" t="s">
        <v>559</v>
      </c>
      <c r="BR155" s="1" t="s">
        <v>88</v>
      </c>
      <c r="BS155" s="1" t="s">
        <v>90</v>
      </c>
      <c r="BT155" s="2" t="s">
        <v>86</v>
      </c>
      <c r="BU155" s="1" t="s">
        <v>645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558</v>
      </c>
      <c r="ED155" s="1" t="s">
        <v>84</v>
      </c>
      <c r="EE155" s="3" t="s">
        <v>42</v>
      </c>
      <c r="EF155" s="1" t="s">
        <v>645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4" t="s">
        <v>473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81" t="s">
        <v>523</v>
      </c>
      <c r="EA156" s="17" t="s">
        <v>66</v>
      </c>
      <c r="EB156" s="17">
        <f>H2_to_BF</f>
        <v>17.716667526171019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8788.5526550047707</v>
      </c>
      <c r="EF156" s="17">
        <f>h_H2</f>
        <v>0</v>
      </c>
      <c r="EG156" s="17">
        <f>b_ch_H2</f>
        <v>236.1</v>
      </c>
      <c r="EH156" s="17">
        <f>EE156/$EE$160</f>
        <v>0.91544766952145873</v>
      </c>
      <c r="EI156" s="17">
        <f>LN(EH156)</f>
        <v>-8.8342077045854117E-2</v>
      </c>
      <c r="EJ156" s="17">
        <f>RT0*EI156</f>
        <v>-0.20062212720095396</v>
      </c>
      <c r="EK156" s="17">
        <f>EG156+EJ156</f>
        <v>235.89937787279905</v>
      </c>
      <c r="EL156" s="17">
        <f>EK156*EH156</f>
        <v>215.95353571521585</v>
      </c>
      <c r="EM156" s="17">
        <f>EL156*$EE$160</f>
        <v>2073214.1037179618</v>
      </c>
    </row>
    <row r="157" spans="2:169" ht="18" customHeight="1" x14ac:dyDescent="0.25">
      <c r="B157" s="15" t="s">
        <v>484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659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402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81"/>
      <c r="EA157" s="3" t="s">
        <v>65</v>
      </c>
      <c r="EB157" s="3">
        <f>CH4_to_BF</f>
        <v>12.111157128387841</v>
      </c>
      <c r="EC157" s="3">
        <f t="shared" ref="EC157:EC159" si="66">EB157/$EB$160</f>
        <v>0.3837511219334731</v>
      </c>
      <c r="ED157" s="3">
        <f>MW_CH4</f>
        <v>1.604276E-2</v>
      </c>
      <c r="EE157" s="3">
        <f>EB157/ED157</f>
        <v>754.92977071201221</v>
      </c>
      <c r="EF157" s="3">
        <f>h_CH4</f>
        <v>1.604276E-2</v>
      </c>
      <c r="EG157" s="3">
        <f>b_ch_CH4</f>
        <v>831.8</v>
      </c>
      <c r="EH157" s="3">
        <f>EE157/$EE$160</f>
        <v>7.8636235837663715E-2</v>
      </c>
      <c r="EI157" s="3">
        <f t="shared" ref="EI157:EI159" si="67">LN(EH157)</f>
        <v>-2.5429226700357281</v>
      </c>
      <c r="EJ157" s="3">
        <f>RT0*EI157</f>
        <v>-5.7748988073406338</v>
      </c>
      <c r="EK157" s="3">
        <f t="shared" ref="EK157:EK159" si="68">EG157+EJ157</f>
        <v>826.02510119265935</v>
      </c>
      <c r="EL157" s="3">
        <f t="shared" ref="EL157:EL159" si="69">EK157*EH157</f>
        <v>64.955504665215997</v>
      </c>
      <c r="EM157" s="3">
        <f>EL157*$EE$160</f>
        <v>623590.94024574105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659</v>
      </c>
      <c r="BV158" s="4"/>
      <c r="BW158" s="4"/>
      <c r="CA158" s="3" t="s">
        <v>96</v>
      </c>
      <c r="CB158" s="1" t="s">
        <v>93</v>
      </c>
      <c r="DZ158" s="381"/>
      <c r="EA158" s="237" t="s">
        <v>24</v>
      </c>
      <c r="EB158" s="3">
        <f>O2_to_BF_from_coke</f>
        <v>1.1324630524518418</v>
      </c>
      <c r="EC158" s="3">
        <f t="shared" si="66"/>
        <v>3.5882943497443406E-2</v>
      </c>
      <c r="ED158" s="3">
        <f>MW_O2</f>
        <v>3.1998800000000001E-2</v>
      </c>
      <c r="EE158" s="3">
        <f>EB158/ED158</f>
        <v>35.390797544027954</v>
      </c>
      <c r="EF158" s="3">
        <f>h_O2</f>
        <v>0</v>
      </c>
      <c r="EG158" s="3">
        <f>b_ch_O2</f>
        <v>4</v>
      </c>
      <c r="EH158" s="3">
        <f>EE158/$EE$160</f>
        <v>3.6864344341996287E-3</v>
      </c>
      <c r="EI158" s="3">
        <f t="shared" si="67"/>
        <v>-5.6030955660719171</v>
      </c>
      <c r="EJ158" s="3">
        <f>RT0*EI158</f>
        <v>-12.724456894896331</v>
      </c>
      <c r="EK158" s="3">
        <f t="shared" si="68"/>
        <v>-8.7244568948963312</v>
      </c>
      <c r="EL158" s="3">
        <f t="shared" si="69"/>
        <v>-3.2162138317036203E-2</v>
      </c>
      <c r="EM158" s="3">
        <f>EL158*$EE$160</f>
        <v>-308.7654876488748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0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81"/>
      <c r="EA159" s="7" t="s">
        <v>67</v>
      </c>
      <c r="EB159" s="3">
        <f>N2_to_BF_from_coke</f>
        <v>0.59963859982997281</v>
      </c>
      <c r="EC159" s="3">
        <f t="shared" si="66"/>
        <v>1.9E-2</v>
      </c>
      <c r="ED159" s="3">
        <f>MW_N2</f>
        <v>2.801348E-2</v>
      </c>
      <c r="EE159" s="3">
        <f>EB159/ED159</f>
        <v>21.405359128175892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7"/>
        <v>-6.1059060788071511</v>
      </c>
      <c r="EJ159" s="3">
        <f>RT0*EI159</f>
        <v>-13.866324032473203</v>
      </c>
      <c r="EK159" s="3">
        <f t="shared" si="68"/>
        <v>-13.166324032473204</v>
      </c>
      <c r="EL159" s="3">
        <f t="shared" si="69"/>
        <v>-2.9356428763433841E-2</v>
      </c>
      <c r="EM159" s="3">
        <f>EL159*$EE$160</f>
        <v>-281.8298943130219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4"/>
      <c r="EA160" s="17" t="s">
        <v>19</v>
      </c>
      <c r="EB160" s="17">
        <f>0.7*DF241</f>
        <v>31.559926306840676</v>
      </c>
      <c r="EC160" s="17"/>
      <c r="ED160" s="17"/>
      <c r="EE160" s="17">
        <f>SUM(EE156:EE159)</f>
        <v>9600.2785823889863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1</v>
      </c>
      <c r="EI160" s="17"/>
      <c r="EJ160" s="17"/>
      <c r="EK160" s="17"/>
      <c r="EL160" s="17">
        <f>SUM(EL156:EL159)</f>
        <v>280.84752181335136</v>
      </c>
      <c r="EM160" s="17">
        <f>SUM(EM156:EM159)</f>
        <v>2696214.4485817407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4"/>
      <c r="EB161" s="1" t="s">
        <v>89</v>
      </c>
      <c r="EC161" s="1"/>
      <c r="ED161" s="3" t="s">
        <v>91</v>
      </c>
      <c r="EE161" s="3" t="s">
        <v>87</v>
      </c>
      <c r="EF161" s="1" t="s">
        <v>659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4"/>
    </row>
    <row r="163" spans="1:143" ht="17" thickBot="1" x14ac:dyDescent="0.25">
      <c r="Q163" s="3" t="s">
        <v>524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4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4"/>
      <c r="EK164" s="165"/>
    </row>
    <row r="165" spans="1:143" ht="18" x14ac:dyDescent="0.25">
      <c r="E165" s="348" t="s">
        <v>518</v>
      </c>
      <c r="F165" s="348"/>
      <c r="G165" s="348"/>
      <c r="H165" s="348"/>
      <c r="J165" s="4"/>
      <c r="K165" s="1" t="s">
        <v>554</v>
      </c>
      <c r="L165" s="1" t="s">
        <v>555</v>
      </c>
      <c r="M165" s="1" t="s">
        <v>557</v>
      </c>
      <c r="N165" s="1" t="s">
        <v>85</v>
      </c>
      <c r="O165" s="1" t="s">
        <v>658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556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4"/>
      <c r="EB165" s="176"/>
    </row>
    <row r="166" spans="1:143" ht="18" x14ac:dyDescent="0.25">
      <c r="E166" s="348"/>
      <c r="F166" s="348"/>
      <c r="G166" s="348"/>
      <c r="H166" s="348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645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4"/>
    </row>
    <row r="167" spans="1:143" ht="18" x14ac:dyDescent="0.25">
      <c r="I167" s="355" t="s">
        <v>524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4"/>
    </row>
    <row r="168" spans="1:143" ht="18" x14ac:dyDescent="0.25">
      <c r="I168" s="355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4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4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659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4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4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4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4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4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4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4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4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7" t="s">
        <v>433</v>
      </c>
      <c r="X182" s="367"/>
      <c r="Y182" s="367"/>
      <c r="Z182" s="367"/>
      <c r="AA182" s="367"/>
      <c r="AB182" s="367"/>
      <c r="AC182" s="367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6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 t="e">
        <f t="shared" ref="AA185:AA194" si="71">Z185*($K$217/1000)</f>
        <v>#REF!</v>
      </c>
      <c r="AB185" s="3">
        <v>1</v>
      </c>
      <c r="AC185" s="13" t="e">
        <f>AA185*AB185</f>
        <v>#REF!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 t="e">
        <f t="shared" si="71"/>
        <v>#REF!</v>
      </c>
      <c r="AB186" s="13">
        <v>1</v>
      </c>
      <c r="AC186" s="13" t="e">
        <f t="shared" ref="AC186:AC194" si="72">AA186*AB186</f>
        <v>#REF!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 t="e">
        <f t="shared" si="71"/>
        <v>#REF!</v>
      </c>
      <c r="AB187" s="13">
        <v>1</v>
      </c>
      <c r="AC187" s="13" t="e">
        <f t="shared" si="72"/>
        <v>#REF!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7" t="s">
        <v>434</v>
      </c>
      <c r="AP187" s="367"/>
      <c r="AQ187" s="367"/>
      <c r="AR187" s="367"/>
      <c r="AS187" s="367"/>
      <c r="AT187" s="367"/>
      <c r="AU187" s="367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7" t="s">
        <v>435</v>
      </c>
      <c r="BH187" s="367"/>
      <c r="BI187" s="367"/>
      <c r="BJ187" s="367"/>
      <c r="BK187" s="367"/>
      <c r="BL187" s="367"/>
      <c r="BM187" s="367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 t="e">
        <f t="shared" si="71"/>
        <v>#REF!</v>
      </c>
      <c r="AB188" s="13">
        <v>1</v>
      </c>
      <c r="AC188" s="13" t="e">
        <f t="shared" si="72"/>
        <v>#REF!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364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 t="e">
        <f t="shared" si="71"/>
        <v>#REF!</v>
      </c>
      <c r="AB189" s="13">
        <v>1</v>
      </c>
      <c r="AC189" s="13" t="e">
        <f t="shared" si="72"/>
        <v>#REF!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 t="e">
        <f t="shared" si="71"/>
        <v>#REF!</v>
      </c>
      <c r="AB190" s="13">
        <v>1</v>
      </c>
      <c r="AC190" s="13" t="e">
        <f t="shared" si="72"/>
        <v>#REF!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 t="e">
        <f>AR190*AQ190*(AE217/1000)</f>
        <v>#REF!</v>
      </c>
      <c r="AT190" s="13">
        <v>1</v>
      </c>
      <c r="AU190" s="13" t="e">
        <f>AS190*AT190</f>
        <v>#REF!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 t="e">
        <f>BJ190*($AX$217/1000)</f>
        <v>#REF!</v>
      </c>
      <c r="BL190" s="13">
        <v>1</v>
      </c>
      <c r="BM190" s="13" t="e">
        <f>BK190*BL190</f>
        <v>#REF!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9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 t="e">
        <f t="shared" si="71"/>
        <v>#REF!</v>
      </c>
      <c r="AB191" s="13">
        <v>1</v>
      </c>
      <c r="AC191" s="13" t="e">
        <f t="shared" si="72"/>
        <v>#REF!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 t="e">
        <f>BJ191*($AX$217/1000)</f>
        <v>#REF!</v>
      </c>
      <c r="BL191" s="13">
        <v>1</v>
      </c>
      <c r="BM191" s="13" t="e">
        <f t="shared" ref="BM191:BM194" si="73">BK191*BL191</f>
        <v>#REF!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60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 t="e">
        <f t="shared" si="71"/>
        <v>#REF!</v>
      </c>
      <c r="AB192" s="13">
        <v>1</v>
      </c>
      <c r="AC192" s="13" t="e">
        <f t="shared" si="72"/>
        <v>#REF!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 t="e">
        <f>BJ192*($AX$217/1000)</f>
        <v>#REF!</v>
      </c>
      <c r="BL192" s="13">
        <v>1</v>
      </c>
      <c r="BM192" s="13" t="e">
        <f t="shared" si="73"/>
        <v>#REF!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 t="e">
        <f>((N210*(U210-0)/AC195))</f>
        <v>#REF!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 t="e">
        <f t="shared" si="71"/>
        <v>#REF!</v>
      </c>
      <c r="AB193" s="13">
        <v>1</v>
      </c>
      <c r="AC193" s="13" t="e">
        <f t="shared" si="72"/>
        <v>#REF!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 t="e">
        <f>BJ193*($AX$217/1000)</f>
        <v>#REF!</v>
      </c>
      <c r="BL193" s="13">
        <v>1</v>
      </c>
      <c r="BM193" s="13" t="e">
        <f t="shared" si="73"/>
        <v>#REF!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632</v>
      </c>
      <c r="Q194" s="103" t="e">
        <f>V206/AC195</f>
        <v>#REF!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 t="e">
        <f t="shared" si="71"/>
        <v>#REF!</v>
      </c>
      <c r="AB194" s="13">
        <v>1</v>
      </c>
      <c r="AC194" s="13" t="e">
        <f t="shared" si="72"/>
        <v>#REF!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 t="e">
        <f>BJ194*($AX$217/1000)</f>
        <v>#REF!</v>
      </c>
      <c r="BL194" s="13">
        <v>1</v>
      </c>
      <c r="BM194" s="13" t="e">
        <f t="shared" si="73"/>
        <v>#REF!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 t="e">
        <f>V210/AC195</f>
        <v>#REF!</v>
      </c>
      <c r="T195" s="4"/>
      <c r="U195" s="4"/>
      <c r="V195" s="4"/>
      <c r="W195" s="373" t="s">
        <v>502</v>
      </c>
      <c r="X195" s="374"/>
      <c r="Y195" s="262"/>
      <c r="Z195" s="262"/>
      <c r="AA195" s="262" t="e">
        <f>SUM(AA185:AA186,AA187:AA188,AA189:AA190,AA191:AA192,AA193:AA194)</f>
        <v>#REF!</v>
      </c>
      <c r="AB195" s="261">
        <v>1</v>
      </c>
      <c r="AC195" s="263" t="e">
        <f>AA195*AB195</f>
        <v>#REF!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 t="e">
        <f>SUM(BK190:BK194)</f>
        <v>#REF!</v>
      </c>
      <c r="BL195" s="13"/>
      <c r="BM195" s="13" t="e">
        <f>SUM(BM190:BM194)</f>
        <v>#REF!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521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538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423</v>
      </c>
      <c r="Q206" s="375"/>
      <c r="R206" s="375"/>
      <c r="S206" s="4"/>
      <c r="T206" s="4"/>
      <c r="U206" s="50" t="e">
        <f>K217</f>
        <v>#REF!</v>
      </c>
      <c r="V206" s="48" t="e">
        <f>V217</f>
        <v>#REF!</v>
      </c>
      <c r="W206" s="350" t="s">
        <v>414</v>
      </c>
      <c r="X206" s="350"/>
      <c r="Y206" s="350"/>
      <c r="Z206" s="350"/>
      <c r="AA206" s="350"/>
      <c r="AB206" s="35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 t="e">
        <f>AE217</f>
        <v>#REF!</v>
      </c>
      <c r="AP206" s="48" t="e">
        <f>AP217</f>
        <v>#REF!</v>
      </c>
      <c r="AQ206" s="350" t="s">
        <v>539</v>
      </c>
      <c r="AR206" s="350"/>
      <c r="AS206" s="350"/>
      <c r="AT206" s="350"/>
      <c r="AU206" s="35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 t="e">
        <f>AX217</f>
        <v>#REF!</v>
      </c>
      <c r="BI206" s="48" t="e">
        <f>BI217</f>
        <v>#REF!</v>
      </c>
      <c r="BJ206" s="350" t="s">
        <v>454</v>
      </c>
      <c r="BK206" s="350"/>
      <c r="BL206" s="350"/>
      <c r="BM206" s="350"/>
      <c r="BN206" s="350"/>
      <c r="BO206" s="4"/>
      <c r="BP206" s="4"/>
      <c r="BQ206" s="4"/>
      <c r="BR206" s="4"/>
      <c r="BS206" s="4"/>
      <c r="BT206" s="4"/>
      <c r="BU206" s="4"/>
      <c r="BV206" s="4"/>
      <c r="BW206" s="4" t="s">
        <v>522</v>
      </c>
      <c r="BX206" s="4"/>
      <c r="BY206" s="4"/>
      <c r="BZ206" s="4"/>
      <c r="CA206" s="50" t="e">
        <f>BQ217</f>
        <v>#REF!</v>
      </c>
      <c r="CB206" s="48" t="e">
        <f>CB217</f>
        <v>#REF!</v>
      </c>
      <c r="CD206" s="350" t="s">
        <v>432</v>
      </c>
      <c r="CE206" s="350"/>
      <c r="CF206" s="350"/>
      <c r="CG206" s="350"/>
      <c r="CH206" s="350"/>
      <c r="CI206" s="301"/>
      <c r="CR206" s="3" t="s">
        <v>627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0"/>
      <c r="X207" s="350"/>
      <c r="Y207" s="350"/>
      <c r="Z207" s="350"/>
      <c r="AA207" s="350"/>
      <c r="AB207" s="35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0"/>
      <c r="AR207" s="350"/>
      <c r="AS207" s="350"/>
      <c r="AT207" s="350"/>
      <c r="AU207" s="35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0"/>
      <c r="BK207" s="350"/>
      <c r="BL207" s="350"/>
      <c r="BM207" s="350"/>
      <c r="BN207" s="35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8"/>
      <c r="CE207" s="368"/>
      <c r="CF207" s="368"/>
      <c r="CG207" s="368"/>
      <c r="CH207" s="368"/>
      <c r="CI207" s="301"/>
      <c r="CU207" s="4"/>
      <c r="CV207" s="4"/>
    </row>
    <row r="208" spans="5:101" ht="19.25" customHeight="1" x14ac:dyDescent="0.25">
      <c r="E208" s="348" t="s">
        <v>444</v>
      </c>
      <c r="F208" s="348"/>
      <c r="G208" s="348"/>
      <c r="H208" s="348"/>
      <c r="J208" s="4"/>
      <c r="K208" s="1" t="s">
        <v>554</v>
      </c>
      <c r="L208" s="1" t="s">
        <v>555</v>
      </c>
      <c r="M208" s="1" t="s">
        <v>557</v>
      </c>
      <c r="N208" s="1" t="s">
        <v>85</v>
      </c>
      <c r="O208" s="1" t="s">
        <v>658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556</v>
      </c>
      <c r="V208" s="1" t="s">
        <v>50</v>
      </c>
      <c r="W208" s="4"/>
      <c r="X208" s="22" t="s">
        <v>427</v>
      </c>
      <c r="Y208" s="22" t="s">
        <v>475</v>
      </c>
      <c r="Z208" s="255" t="s">
        <v>337</v>
      </c>
      <c r="AA208" s="359" t="s">
        <v>344</v>
      </c>
      <c r="AB208" s="102" t="s">
        <v>317</v>
      </c>
      <c r="AC208" s="1"/>
      <c r="AD208" s="4"/>
      <c r="AE208" s="1" t="s">
        <v>554</v>
      </c>
      <c r="AF208" s="1" t="s">
        <v>555</v>
      </c>
      <c r="AG208" s="1" t="s">
        <v>557</v>
      </c>
      <c r="AH208" s="1" t="s">
        <v>85</v>
      </c>
      <c r="AI208" s="1" t="s">
        <v>658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556</v>
      </c>
      <c r="AP208" s="1" t="s">
        <v>50</v>
      </c>
      <c r="AQ208" s="22" t="s">
        <v>427</v>
      </c>
      <c r="AR208" s="22" t="s">
        <v>475</v>
      </c>
      <c r="AS208" s="159" t="s">
        <v>337</v>
      </c>
      <c r="AT208" s="359" t="s">
        <v>344</v>
      </c>
      <c r="AU208" s="138" t="s">
        <v>317</v>
      </c>
      <c r="AV208" s="1"/>
      <c r="AW208" s="4"/>
      <c r="AX208" s="1" t="s">
        <v>554</v>
      </c>
      <c r="AY208" s="1" t="s">
        <v>555</v>
      </c>
      <c r="AZ208" s="1" t="s">
        <v>557</v>
      </c>
      <c r="BA208" s="1" t="s">
        <v>85</v>
      </c>
      <c r="BB208" s="1" t="s">
        <v>658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556</v>
      </c>
      <c r="BI208" s="1" t="s">
        <v>50</v>
      </c>
      <c r="BJ208" s="22" t="s">
        <v>427</v>
      </c>
      <c r="BK208" s="22" t="s">
        <v>475</v>
      </c>
      <c r="BL208" s="159" t="s">
        <v>337</v>
      </c>
      <c r="BM208" s="359" t="s">
        <v>344</v>
      </c>
      <c r="BN208" s="138" t="s">
        <v>317</v>
      </c>
      <c r="BO208" s="1"/>
      <c r="BP208" s="4"/>
      <c r="BQ208" s="1" t="s">
        <v>554</v>
      </c>
      <c r="BR208" s="1" t="s">
        <v>555</v>
      </c>
      <c r="BS208" s="1" t="s">
        <v>557</v>
      </c>
      <c r="BT208" s="1" t="s">
        <v>85</v>
      </c>
      <c r="BU208" s="1" t="s">
        <v>658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556</v>
      </c>
      <c r="CB208" s="1" t="s">
        <v>50</v>
      </c>
      <c r="CD208" s="22" t="s">
        <v>427</v>
      </c>
      <c r="CE208" s="22" t="s">
        <v>475</v>
      </c>
      <c r="CF208" s="190" t="s">
        <v>337</v>
      </c>
      <c r="CG208" s="359" t="s">
        <v>344</v>
      </c>
      <c r="CH208" s="138" t="s">
        <v>317</v>
      </c>
      <c r="CI208" s="1"/>
      <c r="CJ208" s="1"/>
      <c r="CK208" s="4"/>
      <c r="CL208" s="1" t="s">
        <v>554</v>
      </c>
      <c r="CM208" s="1" t="s">
        <v>555</v>
      </c>
      <c r="CN208" s="1" t="s">
        <v>557</v>
      </c>
      <c r="CO208" s="1" t="s">
        <v>85</v>
      </c>
      <c r="CP208" s="1" t="s">
        <v>658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556</v>
      </c>
      <c r="CW208" s="1" t="s">
        <v>50</v>
      </c>
    </row>
    <row r="209" spans="2:101" ht="18" x14ac:dyDescent="0.25">
      <c r="E209" s="348"/>
      <c r="F209" s="348"/>
      <c r="G209" s="348"/>
      <c r="H209" s="348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645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1" t="s">
        <v>48</v>
      </c>
      <c r="Y209" s="9" t="s">
        <v>48</v>
      </c>
      <c r="Z209" s="64" t="s">
        <v>89</v>
      </c>
      <c r="AA209" s="360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645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1" t="s">
        <v>48</v>
      </c>
      <c r="AR209" s="9" t="s">
        <v>48</v>
      </c>
      <c r="AS209" s="1" t="s">
        <v>89</v>
      </c>
      <c r="AT209" s="360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645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1" t="s">
        <v>48</v>
      </c>
      <c r="BK209" s="9" t="s">
        <v>48</v>
      </c>
      <c r="BL209" s="1" t="s">
        <v>89</v>
      </c>
      <c r="BM209" s="360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645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1" t="s">
        <v>48</v>
      </c>
      <c r="CE209" s="9" t="s">
        <v>48</v>
      </c>
      <c r="CF209" s="9" t="s">
        <v>89</v>
      </c>
      <c r="CG209" s="36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645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9" t="s">
        <v>423</v>
      </c>
      <c r="J210" s="62" t="str">
        <f>_xlfn.CONCAT("C"," ",mol_C_Coal_in," ","H"," ",mol_H_Coal," ","O",mol_O_Coal," ","N"," ",mol_N_Coal)</f>
        <v>C 1 H 1.70391812971423 O0.013246289308089 N 0.0011793437487309</v>
      </c>
      <c r="K210" s="62" t="e">
        <f>COG_needed+C_for_BF</f>
        <v>#REF!</v>
      </c>
      <c r="L210" s="62" t="e">
        <f t="shared" ref="L210:L216" si="74">K210/$AX$217</f>
        <v>#REF!</v>
      </c>
      <c r="M210" s="62" t="s">
        <v>386</v>
      </c>
      <c r="N210" s="62">
        <f>mol_C_Coal</f>
        <v>19253.410011228389</v>
      </c>
      <c r="O210" s="62">
        <f>NCV_dry_anthrocite</f>
        <v>30080</v>
      </c>
      <c r="P210" s="62" t="e">
        <f>AJ210</f>
        <v>#REF!</v>
      </c>
      <c r="Q210" s="62" t="e">
        <f t="shared" ref="Q210:Q216" si="75">N210/$BA$217</f>
        <v>#REF!</v>
      </c>
      <c r="R210" s="62" t="e">
        <f>LN(Q210)</f>
        <v>#REF!</v>
      </c>
      <c r="S210" s="62" t="e">
        <f t="shared" ref="S210:S216" si="76">RT0*R210</f>
        <v>#REF!</v>
      </c>
      <c r="T210" s="62" t="e">
        <f>S210+P210</f>
        <v>#REF!</v>
      </c>
      <c r="U210" s="62" t="e">
        <f>T210*Q210</f>
        <v>#REF!</v>
      </c>
      <c r="V210" s="62" t="e">
        <f t="shared" ref="V210:V216" si="77">U210*$BA$217</f>
        <v>#REF!</v>
      </c>
      <c r="W210" s="4"/>
      <c r="X210" s="104" t="e">
        <f>AP227</f>
        <v>#REF!</v>
      </c>
      <c r="Y210" s="99" t="e">
        <f>SUM(AC195,V206,V222,V236) - SUM(AP206,AP227)</f>
        <v>#REF!</v>
      </c>
      <c r="Z210" s="256" t="e">
        <f>AO206-U206</f>
        <v>#REF!</v>
      </c>
      <c r="AA210" s="139" t="s">
        <v>341</v>
      </c>
      <c r="AB210" s="103" t="e">
        <f>(($AH$210*($AO$210-U210))/AC195)</f>
        <v>#REF!</v>
      </c>
      <c r="AC210" s="209" t="s">
        <v>534</v>
      </c>
      <c r="AD210" s="62" t="str">
        <f>_xlfn.CONCAT("C"," ",mol_C_Coal_in," ","H"," ",mol_H_Coal," ","O",mol_O_Coal," ","N"," ",mol_N_Coal)</f>
        <v>C 1 H 1.70391812971423 O0.013246289308089 N 0.0011793437487309</v>
      </c>
      <c r="AE210" s="62" t="e">
        <f>COG_needed+C_for_BF</f>
        <v>#REF!</v>
      </c>
      <c r="AF210" s="62" t="e">
        <f t="shared" ref="AF210:AF216" si="78">AE210/$AX$217</f>
        <v>#REF!</v>
      </c>
      <c r="AG210" s="62" t="s">
        <v>386</v>
      </c>
      <c r="AH210" s="62">
        <f>mol_C_Coal</f>
        <v>19253.410011228389</v>
      </c>
      <c r="AI210" s="62">
        <f>NCV_dry_anthrocite</f>
        <v>30080</v>
      </c>
      <c r="AJ210" s="62" t="e">
        <f>BC210</f>
        <v>#REF!</v>
      </c>
      <c r="AK210" s="62" t="e">
        <f t="shared" ref="AK210:AK216" si="79">AH210/$BA$217</f>
        <v>#REF!</v>
      </c>
      <c r="AL210" s="62" t="e">
        <f>LN(AK210)</f>
        <v>#REF!</v>
      </c>
      <c r="AM210" s="62" t="e">
        <f t="shared" ref="AM210:AM216" si="80">RT0*AL210</f>
        <v>#REF!</v>
      </c>
      <c r="AN210" s="62" t="e">
        <f>AM210+AJ210</f>
        <v>#REF!</v>
      </c>
      <c r="AO210" s="62" t="e">
        <f>AN210*AK210</f>
        <v>#REF!</v>
      </c>
      <c r="AP210" s="62" t="e">
        <f t="shared" ref="AP210:AP216" si="81">AO210*$BA$217</f>
        <v>#REF!</v>
      </c>
      <c r="AQ210" s="104">
        <f>0</f>
        <v>0</v>
      </c>
      <c r="AR210" s="99" t="e">
        <f>AP206+AU190-BI206</f>
        <v>#REF!</v>
      </c>
      <c r="AS210" s="141" t="e">
        <f>BH206-AO206</f>
        <v>#REF!</v>
      </c>
      <c r="AT210" s="139" t="s">
        <v>341</v>
      </c>
      <c r="AU210" s="136" t="e">
        <f>((BA210*(BH210-AO210))/AU190)</f>
        <v>#REF!</v>
      </c>
      <c r="AV210" s="209" t="s">
        <v>538</v>
      </c>
      <c r="AW210" s="198" t="str">
        <f>_xlfn.CONCAT("C"," ",mol_C_Coal_in," ","H"," ",mol_H_Coal," ","O",mol_O_Coal," ","N"," ",mol_N_Coal)</f>
        <v>C 1 H 1.70391812971423 O0.013246289308089 N 0.0011793437487309</v>
      </c>
      <c r="AX210" s="62" t="e">
        <f>COG_needed+C_for_BF</f>
        <v>#REF!</v>
      </c>
      <c r="AY210" s="62" t="e">
        <f t="shared" ref="AY210:AY216" si="82">AX210/$AX$217</f>
        <v>#REF!</v>
      </c>
      <c r="AZ210" s="62" t="s">
        <v>386</v>
      </c>
      <c r="BA210" s="62">
        <f>mol_C_Coal</f>
        <v>19253.410011228389</v>
      </c>
      <c r="BB210" s="62">
        <f>NCV_dry_anthrocite</f>
        <v>30080</v>
      </c>
      <c r="BC210" s="62" t="e">
        <f>BV210</f>
        <v>#REF!</v>
      </c>
      <c r="BD210" s="62" t="e">
        <f t="shared" ref="BD210:BD216" si="83">BA210/$BA$217</f>
        <v>#REF!</v>
      </c>
      <c r="BE210" s="62" t="e">
        <f>LN(BD210)</f>
        <v>#REF!</v>
      </c>
      <c r="BF210" s="62" t="e">
        <f t="shared" ref="BF210:BF216" si="84">RT0*BE210</f>
        <v>#REF!</v>
      </c>
      <c r="BG210" s="62" t="e">
        <f>BF210+BC210</f>
        <v>#REF!</v>
      </c>
      <c r="BH210" s="62" t="e">
        <f>BG210*BD210</f>
        <v>#REF!</v>
      </c>
      <c r="BI210" s="62" t="e">
        <f t="shared" ref="BI210:BI216" si="85">BH210*$BA$217</f>
        <v>#REF!</v>
      </c>
      <c r="BJ210" s="104" t="str">
        <f>CF217</f>
        <v>[mol j]</v>
      </c>
      <c r="BK210" s="99" t="e">
        <f>(BM195+BI206)-CB206</f>
        <v>#REF!</v>
      </c>
      <c r="BL210" s="141" t="e">
        <f>CA206-BH206</f>
        <v>#REF!</v>
      </c>
      <c r="BM210" s="139" t="s">
        <v>341</v>
      </c>
      <c r="BN210" s="136" t="e">
        <f>((BT210*(CA210-BH210))/BM195)</f>
        <v>#REF!</v>
      </c>
      <c r="BO210" s="209" t="s">
        <v>482</v>
      </c>
      <c r="BP210" s="198" t="str">
        <f>_xlfn.CONCAT("C"," ",mol_C_Coal_in," ","H"," ",mol_H_Coal," ","O",mol_O_Coal," ","N"," ",mol_N_Coal)</f>
        <v>C 1 H 1.70391812971423 O0.013246289308089 N 0.0011793437487309</v>
      </c>
      <c r="BQ210" s="62" t="e">
        <f>COG_needed+C_for_BF</f>
        <v>#REF!</v>
      </c>
      <c r="BR210" s="62" t="e">
        <f>BQ210/$BQ$217</f>
        <v>#REF!</v>
      </c>
      <c r="BS210" s="62" t="s">
        <v>386</v>
      </c>
      <c r="BT210" s="62">
        <f>mol_C_Coal</f>
        <v>19253.410011228389</v>
      </c>
      <c r="BU210" s="62">
        <f>NCV_dry_anthrocite</f>
        <v>30080</v>
      </c>
      <c r="BV210" s="62" t="e">
        <f>(b_ch_coal*BQ210)/BT210</f>
        <v>#REF!</v>
      </c>
      <c r="BW210" s="62" t="e">
        <f t="shared" ref="BW210:BW216" si="86">BT210/$BT$217</f>
        <v>#REF!</v>
      </c>
      <c r="BX210" s="62" t="e">
        <f>LN(BW210)</f>
        <v>#REF!</v>
      </c>
      <c r="BY210" s="62" t="e">
        <f t="shared" ref="BY210:BY216" si="87">RT0*BX210</f>
        <v>#REF!</v>
      </c>
      <c r="BZ210" s="62" t="e">
        <f>BY210+BV210</f>
        <v>#REF!</v>
      </c>
      <c r="CA210" s="62" t="e">
        <f>BZ210*BW210</f>
        <v>#REF!</v>
      </c>
      <c r="CB210" s="62" t="e">
        <f>CA210*$BT$217</f>
        <v>#REF!</v>
      </c>
      <c r="CD210" s="104" t="e">
        <f>SUM(CB206,CB225,CB242,CB254) - SUM(CW250,CW233,CW217,CW206)</f>
        <v>#REF!</v>
      </c>
      <c r="CE210" s="99" t="e">
        <f>SUM(CB254,CB206,CB225,CB242) - SUM(CW206,CW217,CW233,CW250)</f>
        <v>#REF!</v>
      </c>
      <c r="CF210" s="192" t="e">
        <f>ROUND(CV206+CV217+CV233+CV250-CA206-CA225-CA242-CA254, 10)</f>
        <v>#REF!</v>
      </c>
      <c r="CG210" s="139" t="s">
        <v>341</v>
      </c>
      <c r="CH210" s="136" t="s">
        <v>98</v>
      </c>
      <c r="CI210" s="4"/>
      <c r="CJ210" s="254" t="s">
        <v>628</v>
      </c>
      <c r="CK210" s="95" t="s">
        <v>18</v>
      </c>
      <c r="CL210" s="168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76" t="s">
        <v>536</v>
      </c>
      <c r="J211" s="62" t="s">
        <v>307</v>
      </c>
      <c r="K211" s="62" t="e">
        <f t="shared" ref="K211:K216" si="88">AE211</f>
        <v>#REF!</v>
      </c>
      <c r="L211" s="62" t="e">
        <f t="shared" si="74"/>
        <v>#REF!</v>
      </c>
      <c r="M211" s="62">
        <f>MW_Al2O3</f>
        <v>0.10196127799999999</v>
      </c>
      <c r="N211" s="62" t="e">
        <f t="shared" ref="N211:N216" si="89">K211/M211</f>
        <v>#REF!</v>
      </c>
      <c r="O211" s="62">
        <f>h_Al2O3</f>
        <v>-16434.670424590011</v>
      </c>
      <c r="P211" s="62">
        <f>b_ch_Al2O3</f>
        <v>31.875999999999976</v>
      </c>
      <c r="Q211" s="62" t="e">
        <f t="shared" si="75"/>
        <v>#REF!</v>
      </c>
      <c r="R211" s="62" t="e">
        <f t="shared" ref="R211:R216" si="90">LN(Q211)</f>
        <v>#REF!</v>
      </c>
      <c r="S211" s="62" t="e">
        <f t="shared" si="76"/>
        <v>#REF!</v>
      </c>
      <c r="T211" s="62" t="e">
        <f t="shared" ref="T211:T216" si="91">S211+P211</f>
        <v>#REF!</v>
      </c>
      <c r="U211" s="62" t="e">
        <f t="shared" ref="U211:U216" si="92">T211*Q211</f>
        <v>#REF!</v>
      </c>
      <c r="V211" s="62" t="e">
        <f t="shared" si="77"/>
        <v>#REF!</v>
      </c>
      <c r="W211" s="4"/>
      <c r="X211" s="4"/>
      <c r="Y211" s="4"/>
      <c r="Z211" s="4"/>
      <c r="AA211" s="139" t="s">
        <v>632</v>
      </c>
      <c r="AB211" s="103" t="e">
        <f>(AP206+AP227)/($AC$195+V206+V222+V236)</f>
        <v>#REF!</v>
      </c>
      <c r="AC211" s="376" t="s">
        <v>535</v>
      </c>
      <c r="AD211" s="62" t="s">
        <v>307</v>
      </c>
      <c r="AE211" s="62" t="e">
        <f t="shared" ref="AE211:AE216" si="93">AX211</f>
        <v>#REF!</v>
      </c>
      <c r="AF211" s="62" t="e">
        <f t="shared" si="78"/>
        <v>#REF!</v>
      </c>
      <c r="AG211" s="62">
        <f>MW_Al2O3</f>
        <v>0.10196127799999999</v>
      </c>
      <c r="AH211" s="62" t="e">
        <f t="shared" ref="AH211:AH216" si="94">AE211/AG211</f>
        <v>#REF!</v>
      </c>
      <c r="AI211" s="62">
        <f>h_Al2O3</f>
        <v>-16434.670424590011</v>
      </c>
      <c r="AJ211" s="62">
        <f>b_ch_Al2O3</f>
        <v>31.875999999999976</v>
      </c>
      <c r="AK211" s="62" t="e">
        <f t="shared" si="79"/>
        <v>#REF!</v>
      </c>
      <c r="AL211" s="62" t="e">
        <f t="shared" ref="AL211:AL216" si="95">LN(AK211)</f>
        <v>#REF!</v>
      </c>
      <c r="AM211" s="62" t="e">
        <f t="shared" si="80"/>
        <v>#REF!</v>
      </c>
      <c r="AN211" s="62" t="e">
        <f t="shared" ref="AN211:AN216" si="96">AM211+AJ211</f>
        <v>#REF!</v>
      </c>
      <c r="AO211" s="62" t="e">
        <f t="shared" ref="AO211:AO216" si="97">AN211*AK211</f>
        <v>#REF!</v>
      </c>
      <c r="AP211" s="62" t="e">
        <f t="shared" si="81"/>
        <v>#REF!</v>
      </c>
      <c r="AQ211" s="4"/>
      <c r="AR211" s="4"/>
      <c r="AT211" s="139" t="s">
        <v>632</v>
      </c>
      <c r="AU211" s="136" t="e">
        <f>BI206/(AP206+AU190)</f>
        <v>#REF!</v>
      </c>
      <c r="AV211" s="376" t="s">
        <v>533</v>
      </c>
      <c r="AW211" s="62" t="s">
        <v>307</v>
      </c>
      <c r="AX211" s="62" t="e">
        <f>CL221</f>
        <v>#REF!</v>
      </c>
      <c r="AY211" s="62" t="e">
        <f t="shared" si="82"/>
        <v>#REF!</v>
      </c>
      <c r="AZ211" s="62">
        <f>MW_Al2O3</f>
        <v>0.10196127799999999</v>
      </c>
      <c r="BA211" s="62" t="e">
        <f t="shared" ref="BA211:BA216" si="98">AX211/AZ211</f>
        <v>#REF!</v>
      </c>
      <c r="BB211" s="62">
        <f>h_Al2O3</f>
        <v>-16434.670424590011</v>
      </c>
      <c r="BC211" s="62">
        <f>b_ch_Al2O3</f>
        <v>31.875999999999976</v>
      </c>
      <c r="BD211" s="62" t="e">
        <f t="shared" si="83"/>
        <v>#REF!</v>
      </c>
      <c r="BE211" s="62" t="e">
        <f t="shared" ref="BE211:BE216" si="99">LN(BD211)</f>
        <v>#REF!</v>
      </c>
      <c r="BF211" s="62" t="e">
        <f t="shared" si="84"/>
        <v>#REF!</v>
      </c>
      <c r="BG211" s="62" t="e">
        <f t="shared" ref="BG211:BG216" si="100">BF211+BC211</f>
        <v>#REF!</v>
      </c>
      <c r="BH211" s="62" t="e">
        <f t="shared" ref="BH211:BH216" si="101">BG211*BD211</f>
        <v>#REF!</v>
      </c>
      <c r="BI211" s="62" t="e">
        <f t="shared" si="85"/>
        <v>#REF!</v>
      </c>
      <c r="BJ211" s="4"/>
      <c r="BK211" s="4"/>
      <c r="BM211" s="139" t="s">
        <v>632</v>
      </c>
      <c r="BN211" s="136" t="e">
        <f>CB206/(BM195+BI206)</f>
        <v>#REF!</v>
      </c>
      <c r="BO211" s="376" t="s">
        <v>532</v>
      </c>
      <c r="BP211" s="62" t="s">
        <v>307</v>
      </c>
      <c r="BQ211" s="62" t="e">
        <f t="shared" ref="BQ211:BQ216" si="102">AX211</f>
        <v>#REF!</v>
      </c>
      <c r="BR211" s="62" t="e">
        <f t="shared" ref="BR211:BR216" si="103">BQ211/$BQ$217</f>
        <v>#REF!</v>
      </c>
      <c r="BS211" s="62">
        <f>MW_Al2O3</f>
        <v>0.10196127799999999</v>
      </c>
      <c r="BT211" s="62" t="e">
        <f t="shared" ref="BT211:BT216" si="104">BQ211/BS211</f>
        <v>#REF!</v>
      </c>
      <c r="BU211" s="62">
        <f>h_Al2O3</f>
        <v>-16434.670424590011</v>
      </c>
      <c r="BV211" s="62">
        <f>b_ch_Al2O3</f>
        <v>31.875999999999976</v>
      </c>
      <c r="BW211" s="62" t="e">
        <f t="shared" si="86"/>
        <v>#REF!</v>
      </c>
      <c r="BX211" s="62" t="e">
        <f t="shared" ref="BX211:BX216" si="105">LN(BW211)</f>
        <v>#REF!</v>
      </c>
      <c r="BY211" s="62" t="e">
        <f t="shared" si="87"/>
        <v>#REF!</v>
      </c>
      <c r="BZ211" s="62" t="e">
        <f t="shared" ref="BZ211:BZ216" si="106">BY211+BV211</f>
        <v>#REF!</v>
      </c>
      <c r="CA211" s="62" t="e">
        <f t="shared" ref="CA211:CA216" si="107">BZ211*BW211</f>
        <v>#REF!</v>
      </c>
      <c r="CB211" s="62" t="e">
        <f>CA211*$BT$217</f>
        <v>#REF!</v>
      </c>
      <c r="CD211" s="4"/>
      <c r="CE211" s="4"/>
      <c r="CG211" s="139" t="s">
        <v>632</v>
      </c>
      <c r="CH211" s="136" t="e">
        <f>(CW217+CW206+CW233+CW250)/(CB254+CB206+CB225+CB242)</f>
        <v>#REF!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76"/>
      <c r="J212" s="4" t="s">
        <v>123</v>
      </c>
      <c r="K212" s="4" t="e">
        <f t="shared" si="88"/>
        <v>#REF!</v>
      </c>
      <c r="L212" s="4" t="e">
        <f t="shared" si="74"/>
        <v>#REF!</v>
      </c>
      <c r="M212" s="4">
        <f>MW_CaO</f>
        <v>5.6077400000000006E-2</v>
      </c>
      <c r="N212" s="4" t="e">
        <f t="shared" si="89"/>
        <v>#REF!</v>
      </c>
      <c r="O212" s="4">
        <f>h_CaO</f>
        <v>-11321.85158370395</v>
      </c>
      <c r="P212" s="4">
        <f>b_ch_CaO</f>
        <v>122.25799999999992</v>
      </c>
      <c r="Q212" s="4" t="e">
        <f t="shared" si="75"/>
        <v>#REF!</v>
      </c>
      <c r="R212" s="4" t="e">
        <f t="shared" si="90"/>
        <v>#REF!</v>
      </c>
      <c r="S212" s="4" t="e">
        <f t="shared" si="76"/>
        <v>#REF!</v>
      </c>
      <c r="T212" s="4" t="e">
        <f t="shared" si="91"/>
        <v>#REF!</v>
      </c>
      <c r="U212" s="4" t="e">
        <f t="shared" si="92"/>
        <v>#REF!</v>
      </c>
      <c r="V212" s="4" t="e">
        <f t="shared" si="77"/>
        <v>#REF!</v>
      </c>
      <c r="W212" s="4"/>
      <c r="X212" s="4"/>
      <c r="Y212" s="4"/>
      <c r="Z212" s="4"/>
      <c r="AA212" s="140" t="s">
        <v>404</v>
      </c>
      <c r="AB212" s="99" t="e">
        <f>$AP$210/($AC$195+V206+V222+V236)</f>
        <v>#REF!</v>
      </c>
      <c r="AC212" s="376"/>
      <c r="AD212" s="4" t="s">
        <v>123</v>
      </c>
      <c r="AE212" s="4" t="e">
        <f t="shared" si="93"/>
        <v>#REF!</v>
      </c>
      <c r="AF212" s="4" t="e">
        <f t="shared" si="78"/>
        <v>#REF!</v>
      </c>
      <c r="AG212" s="4">
        <f>MW_CaO</f>
        <v>5.6077400000000006E-2</v>
      </c>
      <c r="AH212" s="4" t="e">
        <f t="shared" si="94"/>
        <v>#REF!</v>
      </c>
      <c r="AI212" s="4">
        <f>h_CaO</f>
        <v>-11321.85158370395</v>
      </c>
      <c r="AJ212" s="4">
        <f>b_ch_CaO</f>
        <v>122.25799999999992</v>
      </c>
      <c r="AK212" s="4" t="e">
        <f t="shared" si="79"/>
        <v>#REF!</v>
      </c>
      <c r="AL212" s="4" t="e">
        <f t="shared" si="95"/>
        <v>#REF!</v>
      </c>
      <c r="AM212" s="4" t="e">
        <f t="shared" si="80"/>
        <v>#REF!</v>
      </c>
      <c r="AN212" s="4" t="e">
        <f t="shared" si="96"/>
        <v>#REF!</v>
      </c>
      <c r="AO212" s="4" t="e">
        <f t="shared" si="97"/>
        <v>#REF!</v>
      </c>
      <c r="AP212" s="4" t="e">
        <f t="shared" si="81"/>
        <v>#REF!</v>
      </c>
      <c r="AQ212" s="4"/>
      <c r="AR212" s="4"/>
      <c r="AT212" s="140" t="s">
        <v>404</v>
      </c>
      <c r="AU212" s="137" t="e">
        <f>BI210/(AP206+AU190)</f>
        <v>#REF!</v>
      </c>
      <c r="AV212" s="376"/>
      <c r="AW212" s="4" t="s">
        <v>123</v>
      </c>
      <c r="AX212" s="4" t="e">
        <f t="shared" ref="AX212:AX216" si="108">CL222</f>
        <v>#REF!</v>
      </c>
      <c r="AY212" s="4" t="e">
        <f t="shared" si="82"/>
        <v>#REF!</v>
      </c>
      <c r="AZ212" s="4">
        <f>MW_CaO</f>
        <v>5.6077400000000006E-2</v>
      </c>
      <c r="BA212" s="4" t="e">
        <f t="shared" si="98"/>
        <v>#REF!</v>
      </c>
      <c r="BB212" s="4">
        <f>h_CaO</f>
        <v>-11321.85158370395</v>
      </c>
      <c r="BC212" s="4">
        <f>b_ch_CaO</f>
        <v>122.25799999999992</v>
      </c>
      <c r="BD212" s="4" t="e">
        <f t="shared" si="83"/>
        <v>#REF!</v>
      </c>
      <c r="BE212" s="4" t="e">
        <f t="shared" si="99"/>
        <v>#REF!</v>
      </c>
      <c r="BF212" s="4" t="e">
        <f t="shared" si="84"/>
        <v>#REF!</v>
      </c>
      <c r="BG212" s="4" t="e">
        <f t="shared" si="100"/>
        <v>#REF!</v>
      </c>
      <c r="BH212" s="4" t="e">
        <f t="shared" si="101"/>
        <v>#REF!</v>
      </c>
      <c r="BI212" s="4" t="e">
        <f t="shared" si="85"/>
        <v>#REF!</v>
      </c>
      <c r="BJ212" s="4"/>
      <c r="BK212" s="4"/>
      <c r="BM212" s="140" t="s">
        <v>404</v>
      </c>
      <c r="BN212" s="137" t="e">
        <f>CB210/(BM195+BI206)</f>
        <v>#REF!</v>
      </c>
      <c r="BO212" s="376"/>
      <c r="BP212" s="4" t="s">
        <v>123</v>
      </c>
      <c r="BQ212" s="4" t="e">
        <f t="shared" si="102"/>
        <v>#REF!</v>
      </c>
      <c r="BR212" s="4" t="e">
        <f t="shared" si="103"/>
        <v>#REF!</v>
      </c>
      <c r="BS212" s="4">
        <f>MW_CaO</f>
        <v>5.6077400000000006E-2</v>
      </c>
      <c r="BT212" s="4" t="e">
        <f t="shared" si="104"/>
        <v>#REF!</v>
      </c>
      <c r="BU212" s="4">
        <f>h_CaO</f>
        <v>-11321.85158370395</v>
      </c>
      <c r="BV212" s="4">
        <f>b_ch_CaO</f>
        <v>122.25799999999992</v>
      </c>
      <c r="BW212" s="4" t="e">
        <f t="shared" si="86"/>
        <v>#REF!</v>
      </c>
      <c r="BX212" s="4" t="e">
        <f t="shared" si="105"/>
        <v>#REF!</v>
      </c>
      <c r="BY212" s="4" t="e">
        <f t="shared" si="87"/>
        <v>#REF!</v>
      </c>
      <c r="BZ212" s="4" t="e">
        <f t="shared" si="106"/>
        <v>#REF!</v>
      </c>
      <c r="CA212" s="4" t="e">
        <f t="shared" si="107"/>
        <v>#REF!</v>
      </c>
      <c r="CB212" s="4" t="e">
        <f t="shared" ref="CB212:CB216" si="109">CA212*$BT$217</f>
        <v>#REF!</v>
      </c>
      <c r="CD212" s="4"/>
      <c r="CE212" s="4"/>
      <c r="CG212" s="140" t="s">
        <v>404</v>
      </c>
      <c r="CH212" s="137" t="e">
        <f>CW206/(CB254+CB206+CB225+CB242)</f>
        <v>#REF!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659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6"/>
      <c r="J213" s="4" t="s">
        <v>179</v>
      </c>
      <c r="K213" s="4" t="e">
        <f t="shared" si="88"/>
        <v>#REF!</v>
      </c>
      <c r="L213" s="4" t="e">
        <f t="shared" si="74"/>
        <v>#REF!</v>
      </c>
      <c r="M213" s="4">
        <f>MW_MgO</f>
        <v>4.0304400000000004E-2</v>
      </c>
      <c r="N213" s="4" t="e">
        <f t="shared" si="89"/>
        <v>#REF!</v>
      </c>
      <c r="O213" s="4">
        <f>h_MgO</f>
        <v>-14926.410019749705</v>
      </c>
      <c r="P213" s="4">
        <f>b_ch_MgO</f>
        <v>62.576000000000022</v>
      </c>
      <c r="Q213" s="4" t="e">
        <f t="shared" si="75"/>
        <v>#REF!</v>
      </c>
      <c r="R213" s="4" t="e">
        <f t="shared" si="90"/>
        <v>#REF!</v>
      </c>
      <c r="S213" s="4" t="e">
        <f t="shared" si="76"/>
        <v>#REF!</v>
      </c>
      <c r="T213" s="4" t="e">
        <f t="shared" si="91"/>
        <v>#REF!</v>
      </c>
      <c r="U213" s="4" t="e">
        <f t="shared" si="92"/>
        <v>#REF!</v>
      </c>
      <c r="V213" s="4" t="e">
        <f t="shared" si="77"/>
        <v>#REF!</v>
      </c>
      <c r="W213" s="4"/>
      <c r="X213" s="4"/>
      <c r="Y213" s="4"/>
      <c r="Z213" s="4"/>
      <c r="AA213" s="4"/>
      <c r="AB213" s="4"/>
      <c r="AC213" s="376"/>
      <c r="AD213" s="4" t="s">
        <v>179</v>
      </c>
      <c r="AE213" s="4" t="e">
        <f t="shared" si="93"/>
        <v>#REF!</v>
      </c>
      <c r="AF213" s="4" t="e">
        <f t="shared" si="78"/>
        <v>#REF!</v>
      </c>
      <c r="AG213" s="4">
        <f>MW_MgO</f>
        <v>4.0304400000000004E-2</v>
      </c>
      <c r="AH213" s="4" t="e">
        <f t="shared" si="94"/>
        <v>#REF!</v>
      </c>
      <c r="AI213" s="4">
        <f>h_MgO</f>
        <v>-14926.410019749705</v>
      </c>
      <c r="AJ213" s="4">
        <f>b_ch_MgO</f>
        <v>62.576000000000022</v>
      </c>
      <c r="AK213" s="4" t="e">
        <f t="shared" si="79"/>
        <v>#REF!</v>
      </c>
      <c r="AL213" s="4" t="e">
        <f t="shared" si="95"/>
        <v>#REF!</v>
      </c>
      <c r="AM213" s="4" t="e">
        <f t="shared" si="80"/>
        <v>#REF!</v>
      </c>
      <c r="AN213" s="4" t="e">
        <f t="shared" si="96"/>
        <v>#REF!</v>
      </c>
      <c r="AO213" s="4" t="e">
        <f t="shared" si="97"/>
        <v>#REF!</v>
      </c>
      <c r="AP213" s="4" t="e">
        <f t="shared" si="81"/>
        <v>#REF!</v>
      </c>
      <c r="AQ213" s="4"/>
      <c r="AR213" s="4"/>
      <c r="AT213" s="4"/>
      <c r="AU213" s="4"/>
      <c r="AV213" s="376"/>
      <c r="AW213" s="4" t="s">
        <v>179</v>
      </c>
      <c r="AX213" s="4" t="e">
        <f t="shared" si="108"/>
        <v>#REF!</v>
      </c>
      <c r="AY213" s="4" t="e">
        <f t="shared" si="82"/>
        <v>#REF!</v>
      </c>
      <c r="AZ213" s="4">
        <f>MW_MgO</f>
        <v>4.0304400000000004E-2</v>
      </c>
      <c r="BA213" s="4" t="e">
        <f t="shared" si="98"/>
        <v>#REF!</v>
      </c>
      <c r="BB213" s="4">
        <f>h_MgO</f>
        <v>-14926.410019749705</v>
      </c>
      <c r="BC213" s="4">
        <f>b_ch_MgO</f>
        <v>62.576000000000022</v>
      </c>
      <c r="BD213" s="4" t="e">
        <f t="shared" si="83"/>
        <v>#REF!</v>
      </c>
      <c r="BE213" s="4" t="e">
        <f t="shared" si="99"/>
        <v>#REF!</v>
      </c>
      <c r="BF213" s="4" t="e">
        <f t="shared" si="84"/>
        <v>#REF!</v>
      </c>
      <c r="BG213" s="4" t="e">
        <f t="shared" si="100"/>
        <v>#REF!</v>
      </c>
      <c r="BH213" s="4" t="e">
        <f t="shared" si="101"/>
        <v>#REF!</v>
      </c>
      <c r="BI213" s="4" t="e">
        <f t="shared" si="85"/>
        <v>#REF!</v>
      </c>
      <c r="BJ213" s="4"/>
      <c r="BK213" s="4"/>
      <c r="BL213" s="4"/>
      <c r="BM213" s="4"/>
      <c r="BN213" s="4"/>
      <c r="BO213" s="376"/>
      <c r="BP213" s="4" t="s">
        <v>179</v>
      </c>
      <c r="BQ213" s="4" t="e">
        <f t="shared" si="102"/>
        <v>#REF!</v>
      </c>
      <c r="BR213" s="4" t="e">
        <f t="shared" si="103"/>
        <v>#REF!</v>
      </c>
      <c r="BS213" s="4">
        <f>MW_MgO</f>
        <v>4.0304400000000004E-2</v>
      </c>
      <c r="BT213" s="4" t="e">
        <f t="shared" si="104"/>
        <v>#REF!</v>
      </c>
      <c r="BU213" s="4">
        <f>h_MgO</f>
        <v>-14926.410019749705</v>
      </c>
      <c r="BV213" s="4">
        <f>b_ch_MgO</f>
        <v>62.576000000000022</v>
      </c>
      <c r="BW213" s="4" t="e">
        <f t="shared" si="86"/>
        <v>#REF!</v>
      </c>
      <c r="BX213" s="4" t="e">
        <f t="shared" si="105"/>
        <v>#REF!</v>
      </c>
      <c r="BY213" s="4" t="e">
        <f t="shared" si="87"/>
        <v>#REF!</v>
      </c>
      <c r="BZ213" s="4" t="e">
        <f t="shared" si="106"/>
        <v>#REF!</v>
      </c>
      <c r="CA213" s="4" t="e">
        <f t="shared" si="107"/>
        <v>#REF!</v>
      </c>
      <c r="CB213" s="4" t="e">
        <f t="shared" si="109"/>
        <v>#REF!</v>
      </c>
      <c r="CC213" s="4"/>
      <c r="CD213" s="4"/>
      <c r="CU213" s="4"/>
      <c r="CV213" s="4"/>
    </row>
    <row r="214" spans="2:101" ht="19" thickBot="1" x14ac:dyDescent="0.3">
      <c r="I214" s="376"/>
      <c r="J214" s="4" t="s">
        <v>308</v>
      </c>
      <c r="K214" s="4" t="e">
        <f t="shared" si="88"/>
        <v>#REF!</v>
      </c>
      <c r="L214" s="4" t="e">
        <f t="shared" si="74"/>
        <v>#REF!</v>
      </c>
      <c r="M214" s="4">
        <f>MW_Na2O</f>
        <v>6.1978936000000005E-2</v>
      </c>
      <c r="N214" s="4" t="e">
        <f t="shared" si="89"/>
        <v>#REF!</v>
      </c>
      <c r="O214" s="4">
        <f>h_Na2O</f>
        <v>-6682.9156279804474</v>
      </c>
      <c r="P214" s="4">
        <f>b_ch_Na2O</f>
        <v>298.64000000000004</v>
      </c>
      <c r="Q214" s="4" t="e">
        <f t="shared" si="75"/>
        <v>#REF!</v>
      </c>
      <c r="R214" s="4" t="e">
        <f t="shared" si="90"/>
        <v>#REF!</v>
      </c>
      <c r="S214" s="4" t="e">
        <f t="shared" si="76"/>
        <v>#REF!</v>
      </c>
      <c r="T214" s="4" t="e">
        <f t="shared" si="91"/>
        <v>#REF!</v>
      </c>
      <c r="U214" s="4" t="e">
        <f t="shared" si="92"/>
        <v>#REF!</v>
      </c>
      <c r="V214" s="4" t="e">
        <f t="shared" si="77"/>
        <v>#REF!</v>
      </c>
      <c r="W214" s="4"/>
      <c r="X214" s="4" t="s">
        <v>378</v>
      </c>
      <c r="Y214" s="1" t="s">
        <v>131</v>
      </c>
      <c r="Z214" s="1" t="s">
        <v>282</v>
      </c>
      <c r="AA214" s="1" t="s">
        <v>282</v>
      </c>
      <c r="AB214" s="4"/>
      <c r="AC214" s="376"/>
      <c r="AD214" s="4" t="s">
        <v>308</v>
      </c>
      <c r="AE214" s="4" t="e">
        <f t="shared" si="93"/>
        <v>#REF!</v>
      </c>
      <c r="AF214" s="4" t="e">
        <f t="shared" si="78"/>
        <v>#REF!</v>
      </c>
      <c r="AG214" s="4">
        <f>MW_Na2O</f>
        <v>6.1978936000000005E-2</v>
      </c>
      <c r="AH214" s="4" t="e">
        <f t="shared" si="94"/>
        <v>#REF!</v>
      </c>
      <c r="AI214" s="4">
        <f>h_Na2O</f>
        <v>-6682.9156279804474</v>
      </c>
      <c r="AJ214" s="4">
        <f>b_ch_Na2O</f>
        <v>298.64000000000004</v>
      </c>
      <c r="AK214" s="4" t="e">
        <f t="shared" si="79"/>
        <v>#REF!</v>
      </c>
      <c r="AL214" s="4" t="e">
        <f t="shared" si="95"/>
        <v>#REF!</v>
      </c>
      <c r="AM214" s="4" t="e">
        <f t="shared" si="80"/>
        <v>#REF!</v>
      </c>
      <c r="AN214" s="4" t="e">
        <f t="shared" si="96"/>
        <v>#REF!</v>
      </c>
      <c r="AO214" s="4" t="e">
        <f t="shared" si="97"/>
        <v>#REF!</v>
      </c>
      <c r="AP214" s="4" t="e">
        <f t="shared" si="81"/>
        <v>#REF!</v>
      </c>
      <c r="AQ214" s="4"/>
      <c r="AR214" s="4"/>
      <c r="AS214" s="4"/>
      <c r="AT214" s="4"/>
      <c r="AU214" s="4"/>
      <c r="AV214" s="376"/>
      <c r="AW214" s="4" t="s">
        <v>308</v>
      </c>
      <c r="AX214" s="4" t="e">
        <f t="shared" si="108"/>
        <v>#REF!</v>
      </c>
      <c r="AY214" s="4" t="e">
        <f t="shared" si="82"/>
        <v>#REF!</v>
      </c>
      <c r="AZ214" s="4">
        <f>MW_Na2O</f>
        <v>6.1978936000000005E-2</v>
      </c>
      <c r="BA214" s="4" t="e">
        <f t="shared" si="98"/>
        <v>#REF!</v>
      </c>
      <c r="BB214" s="4">
        <f>h_Na2O</f>
        <v>-6682.9156279804474</v>
      </c>
      <c r="BC214" s="4">
        <f>b_ch_Na2O</f>
        <v>298.64000000000004</v>
      </c>
      <c r="BD214" s="4" t="e">
        <f t="shared" si="83"/>
        <v>#REF!</v>
      </c>
      <c r="BE214" s="4" t="e">
        <f t="shared" si="99"/>
        <v>#REF!</v>
      </c>
      <c r="BF214" s="4" t="e">
        <f t="shared" si="84"/>
        <v>#REF!</v>
      </c>
      <c r="BG214" s="4" t="e">
        <f t="shared" si="100"/>
        <v>#REF!</v>
      </c>
      <c r="BH214" s="4" t="e">
        <f t="shared" si="101"/>
        <v>#REF!</v>
      </c>
      <c r="BI214" s="4" t="e">
        <f t="shared" si="85"/>
        <v>#REF!</v>
      </c>
      <c r="BJ214" s="4"/>
      <c r="BK214" s="4"/>
      <c r="BL214" s="4"/>
      <c r="BM214" s="4"/>
      <c r="BN214" s="4"/>
      <c r="BO214" s="376"/>
      <c r="BP214" s="4" t="s">
        <v>308</v>
      </c>
      <c r="BQ214" s="4" t="e">
        <f t="shared" si="102"/>
        <v>#REF!</v>
      </c>
      <c r="BR214" s="4" t="e">
        <f t="shared" si="103"/>
        <v>#REF!</v>
      </c>
      <c r="BS214" s="4">
        <f>MW_Na2O</f>
        <v>6.1978936000000005E-2</v>
      </c>
      <c r="BT214" s="4" t="e">
        <f t="shared" si="104"/>
        <v>#REF!</v>
      </c>
      <c r="BU214" s="4">
        <f>h_Na2O</f>
        <v>-6682.9156279804474</v>
      </c>
      <c r="BV214" s="4">
        <f>b_ch_Na2O</f>
        <v>298.64000000000004</v>
      </c>
      <c r="BW214" s="4" t="e">
        <f t="shared" si="86"/>
        <v>#REF!</v>
      </c>
      <c r="BX214" s="4" t="e">
        <f t="shared" si="105"/>
        <v>#REF!</v>
      </c>
      <c r="BY214" s="4" t="e">
        <f t="shared" si="87"/>
        <v>#REF!</v>
      </c>
      <c r="BZ214" s="4" t="e">
        <f t="shared" si="106"/>
        <v>#REF!</v>
      </c>
      <c r="CA214" s="4" t="e">
        <f t="shared" si="107"/>
        <v>#REF!</v>
      </c>
      <c r="CB214" s="4" t="e">
        <f t="shared" si="109"/>
        <v>#REF!</v>
      </c>
      <c r="CC214" s="4"/>
      <c r="CD214" s="4"/>
      <c r="CU214" s="4"/>
      <c r="CV214" s="4"/>
    </row>
    <row r="215" spans="2:101" ht="18" x14ac:dyDescent="0.25">
      <c r="I215" s="376"/>
      <c r="J215" s="1" t="s">
        <v>15</v>
      </c>
      <c r="K215" s="4" t="e">
        <f t="shared" si="88"/>
        <v>#REF!</v>
      </c>
      <c r="L215" s="4" t="e">
        <f t="shared" si="74"/>
        <v>#REF!</v>
      </c>
      <c r="M215" s="4">
        <f>MW_Fe2O3</f>
        <v>0.1596882</v>
      </c>
      <c r="N215" s="4" t="e">
        <f t="shared" si="89"/>
        <v>#REF!</v>
      </c>
      <c r="O215" s="4">
        <f>h_Fe2O3</f>
        <v>-5161.3080991582347</v>
      </c>
      <c r="P215" s="4">
        <f>b_ch_Fe2O3</f>
        <v>17.358400000000074</v>
      </c>
      <c r="Q215" s="4" t="e">
        <f t="shared" si="75"/>
        <v>#REF!</v>
      </c>
      <c r="R215" s="4" t="e">
        <f t="shared" si="90"/>
        <v>#REF!</v>
      </c>
      <c r="S215" s="4" t="e">
        <f t="shared" si="76"/>
        <v>#REF!</v>
      </c>
      <c r="T215" s="4" t="e">
        <f t="shared" si="91"/>
        <v>#REF!</v>
      </c>
      <c r="U215" s="4" t="e">
        <f t="shared" si="92"/>
        <v>#REF!</v>
      </c>
      <c r="V215" s="4" t="e">
        <f t="shared" si="77"/>
        <v>#REF!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76"/>
      <c r="AD215" s="1" t="s">
        <v>15</v>
      </c>
      <c r="AE215" s="4" t="e">
        <f t="shared" si="93"/>
        <v>#REF!</v>
      </c>
      <c r="AF215" s="4" t="e">
        <f t="shared" si="78"/>
        <v>#REF!</v>
      </c>
      <c r="AG215" s="4">
        <f>MW_Fe2O3</f>
        <v>0.1596882</v>
      </c>
      <c r="AH215" s="4" t="e">
        <f t="shared" si="94"/>
        <v>#REF!</v>
      </c>
      <c r="AI215" s="4">
        <f>h_Fe2O3</f>
        <v>-5161.3080991582347</v>
      </c>
      <c r="AJ215" s="4">
        <f>b_ch_Fe2O3</f>
        <v>17.358400000000074</v>
      </c>
      <c r="AK215" s="4" t="e">
        <f t="shared" si="79"/>
        <v>#REF!</v>
      </c>
      <c r="AL215" s="4" t="e">
        <f t="shared" si="95"/>
        <v>#REF!</v>
      </c>
      <c r="AM215" s="4" t="e">
        <f t="shared" si="80"/>
        <v>#REF!</v>
      </c>
      <c r="AN215" s="4" t="e">
        <f t="shared" si="96"/>
        <v>#REF!</v>
      </c>
      <c r="AO215" s="4" t="e">
        <f t="shared" si="97"/>
        <v>#REF!</v>
      </c>
      <c r="AP215" s="4" t="e">
        <f t="shared" si="81"/>
        <v>#REF!</v>
      </c>
      <c r="AQ215" s="4"/>
      <c r="AR215" s="3" t="s">
        <v>2</v>
      </c>
      <c r="AS215" s="3" t="s">
        <v>3</v>
      </c>
      <c r="AT215" s="132" t="s">
        <v>581</v>
      </c>
      <c r="AU215" s="4"/>
      <c r="AV215" s="376"/>
      <c r="AW215" s="1" t="s">
        <v>15</v>
      </c>
      <c r="AX215" s="4" t="e">
        <f t="shared" si="108"/>
        <v>#REF!</v>
      </c>
      <c r="AY215" s="4" t="e">
        <f t="shared" si="82"/>
        <v>#REF!</v>
      </c>
      <c r="AZ215" s="4">
        <f>MW_Fe2O3</f>
        <v>0.1596882</v>
      </c>
      <c r="BA215" s="4" t="e">
        <f t="shared" si="98"/>
        <v>#REF!</v>
      </c>
      <c r="BB215" s="4">
        <f>h_Fe2O3</f>
        <v>-5161.3080991582347</v>
      </c>
      <c r="BC215" s="4">
        <f>b_ch_Fe2O3</f>
        <v>17.358400000000074</v>
      </c>
      <c r="BD215" s="4" t="e">
        <f t="shared" si="83"/>
        <v>#REF!</v>
      </c>
      <c r="BE215" s="4" t="e">
        <f t="shared" si="99"/>
        <v>#REF!</v>
      </c>
      <c r="BF215" s="4" t="e">
        <f t="shared" si="84"/>
        <v>#REF!</v>
      </c>
      <c r="BG215" s="4" t="e">
        <f t="shared" si="100"/>
        <v>#REF!</v>
      </c>
      <c r="BH215" s="4" t="e">
        <f t="shared" si="101"/>
        <v>#REF!</v>
      </c>
      <c r="BI215" s="4" t="e">
        <f t="shared" si="85"/>
        <v>#REF!</v>
      </c>
      <c r="BJ215" s="4"/>
      <c r="BK215" s="3" t="s">
        <v>2</v>
      </c>
      <c r="BL215" s="3" t="s">
        <v>3</v>
      </c>
      <c r="BM215" s="132" t="s">
        <v>581</v>
      </c>
      <c r="BN215" s="4"/>
      <c r="BO215" s="376"/>
      <c r="BP215" s="1" t="s">
        <v>15</v>
      </c>
      <c r="BQ215" s="4" t="e">
        <f t="shared" si="102"/>
        <v>#REF!</v>
      </c>
      <c r="BR215" s="4" t="e">
        <f t="shared" si="103"/>
        <v>#REF!</v>
      </c>
      <c r="BS215" s="4">
        <f>MW_Fe2O3</f>
        <v>0.1596882</v>
      </c>
      <c r="BT215" s="4" t="e">
        <f t="shared" si="104"/>
        <v>#REF!</v>
      </c>
      <c r="BU215" s="4">
        <f>h_Fe2O3</f>
        <v>-5161.3080991582347</v>
      </c>
      <c r="BV215" s="4">
        <f>b_ch_Fe2O3</f>
        <v>17.358400000000074</v>
      </c>
      <c r="BW215" s="4" t="e">
        <f t="shared" si="86"/>
        <v>#REF!</v>
      </c>
      <c r="BX215" s="4" t="e">
        <f t="shared" si="105"/>
        <v>#REF!</v>
      </c>
      <c r="BY215" s="4" t="e">
        <f t="shared" si="87"/>
        <v>#REF!</v>
      </c>
      <c r="BZ215" s="4" t="e">
        <f t="shared" si="106"/>
        <v>#REF!</v>
      </c>
      <c r="CA215" s="4" t="e">
        <f t="shared" si="107"/>
        <v>#REF!</v>
      </c>
      <c r="CB215" s="4" t="e">
        <f t="shared" si="109"/>
        <v>#REF!</v>
      </c>
      <c r="CC215" s="4"/>
      <c r="CD215" s="4"/>
      <c r="CE215" s="3" t="s">
        <v>2</v>
      </c>
      <c r="CF215" s="3" t="s">
        <v>3</v>
      </c>
      <c r="CG215" s="132" t="s">
        <v>581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76"/>
      <c r="J216" s="1" t="s">
        <v>17</v>
      </c>
      <c r="K216" s="4" t="e">
        <f t="shared" si="88"/>
        <v>#REF!</v>
      </c>
      <c r="L216" s="4" t="e">
        <f t="shared" si="74"/>
        <v>#REF!</v>
      </c>
      <c r="M216" s="3">
        <f>MW_SIO2</f>
        <v>6.00843E-2</v>
      </c>
      <c r="N216" s="4" t="e">
        <f t="shared" si="89"/>
        <v>#REF!</v>
      </c>
      <c r="O216" s="4">
        <f>h_SiO2</f>
        <v>-15157.037695371337</v>
      </c>
      <c r="P216" s="3">
        <f>b_ch_SiO2</f>
        <v>1.5260000000000673</v>
      </c>
      <c r="Q216" s="4" t="e">
        <f t="shared" si="75"/>
        <v>#REF!</v>
      </c>
      <c r="R216" s="4" t="e">
        <f t="shared" si="90"/>
        <v>#REF!</v>
      </c>
      <c r="S216" s="4" t="e">
        <f t="shared" si="76"/>
        <v>#REF!</v>
      </c>
      <c r="T216" s="4" t="e">
        <f t="shared" si="91"/>
        <v>#REF!</v>
      </c>
      <c r="U216" s="4" t="e">
        <f t="shared" si="92"/>
        <v>#REF!</v>
      </c>
      <c r="V216" s="4" t="e">
        <f t="shared" si="77"/>
        <v>#REF!</v>
      </c>
      <c r="W216" s="376" t="s">
        <v>378</v>
      </c>
      <c r="X216" s="62" t="s">
        <v>307</v>
      </c>
      <c r="Y216" s="62" t="e">
        <f t="shared" ref="Y216:Y221" si="110">$Y$222*Z216</f>
        <v>#REF!</v>
      </c>
      <c r="Z216" s="170">
        <v>0.3715</v>
      </c>
      <c r="AA216" s="170">
        <v>0.37219999999999998</v>
      </c>
      <c r="AC216" s="376"/>
      <c r="AD216" s="1" t="s">
        <v>17</v>
      </c>
      <c r="AE216" s="4" t="e">
        <f t="shared" si="93"/>
        <v>#REF!</v>
      </c>
      <c r="AF216" s="4" t="e">
        <f t="shared" si="78"/>
        <v>#REF!</v>
      </c>
      <c r="AG216" s="3">
        <f>MW_SIO2</f>
        <v>6.00843E-2</v>
      </c>
      <c r="AH216" s="4" t="e">
        <f t="shared" si="94"/>
        <v>#REF!</v>
      </c>
      <c r="AI216" s="4">
        <f>h_SiO2</f>
        <v>-15157.037695371337</v>
      </c>
      <c r="AJ216" s="3">
        <f>b_ch_SiO2</f>
        <v>1.5260000000000673</v>
      </c>
      <c r="AK216" s="4" t="e">
        <f t="shared" si="79"/>
        <v>#REF!</v>
      </c>
      <c r="AL216" s="4" t="e">
        <f t="shared" si="95"/>
        <v>#REF!</v>
      </c>
      <c r="AM216" s="4" t="e">
        <f t="shared" si="80"/>
        <v>#REF!</v>
      </c>
      <c r="AN216" s="4" t="e">
        <f t="shared" si="96"/>
        <v>#REF!</v>
      </c>
      <c r="AO216" s="4" t="e">
        <f t="shared" si="97"/>
        <v>#REF!</v>
      </c>
      <c r="AP216" s="4" t="e">
        <f t="shared" si="81"/>
        <v>#REF!</v>
      </c>
      <c r="AQ216" s="4"/>
      <c r="AR216" s="1" t="s">
        <v>583</v>
      </c>
      <c r="AS216" s="1" t="s">
        <v>583</v>
      </c>
      <c r="AT216" s="1" t="s">
        <v>583</v>
      </c>
      <c r="AU216" s="4"/>
      <c r="AV216" s="376"/>
      <c r="AW216" s="1" t="s">
        <v>17</v>
      </c>
      <c r="AX216" s="4" t="e">
        <f t="shared" si="108"/>
        <v>#REF!</v>
      </c>
      <c r="AY216" s="4" t="e">
        <f t="shared" si="82"/>
        <v>#REF!</v>
      </c>
      <c r="AZ216" s="3">
        <f>MW_SIO2</f>
        <v>6.00843E-2</v>
      </c>
      <c r="BA216" s="4" t="e">
        <f t="shared" si="98"/>
        <v>#REF!</v>
      </c>
      <c r="BB216" s="4">
        <f>h_SiO2</f>
        <v>-15157.037695371337</v>
      </c>
      <c r="BC216" s="3">
        <f>b_ch_SiO2</f>
        <v>1.5260000000000673</v>
      </c>
      <c r="BD216" s="4" t="e">
        <f t="shared" si="83"/>
        <v>#REF!</v>
      </c>
      <c r="BE216" s="4" t="e">
        <f t="shared" si="99"/>
        <v>#REF!</v>
      </c>
      <c r="BF216" s="4" t="e">
        <f t="shared" si="84"/>
        <v>#REF!</v>
      </c>
      <c r="BG216" s="4" t="e">
        <f t="shared" si="100"/>
        <v>#REF!</v>
      </c>
      <c r="BH216" s="4" t="e">
        <f t="shared" si="101"/>
        <v>#REF!</v>
      </c>
      <c r="BI216" s="4" t="e">
        <f t="shared" si="85"/>
        <v>#REF!</v>
      </c>
      <c r="BJ216" s="4"/>
      <c r="BK216" s="1" t="s">
        <v>583</v>
      </c>
      <c r="BL216" s="1" t="s">
        <v>583</v>
      </c>
      <c r="BM216" s="1" t="s">
        <v>583</v>
      </c>
      <c r="BN216" s="4"/>
      <c r="BO216" s="376"/>
      <c r="BP216" s="1" t="s">
        <v>17</v>
      </c>
      <c r="BQ216" s="4" t="e">
        <f t="shared" si="102"/>
        <v>#REF!</v>
      </c>
      <c r="BR216" s="4" t="e">
        <f t="shared" si="103"/>
        <v>#REF!</v>
      </c>
      <c r="BS216" s="3">
        <f>MW_SIO2</f>
        <v>6.00843E-2</v>
      </c>
      <c r="BT216" s="4" t="e">
        <f t="shared" si="104"/>
        <v>#REF!</v>
      </c>
      <c r="BU216" s="4">
        <f>h_SiO2</f>
        <v>-15157.037695371337</v>
      </c>
      <c r="BV216" s="3">
        <f>b_ch_SiO2</f>
        <v>1.5260000000000673</v>
      </c>
      <c r="BW216" s="4" t="e">
        <f t="shared" si="86"/>
        <v>#REF!</v>
      </c>
      <c r="BX216" s="4" t="e">
        <f t="shared" si="105"/>
        <v>#REF!</v>
      </c>
      <c r="BY216" s="4" t="e">
        <f t="shared" si="87"/>
        <v>#REF!</v>
      </c>
      <c r="BZ216" s="4" t="e">
        <f t="shared" si="106"/>
        <v>#REF!</v>
      </c>
      <c r="CA216" s="4" t="e">
        <f t="shared" si="107"/>
        <v>#REF!</v>
      </c>
      <c r="CB216" s="4" t="e">
        <f t="shared" si="109"/>
        <v>#REF!</v>
      </c>
      <c r="CC216" s="4"/>
      <c r="CD216" s="4"/>
      <c r="CE216" s="1" t="s">
        <v>583</v>
      </c>
      <c r="CF216" s="1" t="s">
        <v>583</v>
      </c>
      <c r="CG216" s="1" t="s">
        <v>583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 t="e">
        <f>SUM(K210:K216)</f>
        <v>#REF!</v>
      </c>
      <c r="L217" s="17"/>
      <c r="M217" s="62">
        <f>SUM(M210:M216)</f>
        <v>0.48009451399999997</v>
      </c>
      <c r="N217" s="62" t="e">
        <f>SUM(N210:N216)</f>
        <v>#REF!</v>
      </c>
      <c r="O217" s="17" t="e" cm="1">
        <f t="array" ref="O217">SUM(K210:K216*O210:O216) / K217</f>
        <v>#REF!</v>
      </c>
      <c r="P217" s="17"/>
      <c r="Q217" s="62" t="e">
        <f>SUM(Q210:Q216)</f>
        <v>#REF!</v>
      </c>
      <c r="R217" s="17"/>
      <c r="S217" s="17"/>
      <c r="T217" s="17"/>
      <c r="U217" s="62" t="e">
        <f>SUM(U210:U216)</f>
        <v>#REF!</v>
      </c>
      <c r="V217" s="62" t="e">
        <f>SUM(V210:V216)</f>
        <v>#REF!</v>
      </c>
      <c r="W217" s="376"/>
      <c r="X217" s="4" t="s">
        <v>123</v>
      </c>
      <c r="Y217" s="4" t="e">
        <f t="shared" si="110"/>
        <v>#REF!</v>
      </c>
      <c r="Z217" s="4">
        <v>6.9800000000000001E-2</v>
      </c>
      <c r="AA217" s="4">
        <f>Z217</f>
        <v>6.9800000000000001E-2</v>
      </c>
      <c r="AD217" s="62" t="s">
        <v>19</v>
      </c>
      <c r="AE217" s="62" t="e">
        <f>SUM(AE210:AE216)</f>
        <v>#REF!</v>
      </c>
      <c r="AF217" s="17"/>
      <c r="AG217" s="62">
        <f>SUM(AG210:AG216)</f>
        <v>0.48009451399999997</v>
      </c>
      <c r="AH217" s="62" t="e">
        <f>SUM(AH210:AH216)</f>
        <v>#REF!</v>
      </c>
      <c r="AI217" s="17" t="e" cm="1">
        <f t="array" ref="AI217">SUM(AE210:AE216*AI210:AI216) / AE217</f>
        <v>#REF!</v>
      </c>
      <c r="AJ217" s="17"/>
      <c r="AK217" s="62" t="e">
        <f>SUM(AK210:AK216)</f>
        <v>#REF!</v>
      </c>
      <c r="AL217" s="17"/>
      <c r="AM217" s="17"/>
      <c r="AN217" s="17"/>
      <c r="AO217" s="62" t="e">
        <f>SUM(AO210:AO216)</f>
        <v>#REF!</v>
      </c>
      <c r="AP217" s="62" t="e">
        <f>SUM(AP210:AP216)</f>
        <v>#REF!</v>
      </c>
      <c r="AQ217" s="4" t="s">
        <v>60</v>
      </c>
      <c r="AR217" s="3" t="s">
        <v>582</v>
      </c>
      <c r="AS217" s="3" t="s">
        <v>582</v>
      </c>
      <c r="AT217" s="3" t="s">
        <v>582</v>
      </c>
      <c r="AU217" s="4"/>
      <c r="AV217" s="4"/>
      <c r="AW217" s="62" t="s">
        <v>19</v>
      </c>
      <c r="AX217" s="62" t="e">
        <f>SUM(AX210:AX216)</f>
        <v>#REF!</v>
      </c>
      <c r="AY217" s="17"/>
      <c r="AZ217" s="62">
        <f>SUM(AZ210:AZ216)</f>
        <v>0.48009451399999997</v>
      </c>
      <c r="BA217" s="62" t="e">
        <f>SUM(BA210:BA216)</f>
        <v>#REF!</v>
      </c>
      <c r="BB217" s="17" t="e" cm="1">
        <f t="array" ref="BB217">SUM(AX210:AX216*BB210:BB216) / AX217</f>
        <v>#REF!</v>
      </c>
      <c r="BC217" s="17"/>
      <c r="BD217" s="62" t="e">
        <f>SUM(BD210:BD216)</f>
        <v>#REF!</v>
      </c>
      <c r="BE217" s="17"/>
      <c r="BF217" s="17"/>
      <c r="BG217" s="17"/>
      <c r="BH217" s="62" t="e">
        <f>SUM(BH210:BH216)</f>
        <v>#REF!</v>
      </c>
      <c r="BI217" s="62" t="e">
        <f>SUM(BI210:BI216)</f>
        <v>#REF!</v>
      </c>
      <c r="BJ217" s="4" t="s">
        <v>60</v>
      </c>
      <c r="BK217" s="3" t="s">
        <v>582</v>
      </c>
      <c r="BL217" s="3" t="s">
        <v>582</v>
      </c>
      <c r="BM217" s="3" t="s">
        <v>582</v>
      </c>
      <c r="BN217" s="4"/>
      <c r="BO217" s="4"/>
      <c r="BP217" s="62" t="s">
        <v>19</v>
      </c>
      <c r="BQ217" s="62" t="e">
        <f>SUM(BQ210:BQ216)</f>
        <v>#REF!</v>
      </c>
      <c r="BR217" s="62" t="e">
        <f>SUM(BR210:BR216)</f>
        <v>#REF!</v>
      </c>
      <c r="BS217" s="62">
        <f>SUM(BS210:BS216)</f>
        <v>0.48009451399999997</v>
      </c>
      <c r="BT217" s="62" t="e">
        <f>SUM(BT210:BT216)</f>
        <v>#REF!</v>
      </c>
      <c r="BU217" s="17" t="e" cm="1">
        <f t="array" ref="BU217">SUM(BQ210:BQ216*BU210:BU216) / BQ217</f>
        <v>#REF!</v>
      </c>
      <c r="BV217" s="62" t="e" cm="1">
        <f t="array" ref="BV217">SUM(BV210:BV216*BW210:BW216)</f>
        <v>#REF!</v>
      </c>
      <c r="BW217" s="62" t="e">
        <f>SUM(BW210:BW216)</f>
        <v>#REF!</v>
      </c>
      <c r="BX217" s="17"/>
      <c r="BY217" s="17"/>
      <c r="BZ217" s="17"/>
      <c r="CA217" s="62" t="e">
        <f>SUM(CA210:CA216)</f>
        <v>#REF!</v>
      </c>
      <c r="CB217" s="62" t="e">
        <f>SUM(CB210:CB216)</f>
        <v>#REF!</v>
      </c>
      <c r="CC217" s="4"/>
      <c r="CD217" s="4" t="s">
        <v>60</v>
      </c>
      <c r="CE217" s="3" t="s">
        <v>582</v>
      </c>
      <c r="CF217" s="3" t="s">
        <v>582</v>
      </c>
      <c r="CG217" s="3" t="s">
        <v>582</v>
      </c>
      <c r="CR217" s="3" t="s">
        <v>525</v>
      </c>
      <c r="CU217" s="4"/>
      <c r="CV217" s="50" t="e">
        <f>CL227</f>
        <v>#REF!</v>
      </c>
      <c r="CW217" s="48" t="e">
        <f>CW227</f>
        <v>#REF!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659</v>
      </c>
      <c r="P218" s="4"/>
      <c r="Q218" s="4"/>
      <c r="U218" s="3" t="s">
        <v>96</v>
      </c>
      <c r="V218" s="1" t="s">
        <v>93</v>
      </c>
      <c r="W218" s="376"/>
      <c r="X218" s="4" t="s">
        <v>179</v>
      </c>
      <c r="Y218" s="4" t="e">
        <f t="shared" si="110"/>
        <v>#REF!</v>
      </c>
      <c r="Z218" s="4">
        <v>1.24E-2</v>
      </c>
      <c r="AA218" s="4">
        <f t="shared" ref="AA218:AA221" si="111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659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19253.410011228389</v>
      </c>
      <c r="AS218" s="83">
        <f>BA210</f>
        <v>19253.410011228389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659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19253.410011228389</v>
      </c>
      <c r="BL218" s="83">
        <f>BT210</f>
        <v>19253.410011228389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659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 t="e">
        <f>BT210+BT230+BT258</f>
        <v>#REF!</v>
      </c>
      <c r="CF218" s="83" t="e">
        <f>mol_C_to_BF+(2*CO238)+CO239+CO240+CO242+CO255</f>
        <v>#REF!</v>
      </c>
      <c r="CG218" s="3" t="e">
        <f>CE218-CF218</f>
        <v>#REF!</v>
      </c>
      <c r="CU218" s="4"/>
      <c r="CV218" s="4"/>
    </row>
    <row r="219" spans="2:101" ht="19" thickBot="1" x14ac:dyDescent="0.3">
      <c r="W219" s="376"/>
      <c r="X219" s="4" t="s">
        <v>308</v>
      </c>
      <c r="Y219" s="4" t="e">
        <f t="shared" si="110"/>
        <v>#REF!</v>
      </c>
      <c r="Z219" s="4">
        <v>3.8E-3</v>
      </c>
      <c r="AA219" s="4">
        <f t="shared" si="111"/>
        <v>3.8E-3</v>
      </c>
      <c r="AQ219" s="3" t="s">
        <v>182</v>
      </c>
      <c r="AR219" s="284">
        <f>(mol_H_Coal*AH210)</f>
        <v>32806.234376953551</v>
      </c>
      <c r="AS219" s="284">
        <f>mol_H_Coal*BA210</f>
        <v>32806.234376953551</v>
      </c>
      <c r="AT219" s="3">
        <f t="shared" ref="AT219:AT227" si="112">AR219-AS219</f>
        <v>0</v>
      </c>
      <c r="BH219" s="4"/>
      <c r="BI219" s="4"/>
      <c r="BJ219" s="3" t="s">
        <v>182</v>
      </c>
      <c r="BK219" s="284">
        <f>(mol_H_Coal*BA210)</f>
        <v>32806.234376953551</v>
      </c>
      <c r="BL219" s="284">
        <f>mol_H_Coal*BT210</f>
        <v>32806.234376953551</v>
      </c>
      <c r="BM219" s="3">
        <f t="shared" ref="BM219:BM227" si="113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 t="e">
        <f>(mol_H_Coal*'Ore-&gt;PI'!BT210)+(2*'Ore-&gt;PI'!BT229)+(4*'Ore-&gt;PI'!BT230)+(4*'Ore-&gt;PI'!BT258)</f>
        <v>#REF!</v>
      </c>
      <c r="CF219" s="83" t="e">
        <f>(2*CO237)+(4*CO238)+(4*CO242)+(2*CO254)</f>
        <v>#REF!</v>
      </c>
      <c r="CG219" s="3" t="e">
        <f>CE219-CF219</f>
        <v>#REF!</v>
      </c>
      <c r="CK219" s="4"/>
      <c r="CL219" s="1" t="s">
        <v>554</v>
      </c>
      <c r="CM219" s="1" t="s">
        <v>555</v>
      </c>
      <c r="CN219" s="1" t="s">
        <v>557</v>
      </c>
      <c r="CO219" s="1" t="s">
        <v>85</v>
      </c>
      <c r="CP219" s="1" t="s">
        <v>658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556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6"/>
      <c r="X220" s="1" t="s">
        <v>15</v>
      </c>
      <c r="Y220" s="4" t="e">
        <f t="shared" si="110"/>
        <v>#REF!</v>
      </c>
      <c r="Z220" s="4">
        <v>4.3400000000000001E-2</v>
      </c>
      <c r="AA220" s="4">
        <f t="shared" si="111"/>
        <v>4.3400000000000001E-2</v>
      </c>
      <c r="AQ220" s="3" t="s">
        <v>29</v>
      </c>
      <c r="AR220" s="284" t="e">
        <f>(mol_O_Coal*AH210)+(3*AH211)+AH212+AH213+AH214+(3*AH215)+(2*AH216)</f>
        <v>#REF!</v>
      </c>
      <c r="AS220" s="284" t="e">
        <f>(mol_O_Coal*BA210)+(3*BA211)+BA212+BA213+BA214+(3*BA215)+(2*BA216)</f>
        <v>#REF!</v>
      </c>
      <c r="AT220" s="3" t="e">
        <f t="shared" si="112"/>
        <v>#REF!</v>
      </c>
      <c r="BH220" s="4"/>
      <c r="BI220" s="4"/>
      <c r="BJ220" s="3" t="s">
        <v>29</v>
      </c>
      <c r="BK220" s="284" t="e">
        <f>(mol_O_Coal*BA210)+(3*BA211)+BA212+BA213+BA214+(3*BA215)+(2*BA216)</f>
        <v>#REF!</v>
      </c>
      <c r="BL220" s="284" t="e">
        <f>(mol_O_Coal*BT210)+(3*BT211)+BT212+BT213+BT214+(3*BT215)+(2*BT216)</f>
        <v>#REF!</v>
      </c>
      <c r="BM220" s="3" t="e">
        <f t="shared" si="113"/>
        <v>#REF!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 t="e">
        <f>(3*BT211)+(BT212)+BT213+BT214+(3*BT215)+(2*BT216)+(mol_O_Coal*'Ore-&gt;PI'!BT210)+(2*BT231)+(2*BT246)</f>
        <v>#REF!</v>
      </c>
      <c r="CF220" s="83" t="e">
        <f>(3*CO221)+CO222+CO223+CO224+(3*CO225)+(2*CO226)+CO239+(2*CO240) +(2*CO255)  +CO254</f>
        <v>#REF!</v>
      </c>
      <c r="CG220" s="3" t="e">
        <f t="shared" ref="CG220:CG227" si="114">CE220-CF220</f>
        <v>#REF!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645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6"/>
      <c r="X221" s="1" t="s">
        <v>17</v>
      </c>
      <c r="Y221" s="4" t="e">
        <f t="shared" si="110"/>
        <v>#REF!</v>
      </c>
      <c r="Z221" s="4">
        <v>0.49840000000000001</v>
      </c>
      <c r="AA221" s="4">
        <f t="shared" si="111"/>
        <v>0.49840000000000001</v>
      </c>
      <c r="AQ221" s="3" t="s">
        <v>363</v>
      </c>
      <c r="AR221" s="83">
        <f>mol_N_Coal*AH210</f>
        <v>22.706388738495114</v>
      </c>
      <c r="AS221" s="83">
        <f>mol_N_Coal*BA210</f>
        <v>22.706388738495114</v>
      </c>
      <c r="AT221" s="3">
        <f t="shared" si="112"/>
        <v>0</v>
      </c>
      <c r="BJ221" s="3" t="s">
        <v>363</v>
      </c>
      <c r="BK221" s="83">
        <f>mol_N_Coal*BA210</f>
        <v>22.706388738495114</v>
      </c>
      <c r="BL221" s="83">
        <f>mol_N_Coal*BT210</f>
        <v>22.706388738495114</v>
      </c>
      <c r="BM221" s="3">
        <f t="shared" si="113"/>
        <v>0</v>
      </c>
      <c r="CD221" s="3" t="s">
        <v>363</v>
      </c>
      <c r="CE221" s="83" t="e">
        <f>(mol_N_Coal*'Ore-&gt;PI'!BT210)+(2*'Ore-&gt;PI'!BT232)+(2*BT247)</f>
        <v>#REF!</v>
      </c>
      <c r="CF221" s="83" t="e">
        <f>(2*CO241)+(2*CO256)</f>
        <v>#REF!</v>
      </c>
      <c r="CG221" s="3" t="e">
        <f t="shared" si="114"/>
        <v>#REF!</v>
      </c>
      <c r="CJ221" s="364" t="s">
        <v>525</v>
      </c>
      <c r="CK221" s="62" t="s">
        <v>307</v>
      </c>
      <c r="CL221" s="62" t="e">
        <f>AA216*$CL$227</f>
        <v>#REF!</v>
      </c>
      <c r="CM221" s="62" t="e">
        <f>CL221/$CL$227</f>
        <v>#REF!</v>
      </c>
      <c r="CN221" s="62">
        <f>MW_Al2O3</f>
        <v>0.10196127799999999</v>
      </c>
      <c r="CO221" s="62" t="e">
        <f t="shared" ref="CO221:CO226" si="115">CL221/CN221</f>
        <v>#REF!</v>
      </c>
      <c r="CP221" s="62">
        <f>h_Al2O3</f>
        <v>-16434.670424590011</v>
      </c>
      <c r="CQ221" s="62">
        <f>b_ch_Al2O3</f>
        <v>31.875999999999976</v>
      </c>
      <c r="CR221" s="62" t="e">
        <f t="shared" ref="CR221:CR226" si="116">CO221/$CO$227</f>
        <v>#REF!</v>
      </c>
      <c r="CS221" s="62" t="e">
        <f t="shared" ref="CS221:CS226" si="117">LN(CR221)</f>
        <v>#REF!</v>
      </c>
      <c r="CT221" s="62" t="e">
        <f t="shared" ref="CT221:CT226" si="118">RT0*CS221</f>
        <v>#REF!</v>
      </c>
      <c r="CU221" s="62" t="e">
        <f t="shared" ref="CU221:CU226" si="119">CT221+CQ221</f>
        <v>#REF!</v>
      </c>
      <c r="CV221" s="62" t="e">
        <f t="shared" ref="CV221:CV226" si="120">CU221*CR221</f>
        <v>#REF!</v>
      </c>
      <c r="CW221" s="62" t="e">
        <f>CV221*$CO$227</f>
        <v>#REF!</v>
      </c>
    </row>
    <row r="222" spans="2:101" ht="16" thickBot="1" x14ac:dyDescent="0.25">
      <c r="B222" s="348" t="s">
        <v>485</v>
      </c>
      <c r="C222" s="348"/>
      <c r="D222" s="348"/>
      <c r="E222" s="348"/>
      <c r="F222" s="348"/>
      <c r="G222" s="348"/>
      <c r="H222" s="348"/>
      <c r="J222" s="4"/>
      <c r="K222" s="4"/>
      <c r="L222" s="4"/>
      <c r="M222" s="4"/>
      <c r="N222" s="4"/>
      <c r="O222" s="4"/>
      <c r="P222" s="4"/>
      <c r="Q222" s="202" t="s">
        <v>572</v>
      </c>
      <c r="R222" s="4"/>
      <c r="S222" s="4"/>
      <c r="T222" s="4"/>
      <c r="U222" s="50" t="e">
        <f>L227</f>
        <v>#REF!</v>
      </c>
      <c r="V222" s="48" t="e">
        <f>V227</f>
        <v>#REF!</v>
      </c>
      <c r="X222" s="17" t="s">
        <v>19</v>
      </c>
      <c r="Y222" s="62" t="e">
        <f>($AE$210*0.157)/$AF$210</f>
        <v>#REF!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 t="e">
        <f>2*AH211</f>
        <v>#REF!</v>
      </c>
      <c r="AS222" s="83" t="e">
        <f>2*BA211</f>
        <v>#REF!</v>
      </c>
      <c r="AT222" s="3" t="e">
        <f t="shared" si="112"/>
        <v>#REF!</v>
      </c>
      <c r="BJ222" s="3" t="s">
        <v>311</v>
      </c>
      <c r="BK222" s="83" t="e">
        <f>2*BA211</f>
        <v>#REF!</v>
      </c>
      <c r="BL222" s="83" t="e">
        <f>2*BT211</f>
        <v>#REF!</v>
      </c>
      <c r="BM222" s="3" t="e">
        <f t="shared" si="113"/>
        <v>#REF!</v>
      </c>
      <c r="CD222" s="3" t="s">
        <v>311</v>
      </c>
      <c r="CE222" s="83" t="e">
        <f>2*BT211</f>
        <v>#REF!</v>
      </c>
      <c r="CF222" s="83" t="e">
        <f>2*CO221</f>
        <v>#REF!</v>
      </c>
      <c r="CG222" s="3" t="e">
        <f t="shared" si="114"/>
        <v>#REF!</v>
      </c>
      <c r="CJ222" s="364"/>
      <c r="CK222" s="4" t="s">
        <v>123</v>
      </c>
      <c r="CL222" s="4" t="e">
        <f>Z217*$CL$227</f>
        <v>#REF!</v>
      </c>
      <c r="CM222" s="4" t="e">
        <f t="shared" ref="CM222:CM226" si="121">CL222/$CL$227</f>
        <v>#REF!</v>
      </c>
      <c r="CN222" s="4">
        <f>MW_CaO</f>
        <v>5.6077400000000006E-2</v>
      </c>
      <c r="CO222" s="4" t="e">
        <f t="shared" si="115"/>
        <v>#REF!</v>
      </c>
      <c r="CP222" s="4">
        <f>h_CaO</f>
        <v>-11321.85158370395</v>
      </c>
      <c r="CQ222" s="4">
        <f>b_ch_CaO</f>
        <v>122.25799999999992</v>
      </c>
      <c r="CR222" s="4" t="e">
        <f t="shared" si="116"/>
        <v>#REF!</v>
      </c>
      <c r="CS222" s="4" t="e">
        <f t="shared" si="117"/>
        <v>#REF!</v>
      </c>
      <c r="CT222" s="4" t="e">
        <f t="shared" si="118"/>
        <v>#REF!</v>
      </c>
      <c r="CU222" s="4" t="e">
        <f t="shared" si="119"/>
        <v>#REF!</v>
      </c>
      <c r="CV222" s="4" t="e">
        <f t="shared" si="120"/>
        <v>#REF!</v>
      </c>
      <c r="CW222" s="4" t="e">
        <f t="shared" ref="CW222:CW226" si="122">CV222*$CO$227</f>
        <v>#REF!</v>
      </c>
    </row>
    <row r="223" spans="2:101" x14ac:dyDescent="0.2">
      <c r="B223" s="349"/>
      <c r="C223" s="349"/>
      <c r="D223" s="349"/>
      <c r="E223" s="349"/>
      <c r="F223" s="349"/>
      <c r="G223" s="349"/>
      <c r="H223" s="349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5" t="e">
        <f>AH212</f>
        <v>#REF!</v>
      </c>
      <c r="AS223" s="285" t="e">
        <f>BA212</f>
        <v>#REF!</v>
      </c>
      <c r="AT223" s="3" t="e">
        <f t="shared" si="112"/>
        <v>#REF!</v>
      </c>
      <c r="BJ223" s="3" t="s">
        <v>31</v>
      </c>
      <c r="BK223" s="285" t="e">
        <f>BA212</f>
        <v>#REF!</v>
      </c>
      <c r="BL223" s="285" t="e">
        <f>BT212</f>
        <v>#REF!</v>
      </c>
      <c r="BM223" s="3" t="e">
        <f t="shared" si="113"/>
        <v>#REF!</v>
      </c>
      <c r="BN223" s="25"/>
      <c r="CA223" s="63" t="s">
        <v>1</v>
      </c>
      <c r="CB223" s="58" t="s">
        <v>0</v>
      </c>
      <c r="CD223" s="3" t="s">
        <v>31</v>
      </c>
      <c r="CE223" s="83" t="e">
        <f>BT212</f>
        <v>#REF!</v>
      </c>
      <c r="CF223" s="83" t="e">
        <f>CO222</f>
        <v>#REF!</v>
      </c>
      <c r="CG223" s="3" t="e">
        <f t="shared" si="114"/>
        <v>#REF!</v>
      </c>
      <c r="CJ223" s="364"/>
      <c r="CK223" s="4" t="s">
        <v>179</v>
      </c>
      <c r="CL223" s="4" t="e">
        <f>Z218*$CL$227</f>
        <v>#REF!</v>
      </c>
      <c r="CM223" s="4" t="e">
        <f t="shared" si="121"/>
        <v>#REF!</v>
      </c>
      <c r="CN223" s="4">
        <f>MW_MgO</f>
        <v>4.0304400000000004E-2</v>
      </c>
      <c r="CO223" s="4" t="e">
        <f t="shared" si="115"/>
        <v>#REF!</v>
      </c>
      <c r="CP223" s="4">
        <f>h_MgO</f>
        <v>-14926.410019749705</v>
      </c>
      <c r="CQ223" s="4">
        <f>b_ch_MgO</f>
        <v>62.576000000000022</v>
      </c>
      <c r="CR223" s="4" t="e">
        <f t="shared" si="116"/>
        <v>#REF!</v>
      </c>
      <c r="CS223" s="4" t="e">
        <f t="shared" si="117"/>
        <v>#REF!</v>
      </c>
      <c r="CT223" s="4" t="e">
        <f t="shared" si="118"/>
        <v>#REF!</v>
      </c>
      <c r="CU223" s="4" t="e">
        <f t="shared" si="119"/>
        <v>#REF!</v>
      </c>
      <c r="CV223" s="4" t="e">
        <f t="shared" si="120"/>
        <v>#REF!</v>
      </c>
      <c r="CW223" s="4" t="e">
        <f t="shared" si="122"/>
        <v>#REF!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560</v>
      </c>
      <c r="L224" s="1" t="s">
        <v>554</v>
      </c>
      <c r="M224" s="3" t="s">
        <v>5</v>
      </c>
      <c r="N224" s="1" t="s">
        <v>85</v>
      </c>
      <c r="O224" s="1" t="s">
        <v>658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556</v>
      </c>
      <c r="V224" s="1" t="s">
        <v>50</v>
      </c>
      <c r="Y224" s="3" t="s">
        <v>310</v>
      </c>
      <c r="AQ224" s="3" t="s">
        <v>312</v>
      </c>
      <c r="AR224" s="286" t="e">
        <f>AH213</f>
        <v>#REF!</v>
      </c>
      <c r="AS224" s="286" t="e">
        <f>BA213</f>
        <v>#REF!</v>
      </c>
      <c r="AT224" s="3" t="e">
        <f t="shared" si="112"/>
        <v>#REF!</v>
      </c>
      <c r="BJ224" s="3" t="s">
        <v>312</v>
      </c>
      <c r="BK224" s="286" t="e">
        <f>BA213</f>
        <v>#REF!</v>
      </c>
      <c r="BL224" s="286" t="e">
        <f>BT213</f>
        <v>#REF!</v>
      </c>
      <c r="BM224" s="3" t="e">
        <f t="shared" si="113"/>
        <v>#REF!</v>
      </c>
      <c r="BN224" s="1"/>
      <c r="CA224" s="65" t="s">
        <v>89</v>
      </c>
      <c r="CB224" s="64" t="s">
        <v>93</v>
      </c>
      <c r="CD224" s="3" t="s">
        <v>312</v>
      </c>
      <c r="CE224" s="83" t="e">
        <f>BT213</f>
        <v>#REF!</v>
      </c>
      <c r="CF224" s="83" t="e">
        <f>CO223</f>
        <v>#REF!</v>
      </c>
      <c r="CG224" s="3" t="e">
        <f t="shared" si="114"/>
        <v>#REF!</v>
      </c>
      <c r="CJ224" s="364"/>
      <c r="CK224" s="4" t="s">
        <v>308</v>
      </c>
      <c r="CL224" s="4" t="e">
        <f>Z219*$CL$227</f>
        <v>#REF!</v>
      </c>
      <c r="CM224" s="4" t="e">
        <f t="shared" si="121"/>
        <v>#REF!</v>
      </c>
      <c r="CN224" s="4">
        <f>MW_Na2O</f>
        <v>6.1978936000000005E-2</v>
      </c>
      <c r="CO224" s="4" t="e">
        <f t="shared" si="115"/>
        <v>#REF!</v>
      </c>
      <c r="CP224" s="4">
        <f>h_Na2O</f>
        <v>-6682.9156279804474</v>
      </c>
      <c r="CQ224" s="4">
        <f>b_ch_Na2O</f>
        <v>298.64000000000004</v>
      </c>
      <c r="CR224" s="4" t="e">
        <f t="shared" si="116"/>
        <v>#REF!</v>
      </c>
      <c r="CS224" s="4" t="e">
        <f t="shared" si="117"/>
        <v>#REF!</v>
      </c>
      <c r="CT224" s="4" t="e">
        <f t="shared" si="118"/>
        <v>#REF!</v>
      </c>
      <c r="CU224" s="4" t="e">
        <f t="shared" si="119"/>
        <v>#REF!</v>
      </c>
      <c r="CV224" s="4" t="e">
        <f t="shared" si="120"/>
        <v>#REF!</v>
      </c>
      <c r="CW224" s="4" t="e">
        <f t="shared" si="122"/>
        <v>#REF!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559</v>
      </c>
      <c r="L225" s="1" t="s">
        <v>88</v>
      </c>
      <c r="M225" s="1" t="s">
        <v>90</v>
      </c>
      <c r="N225" s="1" t="s">
        <v>86</v>
      </c>
      <c r="O225" s="1" t="s">
        <v>645</v>
      </c>
      <c r="P225" s="1" t="s">
        <v>645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 t="e">
        <f>2*AH214</f>
        <v>#REF!</v>
      </c>
      <c r="AS225" s="83" t="e">
        <f>2*BA214</f>
        <v>#REF!</v>
      </c>
      <c r="AT225" s="3" t="e">
        <f t="shared" si="112"/>
        <v>#REF!</v>
      </c>
      <c r="BJ225" s="3" t="s">
        <v>313</v>
      </c>
      <c r="BK225" s="83" t="e">
        <f>2*BA214</f>
        <v>#REF!</v>
      </c>
      <c r="BL225" s="83" t="e">
        <f>2*BT214</f>
        <v>#REF!</v>
      </c>
      <c r="BM225" s="3" t="e">
        <f t="shared" si="113"/>
        <v>#REF!</v>
      </c>
      <c r="BW225" s="3" t="s">
        <v>669</v>
      </c>
      <c r="CA225" s="50">
        <f>BQ233</f>
        <v>6.762841351465859</v>
      </c>
      <c r="CB225" s="48">
        <f>CB233</f>
        <v>577760.23898180155</v>
      </c>
      <c r="CD225" s="3" t="s">
        <v>313</v>
      </c>
      <c r="CE225" s="83" t="e">
        <f>2*BT214</f>
        <v>#REF!</v>
      </c>
      <c r="CF225" s="83" t="e">
        <f>2*CO224</f>
        <v>#REF!</v>
      </c>
      <c r="CG225" s="3" t="e">
        <f t="shared" si="114"/>
        <v>#REF!</v>
      </c>
      <c r="CJ225" s="364"/>
      <c r="CK225" s="1" t="s">
        <v>15</v>
      </c>
      <c r="CL225" s="4" t="e">
        <f>Z220*$CL$227</f>
        <v>#REF!</v>
      </c>
      <c r="CM225" s="4" t="e">
        <f t="shared" si="121"/>
        <v>#REF!</v>
      </c>
      <c r="CN225" s="4">
        <f>MW_Fe2O3</f>
        <v>0.1596882</v>
      </c>
      <c r="CO225" s="4" t="e">
        <f t="shared" si="115"/>
        <v>#REF!</v>
      </c>
      <c r="CP225" s="4">
        <f>h_Fe2O3</f>
        <v>-5161.3080991582347</v>
      </c>
      <c r="CQ225" s="4">
        <f>b_ch_Fe2O3</f>
        <v>17.358400000000074</v>
      </c>
      <c r="CR225" s="4" t="e">
        <f t="shared" si="116"/>
        <v>#REF!</v>
      </c>
      <c r="CS225" s="4" t="e">
        <f t="shared" si="117"/>
        <v>#REF!</v>
      </c>
      <c r="CT225" s="4" t="e">
        <f t="shared" si="118"/>
        <v>#REF!</v>
      </c>
      <c r="CU225" s="4" t="e">
        <f t="shared" si="119"/>
        <v>#REF!</v>
      </c>
      <c r="CV225" s="4" t="e">
        <f t="shared" si="120"/>
        <v>#REF!</v>
      </c>
      <c r="CW225" s="4" t="e">
        <f t="shared" si="122"/>
        <v>#REF!</v>
      </c>
      <c r="DB225" s="16" t="s">
        <v>629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 t="e">
        <f>E226*($U$206/1000)</f>
        <v>#REF!</v>
      </c>
      <c r="G226" s="13">
        <v>1.06</v>
      </c>
      <c r="H226" s="13" t="e">
        <f>F226*G226</f>
        <v>#REF!</v>
      </c>
      <c r="I226" s="280" t="s">
        <v>572</v>
      </c>
      <c r="J226" s="96" t="s">
        <v>488</v>
      </c>
      <c r="K226" s="95" t="e">
        <f>F229</f>
        <v>#REF!</v>
      </c>
      <c r="L226" s="95" t="e">
        <f>K226/LHV_Diesel</f>
        <v>#REF!</v>
      </c>
      <c r="M226" s="95">
        <f>MW_C12H23</f>
        <v>0.16731462</v>
      </c>
      <c r="N226" s="95" t="e">
        <f>L226/M226</f>
        <v>#REF!</v>
      </c>
      <c r="O226" s="95">
        <f>LHV_Diesel</f>
        <v>42600</v>
      </c>
      <c r="P226" s="95" t="e">
        <f>b_ch_Diesel</f>
        <v>#REF!</v>
      </c>
      <c r="Q226" s="95" t="e">
        <f>N226/N227</f>
        <v>#REF!</v>
      </c>
      <c r="R226" s="95" t="e">
        <f>LN(Q226)</f>
        <v>#REF!</v>
      </c>
      <c r="S226" s="95" t="e">
        <f>RT0*R226</f>
        <v>#REF!</v>
      </c>
      <c r="T226" s="95" t="e">
        <f>S226+P226</f>
        <v>#REF!</v>
      </c>
      <c r="U226" s="95" t="e">
        <f>Q226*T226</f>
        <v>#REF!</v>
      </c>
      <c r="V226" s="95" t="e">
        <f>U226*L226</f>
        <v>#REF!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 t="e">
        <f>2*AH215</f>
        <v>#REF!</v>
      </c>
      <c r="AS226" s="83" t="e">
        <f>2*BA215</f>
        <v>#REF!</v>
      </c>
      <c r="AT226" s="3" t="e">
        <f t="shared" si="112"/>
        <v>#REF!</v>
      </c>
      <c r="BJ226" s="3" t="s">
        <v>16</v>
      </c>
      <c r="BK226" s="83" t="e">
        <f>2*BA215</f>
        <v>#REF!</v>
      </c>
      <c r="BL226" s="83" t="e">
        <f>2*BT215</f>
        <v>#REF!</v>
      </c>
      <c r="BM226" s="3" t="e">
        <f t="shared" si="113"/>
        <v>#REF!</v>
      </c>
      <c r="CD226" s="3" t="s">
        <v>16</v>
      </c>
      <c r="CE226" s="83" t="e">
        <f>2*BT215</f>
        <v>#REF!</v>
      </c>
      <c r="CF226" s="83" t="e">
        <f>2*CO225</f>
        <v>#REF!</v>
      </c>
      <c r="CG226" s="3" t="e">
        <f t="shared" si="114"/>
        <v>#REF!</v>
      </c>
      <c r="CJ226" s="364"/>
      <c r="CK226" s="1" t="s">
        <v>17</v>
      </c>
      <c r="CL226" s="4" t="e">
        <f>Z221*$CL$227</f>
        <v>#REF!</v>
      </c>
      <c r="CM226" s="4" t="e">
        <f t="shared" si="121"/>
        <v>#REF!</v>
      </c>
      <c r="CN226" s="3">
        <f>MW_SIO2</f>
        <v>6.00843E-2</v>
      </c>
      <c r="CO226" s="4" t="e">
        <f t="shared" si="115"/>
        <v>#REF!</v>
      </c>
      <c r="CP226" s="4">
        <f>h_SiO2</f>
        <v>-15157.037695371337</v>
      </c>
      <c r="CQ226" s="3">
        <f>b_ch_SiO2</f>
        <v>1.5260000000000673</v>
      </c>
      <c r="CR226" s="4" t="e">
        <f t="shared" si="116"/>
        <v>#REF!</v>
      </c>
      <c r="CS226" s="4" t="e">
        <f t="shared" si="117"/>
        <v>#REF!</v>
      </c>
      <c r="CT226" s="4" t="e">
        <f t="shared" si="118"/>
        <v>#REF!</v>
      </c>
      <c r="CU226" s="4" t="e">
        <f t="shared" si="119"/>
        <v>#REF!</v>
      </c>
      <c r="CV226" s="4" t="e">
        <f t="shared" si="120"/>
        <v>#REF!</v>
      </c>
      <c r="CW226" s="4" t="e">
        <f t="shared" si="122"/>
        <v>#REF!</v>
      </c>
      <c r="CY226" s="367" t="s">
        <v>435</v>
      </c>
      <c r="CZ226" s="367"/>
      <c r="DA226" s="367"/>
      <c r="DB226" s="367"/>
      <c r="DC226" s="367"/>
      <c r="DD226" s="367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 t="e">
        <f>E227*($U$206/1000)</f>
        <v>#REF!</v>
      </c>
      <c r="G227" s="13">
        <v>1.06</v>
      </c>
      <c r="H227" s="13" t="e">
        <f>F227*G227</f>
        <v>#REF!</v>
      </c>
      <c r="J227" s="17" t="s">
        <v>19</v>
      </c>
      <c r="K227" s="17" t="e">
        <f>SUM(K226)</f>
        <v>#REF!</v>
      </c>
      <c r="L227" s="17" t="e">
        <f>SUM(L226)</f>
        <v>#REF!</v>
      </c>
      <c r="M227" s="17">
        <f>SUM(M226)</f>
        <v>0.16731462</v>
      </c>
      <c r="N227" s="17" t="e">
        <f>SUM(N226)</f>
        <v>#REF!</v>
      </c>
      <c r="O227" s="17">
        <f>SUM(O226)</f>
        <v>42600</v>
      </c>
      <c r="P227" s="17"/>
      <c r="Q227" s="17"/>
      <c r="R227" s="17"/>
      <c r="S227" s="17"/>
      <c r="T227" s="17"/>
      <c r="U227" s="17" t="e">
        <f>SUM(U226)</f>
        <v>#REF!</v>
      </c>
      <c r="V227" s="17" t="e">
        <f>SUM(V226)</f>
        <v>#REF!</v>
      </c>
      <c r="AC227" s="1"/>
      <c r="AD227" s="1"/>
      <c r="AE227" s="1"/>
      <c r="AH227" s="4"/>
      <c r="AI227" s="4"/>
      <c r="AJ227" s="4"/>
      <c r="AK227" s="3" t="s">
        <v>520</v>
      </c>
      <c r="AO227" s="50" t="e">
        <f>AE234</f>
        <v>#REF!</v>
      </c>
      <c r="AP227" s="48" t="e">
        <f>AP234</f>
        <v>#REF!</v>
      </c>
      <c r="AQ227" s="3" t="s">
        <v>30</v>
      </c>
      <c r="AR227" s="286" t="e">
        <f>AH216</f>
        <v>#REF!</v>
      </c>
      <c r="AS227" s="286" t="e">
        <f>BA216</f>
        <v>#REF!</v>
      </c>
      <c r="AT227" s="3" t="e">
        <f t="shared" si="112"/>
        <v>#REF!</v>
      </c>
      <c r="BJ227" s="3" t="s">
        <v>30</v>
      </c>
      <c r="BK227" s="286" t="e">
        <f>BA216</f>
        <v>#REF!</v>
      </c>
      <c r="BL227" s="286" t="e">
        <f>BT216</f>
        <v>#REF!</v>
      </c>
      <c r="BM227" s="3" t="e">
        <f t="shared" si="113"/>
        <v>#REF!</v>
      </c>
      <c r="BN227" s="1"/>
      <c r="BP227" s="4"/>
      <c r="BQ227" s="1" t="s">
        <v>554</v>
      </c>
      <c r="BR227" s="1" t="s">
        <v>555</v>
      </c>
      <c r="BS227" s="1" t="s">
        <v>557</v>
      </c>
      <c r="BT227" s="1" t="s">
        <v>85</v>
      </c>
      <c r="BU227" s="1" t="s">
        <v>658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556</v>
      </c>
      <c r="CB227" s="1" t="s">
        <v>50</v>
      </c>
      <c r="CD227" s="3" t="s">
        <v>30</v>
      </c>
      <c r="CE227" s="83" t="e">
        <f>BT216</f>
        <v>#REF!</v>
      </c>
      <c r="CF227" s="83" t="e">
        <f>CO226</f>
        <v>#REF!</v>
      </c>
      <c r="CG227" s="3" t="e">
        <f t="shared" si="114"/>
        <v>#REF!</v>
      </c>
      <c r="CK227" s="62" t="s">
        <v>19</v>
      </c>
      <c r="CL227" s="62" t="e">
        <f>Ash_in_coal</f>
        <v>#REF!</v>
      </c>
      <c r="CM227" s="62" t="e">
        <f>SUM(CM221:CM226)</f>
        <v>#REF!</v>
      </c>
      <c r="CN227" s="62">
        <f>SUM(CN221:CN226)</f>
        <v>0.48009451399999997</v>
      </c>
      <c r="CO227" s="62" t="e">
        <f>SUM(CO221:CO226)</f>
        <v>#REF!</v>
      </c>
      <c r="CP227" s="17" t="e" cm="1">
        <f t="array" ref="CP227">SUM(CL221:CL226*CP221:CP226) / CL227</f>
        <v>#REF!</v>
      </c>
      <c r="CQ227" s="17"/>
      <c r="CR227" s="62" t="e">
        <f>SUM(CR221:CR226)</f>
        <v>#REF!</v>
      </c>
      <c r="CS227" s="17"/>
      <c r="CT227" s="17"/>
      <c r="CU227" s="17"/>
      <c r="CV227" s="62" t="e">
        <f>SUM(CV221:CV226)</f>
        <v>#REF!</v>
      </c>
      <c r="CW227" s="62" t="e">
        <f>SUM(CW221:CW226)</f>
        <v>#REF!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 t="e">
        <f>E228*($U$206/1000)</f>
        <v>#REF!</v>
      </c>
      <c r="G228" s="13">
        <v>1.06</v>
      </c>
      <c r="H228" s="13" t="e">
        <f>F228*G228</f>
        <v>#REF!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659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645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659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566</v>
      </c>
      <c r="DA228" s="13" t="s">
        <v>453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 t="e">
        <f>SUM(F226:F228)</f>
        <v>#REF!</v>
      </c>
      <c r="G229" s="3">
        <v>1.06</v>
      </c>
      <c r="H229" s="3" t="e">
        <f>F229*G229</f>
        <v>#REF!</v>
      </c>
      <c r="AD229" s="4"/>
      <c r="AE229" s="1" t="s">
        <v>554</v>
      </c>
      <c r="AF229" s="1" t="s">
        <v>555</v>
      </c>
      <c r="AG229" s="1" t="s">
        <v>557</v>
      </c>
      <c r="AH229" s="1" t="s">
        <v>85</v>
      </c>
      <c r="AI229" s="1" t="s">
        <v>658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556</v>
      </c>
      <c r="AP229" s="1" t="s">
        <v>50</v>
      </c>
      <c r="BO229" s="355" t="s">
        <v>669</v>
      </c>
      <c r="BP229" s="17" t="s">
        <v>66</v>
      </c>
      <c r="BQ229" s="17">
        <f>H2_to_coke_oven</f>
        <v>3.7964287556080758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1883.2612832153081</v>
      </c>
      <c r="BU229" s="17">
        <f>h_H2</f>
        <v>0</v>
      </c>
      <c r="BV229" s="17">
        <f>b_ch_H2</f>
        <v>236.1</v>
      </c>
      <c r="BW229" s="17">
        <f>BT229/$BT$233</f>
        <v>0.91544766952145851</v>
      </c>
      <c r="BX229" s="17">
        <f>LN(BW229)</f>
        <v>-8.8342077045854353E-2</v>
      </c>
      <c r="BY229" s="17">
        <f>RT0*BX229</f>
        <v>-0.20062212720095451</v>
      </c>
      <c r="BZ229" s="17">
        <f>BV229+BY229</f>
        <v>235.89937787279905</v>
      </c>
      <c r="CA229" s="17">
        <f>BZ229*BW229</f>
        <v>215.95353571521579</v>
      </c>
      <c r="CB229" s="17">
        <f>CA229*$BT$233</f>
        <v>444260.16508242034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 t="e">
        <f>CZ229*CV233</f>
        <v>#REF!</v>
      </c>
      <c r="DB229" s="61" t="e">
        <f>3600*DA229</f>
        <v>#REF!</v>
      </c>
      <c r="DC229" s="13">
        <v>1</v>
      </c>
      <c r="DD229" s="13" t="e">
        <f>DB229*DC229</f>
        <v>#REF!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581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645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55"/>
      <c r="BP230" s="3" t="s">
        <v>65</v>
      </c>
      <c r="BQ230" s="3">
        <f>CH4_to_coke_oven</f>
        <v>2.5952479560831092</v>
      </c>
      <c r="BR230" s="3">
        <f>BQ230/$BQ$233</f>
        <v>0.38375112193347316</v>
      </c>
      <c r="BS230" s="3">
        <f>MW_CH4</f>
        <v>1.604276E-2</v>
      </c>
      <c r="BT230" s="3">
        <f>BQ230/BS230</f>
        <v>161.77066515257408</v>
      </c>
      <c r="BU230" s="3">
        <f>h_CH4</f>
        <v>1.604276E-2</v>
      </c>
      <c r="BV230" s="3">
        <f>b_ch_CH4</f>
        <v>831.8</v>
      </c>
      <c r="BW230" s="3">
        <f>BT230/$BT$233</f>
        <v>7.8636235837663715E-2</v>
      </c>
      <c r="BX230" s="3">
        <f>LN(BW230)</f>
        <v>-2.5429226700357281</v>
      </c>
      <c r="BY230" s="3">
        <f>RT0*BX230</f>
        <v>-5.7748988073406338</v>
      </c>
      <c r="BZ230" s="3">
        <f>BV230+BY230</f>
        <v>826.02510119265935</v>
      </c>
      <c r="CA230" s="3">
        <f>BZ230*BW230</f>
        <v>64.955504665215997</v>
      </c>
      <c r="CB230" s="3">
        <f>CA230*$BT$233</f>
        <v>133626.63005265882</v>
      </c>
    </row>
    <row r="231" spans="2:169" ht="18" customHeight="1" x14ac:dyDescent="0.25">
      <c r="X231" s="4"/>
      <c r="Y231" s="1" t="s">
        <v>583</v>
      </c>
      <c r="Z231" s="1" t="s">
        <v>583</v>
      </c>
      <c r="AA231" s="1" t="s">
        <v>583</v>
      </c>
      <c r="AC231" s="355" t="s">
        <v>520</v>
      </c>
      <c r="AD231" s="17" t="s">
        <v>23</v>
      </c>
      <c r="AE231" s="8" t="e">
        <f>CO2_out_Coal_Ext</f>
        <v>#REF!</v>
      </c>
      <c r="AF231" s="8" t="e">
        <f>AE231/AE234</f>
        <v>#REF!</v>
      </c>
      <c r="AG231" s="1">
        <f>MW_CO2</f>
        <v>4.4009800000000002E-2</v>
      </c>
      <c r="AH231" s="1" t="e">
        <f>N226*CO2_Diesel_molcoeff</f>
        <v>#REF!</v>
      </c>
      <c r="AI231" s="8">
        <f>h_CO2</f>
        <v>-8941.1903712354979</v>
      </c>
      <c r="AJ231" s="1">
        <f>b_ch_CO2</f>
        <v>19.900000000000034</v>
      </c>
      <c r="AK231" s="1" t="e">
        <f>AH231/$AH$234</f>
        <v>#REF!</v>
      </c>
      <c r="AL231" s="1" t="e">
        <f>LN(AK231)</f>
        <v>#REF!</v>
      </c>
      <c r="AM231" s="1" t="e">
        <f>RT0*AL231</f>
        <v>#REF!</v>
      </c>
      <c r="AN231" s="1" t="e">
        <f>AJ231+AM231</f>
        <v>#REF!</v>
      </c>
      <c r="AO231" s="1" t="e">
        <f>AN231*AK231</f>
        <v>#REF!</v>
      </c>
      <c r="AP231" s="8" t="e">
        <f>$AH$234*AO231</f>
        <v>#REF!</v>
      </c>
      <c r="BO231" s="355"/>
      <c r="BP231" s="237" t="s">
        <v>24</v>
      </c>
      <c r="BQ231" s="3">
        <f>O2_to_coke_oven</f>
        <v>0.24267065409682326</v>
      </c>
      <c r="BR231" s="3">
        <f>BQ231/$BQ$233</f>
        <v>3.5882943497443413E-2</v>
      </c>
      <c r="BS231" s="3">
        <f>MW_O2</f>
        <v>3.1998800000000001E-2</v>
      </c>
      <c r="BT231" s="3">
        <f>BQ231/BS231</f>
        <v>7.5837423308631342</v>
      </c>
      <c r="BU231" s="3">
        <f>h_O2</f>
        <v>0</v>
      </c>
      <c r="BV231" s="3">
        <f>b_ch_O2</f>
        <v>4</v>
      </c>
      <c r="BW231" s="3">
        <f>BT231/$BT$233</f>
        <v>3.6864344341996282E-3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-66.164033067616046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582</v>
      </c>
      <c r="Z232" s="3" t="s">
        <v>582</v>
      </c>
      <c r="AA232" s="3" t="s">
        <v>582</v>
      </c>
      <c r="AC232" s="355"/>
      <c r="AD232" s="3" t="s">
        <v>68</v>
      </c>
      <c r="AE232" s="1" t="e">
        <f>H2O_out_Coal_Ext</f>
        <v>#REF!</v>
      </c>
      <c r="AF232" s="1" t="e">
        <f>AE232/AE234</f>
        <v>#REF!</v>
      </c>
      <c r="AG232" s="6">
        <f>MW_H2O</f>
        <v>1.8015280000000002E-2</v>
      </c>
      <c r="AH232" s="1" t="e">
        <f>N226*H2O__Diesel_molcoeff</f>
        <v>#REF!</v>
      </c>
      <c r="AI232" s="1">
        <f>h_H2O</f>
        <v>-13421.939597941302</v>
      </c>
      <c r="AJ232" s="6">
        <f>b_ch_H2O</f>
        <v>9.5113440000000082</v>
      </c>
      <c r="AK232" s="1" t="e">
        <f>AH232/$AH$234</f>
        <v>#REF!</v>
      </c>
      <c r="AL232" s="1" t="e">
        <f t="shared" ref="AL232:AL233" si="123">LN(AK232)</f>
        <v>#REF!</v>
      </c>
      <c r="AM232" s="1" t="e">
        <f>RT0*AL232</f>
        <v>#REF!</v>
      </c>
      <c r="AN232" s="1" t="e">
        <f t="shared" ref="AN232:AN233" si="124">AJ232+AM232</f>
        <v>#REF!</v>
      </c>
      <c r="AO232" s="1" t="e">
        <f>AN232*AK232</f>
        <v>#REF!</v>
      </c>
      <c r="AP232" s="1" t="e">
        <f t="shared" ref="AP232:AP233" si="125">$AH$234*AO232</f>
        <v>#REF!</v>
      </c>
      <c r="BO232" s="355"/>
      <c r="BP232" s="7" t="s">
        <v>67</v>
      </c>
      <c r="BQ232" s="3">
        <f>N2_to_coke_oven</f>
        <v>0.12849398567785134</v>
      </c>
      <c r="BR232" s="3">
        <f>BQ232/$BQ$233</f>
        <v>1.9000000000000003E-2</v>
      </c>
      <c r="BS232" s="3">
        <f>MW_N2</f>
        <v>2.801348E-2</v>
      </c>
      <c r="BT232" s="3">
        <f>BQ232/BS232</f>
        <v>4.5868626703234066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-60.392120209933275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 t="e">
        <f>(N210)+(12*N226)</f>
        <v>#REF!</v>
      </c>
      <c r="Z233" s="83" t="e">
        <f>AH210+AH231</f>
        <v>#REF!</v>
      </c>
      <c r="AA233" s="3" t="e">
        <f>Y233-Z233</f>
        <v>#REF!</v>
      </c>
      <c r="AC233" s="355"/>
      <c r="AD233" s="7" t="s">
        <v>67</v>
      </c>
      <c r="AE233" s="28" t="e">
        <f>N2_in_Coal_Ext</f>
        <v>#REF!</v>
      </c>
      <c r="AF233" s="1" t="e">
        <f>AE233/AE234</f>
        <v>#REF!</v>
      </c>
      <c r="AG233" s="6">
        <f>MW_N2</f>
        <v>2.801348E-2</v>
      </c>
      <c r="AH233" s="1" t="e">
        <f>Diesel_N2_molcoeff*N226</f>
        <v>#REF!</v>
      </c>
      <c r="AI233" s="1">
        <f>h_N2</f>
        <v>0</v>
      </c>
      <c r="AJ233" s="6">
        <f>MW_N2</f>
        <v>2.801348E-2</v>
      </c>
      <c r="AK233" s="1" t="e">
        <f>AH233/$AH$234</f>
        <v>#REF!</v>
      </c>
      <c r="AL233" s="1" t="e">
        <f t="shared" si="123"/>
        <v>#REF!</v>
      </c>
      <c r="AM233" s="1" t="e">
        <f>RT0*AL233</f>
        <v>#REF!</v>
      </c>
      <c r="AN233" s="1" t="e">
        <f t="shared" si="124"/>
        <v>#REF!</v>
      </c>
      <c r="AO233" s="1" t="e">
        <f t="shared" ref="AO233" si="126">AN233*AK233</f>
        <v>#REF!</v>
      </c>
      <c r="AP233" s="1" t="e">
        <f t="shared" si="125"/>
        <v>#REF!</v>
      </c>
      <c r="BP233" s="17" t="s">
        <v>19</v>
      </c>
      <c r="BQ233" s="17">
        <f>SUM(BQ229:BQ232)</f>
        <v>6.762841351465859</v>
      </c>
      <c r="BR233" s="17">
        <f>SUM(BR229:BR232)</f>
        <v>1</v>
      </c>
      <c r="BS233" s="17"/>
      <c r="BT233" s="17">
        <f>SUM(BT229:BT232)</f>
        <v>2057.2025533690689</v>
      </c>
      <c r="BU233" s="17" cm="1">
        <f t="array" ref="BU233">SUM(BQ229:BQ232*BU229:BU232) / BQ233</f>
        <v>6.1564271489094463E-3</v>
      </c>
      <c r="BV233" s="17">
        <f>SUM(BV229:BV232)</f>
        <v>1072.5999999999999</v>
      </c>
      <c r="BW233" s="17">
        <f>SUM(BW229:BW232)</f>
        <v>0.99999999999999978</v>
      </c>
      <c r="BX233" s="17"/>
      <c r="BY233" s="17"/>
      <c r="BZ233" s="17"/>
      <c r="CA233" s="17">
        <f>SUM(CA229:CA232)</f>
        <v>280.84752181335131</v>
      </c>
      <c r="CB233" s="17">
        <f>SUM(CB229:CB232)</f>
        <v>577760.23898180155</v>
      </c>
      <c r="CR233" s="3" t="s">
        <v>526</v>
      </c>
      <c r="CV233" s="50" t="e">
        <f>CL243</f>
        <v>#REF!</v>
      </c>
      <c r="CW233" s="48" t="e">
        <f>CW243</f>
        <v>#REF!</v>
      </c>
      <c r="CY233" s="350" t="s">
        <v>665</v>
      </c>
      <c r="CZ233" s="350"/>
      <c r="DA233" s="350"/>
      <c r="DB233" s="350"/>
      <c r="DC233" s="350"/>
      <c r="DL233" s="3" t="s">
        <v>666</v>
      </c>
      <c r="DP233" s="50">
        <f>DF241</f>
        <v>45.085609009772398</v>
      </c>
      <c r="DQ233" s="48">
        <f>DQ241</f>
        <v>3851734.9265453434</v>
      </c>
      <c r="DS233" s="350" t="s">
        <v>668</v>
      </c>
      <c r="DT233" s="350"/>
      <c r="DU233" s="350"/>
      <c r="DV233" s="350"/>
      <c r="DW233" s="350"/>
      <c r="EG233" s="3" t="s">
        <v>669</v>
      </c>
      <c r="EK233" s="50">
        <f>EA241</f>
        <v>45.085609009772398</v>
      </c>
      <c r="EL233" s="48">
        <f>EL241</f>
        <v>3851734.9265453434</v>
      </c>
      <c r="FA233" s="3" t="s">
        <v>669</v>
      </c>
      <c r="FF233" s="50">
        <f>EV241</f>
        <v>6.762841351465859</v>
      </c>
      <c r="FG233" s="48">
        <f>FG241</f>
        <v>577760.23898180155</v>
      </c>
      <c r="FI233" s="382" t="s">
        <v>418</v>
      </c>
      <c r="FJ233" s="383"/>
      <c r="FK233" s="383"/>
      <c r="FL233" s="383"/>
      <c r="FM233" s="383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4" t="e">
        <f>(mol_H_Coal*N210)+(23*N226)</f>
        <v>#REF!</v>
      </c>
      <c r="Z234" s="284" t="e">
        <f>(mol_H_Coal*AH210)+(2*AH232)</f>
        <v>#REF!</v>
      </c>
      <c r="AA234" s="3" t="e">
        <f t="shared" ref="AA234:AA242" si="127">Y234-Z234</f>
        <v>#REF!</v>
      </c>
      <c r="AC234" s="355"/>
      <c r="AD234" s="17" t="s">
        <v>19</v>
      </c>
      <c r="AE234" s="1" t="e">
        <f>SUM(AE231:AE233)</f>
        <v>#REF!</v>
      </c>
      <c r="AF234" s="8" t="e">
        <f>SUM(AF231:AF233)</f>
        <v>#REF!</v>
      </c>
      <c r="AG234" s="8">
        <f>SUM(AG231:AG233)</f>
        <v>9.0038560000000004E-2</v>
      </c>
      <c r="AH234" s="8" t="e">
        <f>SUM(AH231:AH233)</f>
        <v>#REF!</v>
      </c>
      <c r="AI234" s="17" t="e" cm="1">
        <f t="array" ref="AI234">SUM(AE231:AE233*AI231:AI233) / AE234</f>
        <v>#REF!</v>
      </c>
      <c r="AJ234" s="62"/>
      <c r="AK234" s="8" t="e">
        <f>SUM(AK231:AK233)</f>
        <v>#REF!</v>
      </c>
      <c r="AL234" s="17"/>
      <c r="AM234" s="17"/>
      <c r="AN234" s="17"/>
      <c r="AO234" s="8" t="e">
        <f>SUM(AO231:AO233)</f>
        <v>#REF!</v>
      </c>
      <c r="AP234" s="8" t="e">
        <f>SUM(AP231:AP233)</f>
        <v>#REF!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659</v>
      </c>
      <c r="BV234" s="4"/>
      <c r="BW234" s="4"/>
      <c r="CA234" s="3" t="s">
        <v>96</v>
      </c>
      <c r="CB234" s="1" t="s">
        <v>93</v>
      </c>
      <c r="CY234" s="350"/>
      <c r="CZ234" s="350"/>
      <c r="DA234" s="350"/>
      <c r="DB234" s="350"/>
      <c r="DC234" s="350"/>
      <c r="DS234" s="350"/>
      <c r="DT234" s="350"/>
      <c r="DU234" s="350"/>
      <c r="DV234" s="350"/>
      <c r="DW234" s="350"/>
      <c r="FI234" s="383"/>
      <c r="FJ234" s="383"/>
      <c r="FK234" s="383"/>
      <c r="FL234" s="383"/>
      <c r="FM234" s="383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4" t="e">
        <f>(mol_O_Coal*N210)+(3*N211)+N212+N213+N214+(3*N215)+(2*N216)+(2*N240)</f>
        <v>#REF!</v>
      </c>
      <c r="Z235" s="284" t="e">
        <f>(mol_O_Coal*AH210)+(3*AH211)+AH212+AH213+AH214+(3*AH215)+(2*AH216)+(2*AH231)+AH232</f>
        <v>#REF!</v>
      </c>
      <c r="AA235" s="3" t="e">
        <f t="shared" si="127"/>
        <v>#REF!</v>
      </c>
      <c r="AE235" s="1" t="s">
        <v>89</v>
      </c>
      <c r="AF235" s="1"/>
      <c r="AG235" s="3" t="s">
        <v>91</v>
      </c>
      <c r="AH235" s="3" t="s">
        <v>87</v>
      </c>
      <c r="AI235" s="1" t="s">
        <v>659</v>
      </c>
      <c r="AJ235" s="4"/>
      <c r="AK235" s="4"/>
      <c r="AO235" s="3" t="s">
        <v>96</v>
      </c>
      <c r="AP235" s="1" t="s">
        <v>93</v>
      </c>
      <c r="CK235" s="4"/>
      <c r="CL235" s="1" t="s">
        <v>554</v>
      </c>
      <c r="CM235" s="1" t="s">
        <v>555</v>
      </c>
      <c r="CN235" s="1" t="s">
        <v>557</v>
      </c>
      <c r="CO235" s="1" t="s">
        <v>85</v>
      </c>
      <c r="CP235" s="1" t="s">
        <v>658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556</v>
      </c>
      <c r="CW235" s="1" t="s">
        <v>50</v>
      </c>
      <c r="CY235" s="22" t="s">
        <v>427</v>
      </c>
      <c r="CZ235" s="22" t="s">
        <v>475</v>
      </c>
      <c r="DA235" s="159" t="s">
        <v>337</v>
      </c>
      <c r="DB235" s="351" t="s">
        <v>344</v>
      </c>
      <c r="DC235" s="138" t="s">
        <v>317</v>
      </c>
      <c r="DE235" s="4"/>
      <c r="DF235" s="1" t="s">
        <v>554</v>
      </c>
      <c r="DG235" s="1" t="s">
        <v>555</v>
      </c>
      <c r="DH235" s="1" t="s">
        <v>557</v>
      </c>
      <c r="DI235" s="1" t="s">
        <v>85</v>
      </c>
      <c r="DJ235" s="1" t="s">
        <v>658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556</v>
      </c>
      <c r="DQ235" s="1" t="s">
        <v>50</v>
      </c>
      <c r="DS235" s="22" t="s">
        <v>427</v>
      </c>
      <c r="DT235" s="22" t="s">
        <v>475</v>
      </c>
      <c r="DU235" s="159" t="s">
        <v>337</v>
      </c>
      <c r="DV235" s="351" t="s">
        <v>344</v>
      </c>
      <c r="DW235" s="138" t="s">
        <v>317</v>
      </c>
      <c r="DZ235" s="4"/>
      <c r="EA235" s="1" t="s">
        <v>554</v>
      </c>
      <c r="EB235" s="1" t="s">
        <v>555</v>
      </c>
      <c r="EC235" s="1" t="s">
        <v>557</v>
      </c>
      <c r="ED235" s="1" t="s">
        <v>85</v>
      </c>
      <c r="EE235" s="1" t="s">
        <v>658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556</v>
      </c>
      <c r="EL235" s="1" t="s">
        <v>50</v>
      </c>
      <c r="EU235" s="4"/>
      <c r="EV235" s="1" t="s">
        <v>554</v>
      </c>
      <c r="EW235" s="1" t="s">
        <v>555</v>
      </c>
      <c r="EX235" s="1" t="s">
        <v>557</v>
      </c>
      <c r="EY235" s="1" t="s">
        <v>85</v>
      </c>
      <c r="EZ235" s="1" t="s">
        <v>658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556</v>
      </c>
      <c r="FG235" s="1" t="s">
        <v>50</v>
      </c>
      <c r="FI235" s="383"/>
      <c r="FJ235" s="383"/>
      <c r="FK235" s="383"/>
      <c r="FL235" s="383"/>
      <c r="FM235" s="383"/>
    </row>
    <row r="236" spans="2:169" ht="19" thickBot="1" x14ac:dyDescent="0.3">
      <c r="Q236" s="3" t="s">
        <v>537</v>
      </c>
      <c r="U236" s="50" t="e">
        <f>K242</f>
        <v>#REF!</v>
      </c>
      <c r="V236" s="48" t="e">
        <f>V242</f>
        <v>#REF!</v>
      </c>
      <c r="X236" s="3" t="s">
        <v>363</v>
      </c>
      <c r="Y236" s="83" t="e">
        <f>(mol_N_Coal*N210)+(2*N241)</f>
        <v>#REF!</v>
      </c>
      <c r="Z236" s="83" t="e">
        <f>(mol_N_Coal*AH210)+(2*AH233)</f>
        <v>#REF!</v>
      </c>
      <c r="AA236" s="3" t="e">
        <f t="shared" si="127"/>
        <v>#REF!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645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1" t="s">
        <v>48</v>
      </c>
      <c r="CZ236" s="9" t="s">
        <v>48</v>
      </c>
      <c r="DA236" s="1" t="s">
        <v>89</v>
      </c>
      <c r="DB236" s="352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645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1" t="s">
        <v>48</v>
      </c>
      <c r="DT236" s="9" t="s">
        <v>48</v>
      </c>
      <c r="DU236" s="1" t="s">
        <v>89</v>
      </c>
      <c r="DV236" s="352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645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645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 t="e">
        <f>2*N211</f>
        <v>#REF!</v>
      </c>
      <c r="Z237" s="83" t="e">
        <f>2*AH211</f>
        <v>#REF!</v>
      </c>
      <c r="AA237" s="3" t="e">
        <f t="shared" si="127"/>
        <v>#REF!</v>
      </c>
      <c r="CJ237" s="355" t="s">
        <v>526</v>
      </c>
      <c r="CK237" s="17" t="s">
        <v>66</v>
      </c>
      <c r="CL237" s="17" t="e">
        <f>$CL$243*CM237</f>
        <v>#REF!</v>
      </c>
      <c r="CM237" s="17">
        <v>0.57199999999999995</v>
      </c>
      <c r="CN237" s="17">
        <f>MW_H*2</f>
        <v>2.0158800000000003E-3</v>
      </c>
      <c r="CO237" s="17" t="e">
        <f t="shared" ref="CO237:CO242" si="128">CL237/CN237</f>
        <v>#REF!</v>
      </c>
      <c r="CP237" s="17">
        <f>h_H2</f>
        <v>0</v>
      </c>
      <c r="CQ237" s="17">
        <f>b_ch_H2</f>
        <v>236.1</v>
      </c>
      <c r="CR237" s="17" t="e">
        <f t="shared" ref="CR237:CR242" si="129">CO237/$CO$243</f>
        <v>#REF!</v>
      </c>
      <c r="CS237" s="17" t="e">
        <f t="shared" ref="CS237:CS242" si="130">LN(CR237)</f>
        <v>#REF!</v>
      </c>
      <c r="CT237" s="17" t="e">
        <f t="shared" ref="CT237:CT242" si="131">RT0*CS237</f>
        <v>#REF!</v>
      </c>
      <c r="CU237" s="17" t="e">
        <f t="shared" ref="CU237:CU242" si="132">CQ237+CT237</f>
        <v>#REF!</v>
      </c>
      <c r="CV237" s="17" t="e">
        <f t="shared" ref="CV237:CV242" si="133">CR237*CU237</f>
        <v>#REF!</v>
      </c>
      <c r="CW237" s="17" t="e">
        <f>CV237*$CO$243</f>
        <v>#REF!</v>
      </c>
      <c r="CY237" s="104">
        <f>0</f>
        <v>0</v>
      </c>
      <c r="CZ237" s="99" t="e">
        <f>CW233+DD229-DQ233</f>
        <v>#REF!</v>
      </c>
      <c r="DA237" s="141" t="e">
        <f>DP233-CV233</f>
        <v>#REF!</v>
      </c>
      <c r="DB237" s="139" t="s">
        <v>341</v>
      </c>
      <c r="DC237" s="136" t="e">
        <f>((DI238*(DP238-CV242)))/DD229</f>
        <v>#REF!</v>
      </c>
      <c r="DD237" s="346" t="s">
        <v>666</v>
      </c>
      <c r="DE237" s="17" t="s">
        <v>66</v>
      </c>
      <c r="DF237" s="17">
        <f>H2_out_COtreatment</f>
        <v>25.309525037387171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12555.075221435387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2961734.4338828023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6" t="s">
        <v>523</v>
      </c>
      <c r="DZ237" s="17" t="s">
        <v>66</v>
      </c>
      <c r="EA237" s="17">
        <f>H2_out_COtreatment</f>
        <v>25.309525037387171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12555.075221435387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2961734.4338828023</v>
      </c>
      <c r="ET237" s="381" t="s">
        <v>669</v>
      </c>
      <c r="EU237" s="17" t="s">
        <v>66</v>
      </c>
      <c r="EV237" s="17">
        <f>H2_to_coke_oven</f>
        <v>3.7964287556080758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1883.2612832153081</v>
      </c>
      <c r="EZ237" s="17">
        <f>h_H2</f>
        <v>0</v>
      </c>
      <c r="FA237" s="17">
        <f>b_ch_H2</f>
        <v>236.1</v>
      </c>
      <c r="FB237" s="17">
        <f>EY237/$BT$233</f>
        <v>0.91544766952145851</v>
      </c>
      <c r="FC237" s="17">
        <f>LN(FB237)</f>
        <v>-8.8342077045854353E-2</v>
      </c>
      <c r="FD237" s="17">
        <f>RT0*FC237</f>
        <v>-0.20062212720095451</v>
      </c>
      <c r="FE237" s="17">
        <f>FA237+FD237</f>
        <v>235.89937787279905</v>
      </c>
      <c r="FF237" s="17">
        <f>FE237*FB237</f>
        <v>215.95353571521579</v>
      </c>
      <c r="FG237" s="17">
        <f>FF237*$BT$233</f>
        <v>444260.16508242034</v>
      </c>
    </row>
    <row r="238" spans="2:169" ht="18" x14ac:dyDescent="0.25">
      <c r="E238" s="348" t="s">
        <v>518</v>
      </c>
      <c r="F238" s="348"/>
      <c r="G238" s="348"/>
      <c r="H238" s="348"/>
      <c r="J238" s="4"/>
      <c r="K238" s="1" t="s">
        <v>554</v>
      </c>
      <c r="L238" s="1" t="s">
        <v>555</v>
      </c>
      <c r="M238" s="1" t="s">
        <v>557</v>
      </c>
      <c r="N238" s="1" t="s">
        <v>85</v>
      </c>
      <c r="O238" s="1" t="s">
        <v>658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556</v>
      </c>
      <c r="V238" s="1" t="s">
        <v>50</v>
      </c>
      <c r="X238" s="3" t="s">
        <v>31</v>
      </c>
      <c r="Y238" s="285" t="e">
        <f>N212</f>
        <v>#REF!</v>
      </c>
      <c r="Z238" s="285" t="e">
        <f>AH212</f>
        <v>#REF!</v>
      </c>
      <c r="AA238" s="3" t="e">
        <f t="shared" si="127"/>
        <v>#REF!</v>
      </c>
      <c r="CJ238" s="355"/>
      <c r="CK238" s="4" t="s">
        <v>371</v>
      </c>
      <c r="CL238" s="3" t="e">
        <f t="shared" ref="CL238:CL242" si="134">$CL$243*CM238</f>
        <v>#REF!</v>
      </c>
      <c r="CM238" s="3">
        <v>0.02</v>
      </c>
      <c r="CN238" s="3">
        <f>MW_C2H4</f>
        <v>2.8053759999999997E-2</v>
      </c>
      <c r="CO238" s="3" t="e">
        <f t="shared" si="128"/>
        <v>#REF!</v>
      </c>
      <c r="CP238" s="3">
        <f>h_C2H4</f>
        <v>1867.8423141853357</v>
      </c>
      <c r="CQ238" s="3" cm="1">
        <f t="array" ref="CQ238">b_ch_C2H4</f>
        <v>1361.23</v>
      </c>
      <c r="CR238" s="3" t="e">
        <f t="shared" si="129"/>
        <v>#REF!</v>
      </c>
      <c r="CS238" s="3" t="e">
        <f t="shared" si="130"/>
        <v>#REF!</v>
      </c>
      <c r="CT238" s="3" t="e">
        <f t="shared" si="131"/>
        <v>#REF!</v>
      </c>
      <c r="CU238" s="3" t="e">
        <f t="shared" si="132"/>
        <v>#REF!</v>
      </c>
      <c r="CV238" s="3" t="e">
        <f t="shared" si="133"/>
        <v>#REF!</v>
      </c>
      <c r="CW238" s="3" t="e">
        <f t="shared" ref="CW238:CW242" si="135">CV238*$CO$243</f>
        <v>#REF!</v>
      </c>
      <c r="CY238" s="4"/>
      <c r="CZ238" s="4"/>
      <c r="DB238" s="139" t="s">
        <v>632</v>
      </c>
      <c r="DC238" s="136" t="e">
        <f>DQ233/(CW233+DD229)</f>
        <v>#REF!</v>
      </c>
      <c r="DD238" s="346"/>
      <c r="DE238" s="3" t="s">
        <v>65</v>
      </c>
      <c r="DF238" s="3">
        <f>CH4_out_COtreatment</f>
        <v>17.301653040554061</v>
      </c>
      <c r="DG238" s="3">
        <f t="shared" ref="DG238:DG240" si="136">DF238/$DF$241</f>
        <v>0.3837511219334731</v>
      </c>
      <c r="DH238" s="3">
        <f>MW_CH4</f>
        <v>1.604276E-2</v>
      </c>
      <c r="DI238" s="3">
        <f t="shared" ref="DI238:DI240" si="137">DF238/DH238</f>
        <v>1078.4711010171604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8">LN(DL238)</f>
        <v>-2.5429226700357286</v>
      </c>
      <c r="DN238" s="3">
        <f>RT0*DM238</f>
        <v>-5.7748988073406355</v>
      </c>
      <c r="DO238" s="3">
        <f t="shared" ref="DO238:DO240" si="139">DK238+DN238</f>
        <v>826.02510119265935</v>
      </c>
      <c r="DP238" s="3">
        <f t="shared" ref="DP238:DP240" si="140">DO238*DL238</f>
        <v>64.955504665215983</v>
      </c>
      <c r="DQ238" s="3">
        <f t="shared" ref="DQ238:DQ240" si="141">DP238*$DI$241</f>
        <v>890844.20035105862</v>
      </c>
      <c r="DS238" s="4"/>
      <c r="DT238" s="4"/>
      <c r="DV238" s="139" t="s">
        <v>632</v>
      </c>
      <c r="DW238" s="136">
        <f>EL233/DQ233</f>
        <v>1</v>
      </c>
      <c r="DY238" s="346"/>
      <c r="DZ238" s="3" t="s">
        <v>65</v>
      </c>
      <c r="EA238" s="3">
        <f>CH4_out_COtreatment</f>
        <v>17.301653040554061</v>
      </c>
      <c r="EB238" s="3">
        <f t="shared" ref="EB238:EB240" si="142">EA238/$DF$241</f>
        <v>0.3837511219334731</v>
      </c>
      <c r="EC238" s="3">
        <f>MW_CH4</f>
        <v>1.604276E-2</v>
      </c>
      <c r="ED238" s="3">
        <f t="shared" ref="ED238:ED240" si="143">EA238/EC238</f>
        <v>1078.4711010171604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4">LN(EG238)</f>
        <v>-2.5429226700357286</v>
      </c>
      <c r="EI238" s="3">
        <f>RT0*EH238</f>
        <v>-5.7748988073406355</v>
      </c>
      <c r="EJ238" s="3">
        <f t="shared" ref="EJ238:EJ240" si="145">EF238+EI238</f>
        <v>826.02510119265935</v>
      </c>
      <c r="EK238" s="3">
        <f t="shared" ref="EK238:EK240" si="146">EJ238*EG238</f>
        <v>64.955504665215983</v>
      </c>
      <c r="EL238" s="3">
        <f t="shared" ref="EL238:EL240" si="147">EK238*$DI$241</f>
        <v>890844.20035105862</v>
      </c>
      <c r="EM238" s="132"/>
      <c r="EN238" s="132"/>
      <c r="EO238" s="132"/>
      <c r="EP238" s="132"/>
      <c r="EQ238" s="132"/>
      <c r="ER238" s="132"/>
      <c r="ES238" s="132"/>
      <c r="ET238" s="381"/>
      <c r="EU238" s="3" t="s">
        <v>65</v>
      </c>
      <c r="EV238" s="3">
        <f>CH4_to_coke_oven</f>
        <v>2.5952479560831092</v>
      </c>
      <c r="EW238" s="3">
        <f>EV238/$BQ$233</f>
        <v>0.38375112193347316</v>
      </c>
      <c r="EX238" s="3">
        <f>MW_CH4</f>
        <v>1.604276E-2</v>
      </c>
      <c r="EY238" s="3">
        <f>EV238/EX238</f>
        <v>161.77066515257408</v>
      </c>
      <c r="EZ238" s="3">
        <f>h_CH4</f>
        <v>1.604276E-2</v>
      </c>
      <c r="FA238" s="3">
        <f>b_ch_CH4</f>
        <v>831.8</v>
      </c>
      <c r="FB238" s="3">
        <f>EY238/$BT$233</f>
        <v>7.8636235837663715E-2</v>
      </c>
      <c r="FC238" s="3">
        <f>LN(FB238)</f>
        <v>-2.5429226700357281</v>
      </c>
      <c r="FD238" s="3">
        <f>RT0*FC238</f>
        <v>-5.7748988073406338</v>
      </c>
      <c r="FE238" s="3">
        <f>FA238+FD238</f>
        <v>826.02510119265935</v>
      </c>
      <c r="FF238" s="3">
        <f>FE238*FB238</f>
        <v>64.955504665215997</v>
      </c>
      <c r="FG238" s="3">
        <f>FF238*$BT$233</f>
        <v>133626.63005265882</v>
      </c>
    </row>
    <row r="239" spans="2:169" ht="19" thickBot="1" x14ac:dyDescent="0.3">
      <c r="E239" s="348"/>
      <c r="F239" s="348"/>
      <c r="G239" s="348"/>
      <c r="H239" s="348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645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6" t="e">
        <f>N213</f>
        <v>#REF!</v>
      </c>
      <c r="Z239" s="286" t="e">
        <f>AH213</f>
        <v>#REF!</v>
      </c>
      <c r="AA239" s="3" t="e">
        <f t="shared" si="127"/>
        <v>#REF!</v>
      </c>
      <c r="CJ239" s="355"/>
      <c r="CK239" s="3" t="s">
        <v>122</v>
      </c>
      <c r="CL239" s="3" t="e">
        <f t="shared" si="134"/>
        <v>#REF!</v>
      </c>
      <c r="CM239" s="3">
        <v>4.4999999999999998E-2</v>
      </c>
      <c r="CN239" s="3">
        <f>MW_CO</f>
        <v>2.8010399999999998E-2</v>
      </c>
      <c r="CO239" s="3" t="e">
        <f t="shared" si="128"/>
        <v>#REF!</v>
      </c>
      <c r="CP239" s="3">
        <f>h_CO</f>
        <v>-3944.9632993459577</v>
      </c>
      <c r="CQ239" s="3">
        <f>b_ch_CO</f>
        <v>275.02296000000001</v>
      </c>
      <c r="CR239" s="3" t="e">
        <f t="shared" si="129"/>
        <v>#REF!</v>
      </c>
      <c r="CS239" s="3" t="e">
        <f t="shared" si="130"/>
        <v>#REF!</v>
      </c>
      <c r="CT239" s="3" t="e">
        <f t="shared" si="131"/>
        <v>#REF!</v>
      </c>
      <c r="CU239" s="3" t="e">
        <f t="shared" si="132"/>
        <v>#REF!</v>
      </c>
      <c r="CV239" s="3" t="e">
        <f t="shared" si="133"/>
        <v>#REF!</v>
      </c>
      <c r="CW239" s="3" t="e">
        <f t="shared" si="135"/>
        <v>#REF!</v>
      </c>
      <c r="CY239" s="4"/>
      <c r="CZ239" s="4"/>
      <c r="DB239" s="140" t="s">
        <v>404</v>
      </c>
      <c r="DC239" s="137" t="e">
        <f>DQ238/(CW233+DD229)</f>
        <v>#REF!</v>
      </c>
      <c r="DD239" s="346"/>
      <c r="DE239" s="237" t="s">
        <v>24</v>
      </c>
      <c r="DF239" s="3">
        <f>O2_out_COtreatment</f>
        <v>1.6178043606454884</v>
      </c>
      <c r="DG239" s="3">
        <f t="shared" si="136"/>
        <v>3.5882943497443406E-2</v>
      </c>
      <c r="DH239" s="3">
        <f>MW_O2</f>
        <v>3.1998800000000001E-2</v>
      </c>
      <c r="DI239" s="3">
        <f t="shared" si="137"/>
        <v>50.558282205754224</v>
      </c>
      <c r="DJ239" s="3">
        <f>h_O2</f>
        <v>0</v>
      </c>
      <c r="DK239" s="3">
        <f>b_ch_O2</f>
        <v>4</v>
      </c>
      <c r="DL239" s="3">
        <f>DI239/$DI$241</f>
        <v>3.6864344341996278E-3</v>
      </c>
      <c r="DM239" s="3">
        <f t="shared" si="138"/>
        <v>-5.6030955660719171</v>
      </c>
      <c r="DN239" s="3">
        <f>RT0*DM239</f>
        <v>-12.724456894896331</v>
      </c>
      <c r="DO239" s="3">
        <f t="shared" si="139"/>
        <v>-8.7244568948963312</v>
      </c>
      <c r="DP239" s="3">
        <f t="shared" si="140"/>
        <v>-3.2162138317036196E-2</v>
      </c>
      <c r="DQ239" s="3">
        <f t="shared" si="141"/>
        <v>-441.09355378410692</v>
      </c>
      <c r="DS239" s="4"/>
      <c r="DT239" s="4"/>
      <c r="DV239" s="140" t="s">
        <v>404</v>
      </c>
      <c r="DW239" s="137">
        <f>EL233/DQ233</f>
        <v>1</v>
      </c>
      <c r="DY239" s="346"/>
      <c r="DZ239" s="237" t="s">
        <v>24</v>
      </c>
      <c r="EA239" s="3">
        <f>O2_out_COtreatment</f>
        <v>1.6178043606454884</v>
      </c>
      <c r="EB239" s="3">
        <f t="shared" si="142"/>
        <v>3.5882943497443406E-2</v>
      </c>
      <c r="EC239" s="3">
        <f>MW_O2</f>
        <v>3.1998800000000001E-2</v>
      </c>
      <c r="ED239" s="3">
        <f t="shared" si="143"/>
        <v>50.558282205754224</v>
      </c>
      <c r="EE239" s="3">
        <f>h_O2</f>
        <v>0</v>
      </c>
      <c r="EF239" s="3">
        <f>b_ch_O2</f>
        <v>4</v>
      </c>
      <c r="EG239" s="3">
        <f>ED239/$DI$241</f>
        <v>3.6864344341996278E-3</v>
      </c>
      <c r="EH239" s="3">
        <f t="shared" si="144"/>
        <v>-5.6030955660719171</v>
      </c>
      <c r="EI239" s="3">
        <f>RT0*EH239</f>
        <v>-12.724456894896331</v>
      </c>
      <c r="EJ239" s="3">
        <f t="shared" si="145"/>
        <v>-8.7244568948963312</v>
      </c>
      <c r="EK239" s="3">
        <f t="shared" si="146"/>
        <v>-3.2162138317036196E-2</v>
      </c>
      <c r="EL239" s="3">
        <f t="shared" si="147"/>
        <v>-441.09355378410692</v>
      </c>
      <c r="EM239" s="1"/>
      <c r="EN239" s="1"/>
      <c r="EO239" s="1"/>
      <c r="EP239" s="1"/>
      <c r="EQ239" s="1"/>
      <c r="ER239" s="1"/>
      <c r="ES239" s="1"/>
      <c r="ET239" s="381"/>
      <c r="EU239" s="237" t="s">
        <v>24</v>
      </c>
      <c r="EV239" s="3">
        <f>O2_to_coke_oven</f>
        <v>0.24267065409682326</v>
      </c>
      <c r="EW239" s="3">
        <f>EV239/$BQ$233</f>
        <v>3.5882943497443413E-2</v>
      </c>
      <c r="EX239" s="3">
        <f>MW_O2</f>
        <v>3.1998800000000001E-2</v>
      </c>
      <c r="EY239" s="3">
        <f>EV239/EX239</f>
        <v>7.5837423308631342</v>
      </c>
      <c r="EZ239" s="3">
        <f>h_O2</f>
        <v>0</v>
      </c>
      <c r="FA239" s="3">
        <f>b_ch_O2</f>
        <v>4</v>
      </c>
      <c r="FB239" s="3">
        <f>EY239/$BT$233</f>
        <v>3.6864344341996282E-3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-66.164033067616046</v>
      </c>
    </row>
    <row r="240" spans="2:169" ht="18" customHeight="1" x14ac:dyDescent="0.25">
      <c r="I240" s="355" t="s">
        <v>524</v>
      </c>
      <c r="J240" s="8" t="s">
        <v>303</v>
      </c>
      <c r="K240" s="17" t="e">
        <f>O2_in_Coal_Ext</f>
        <v>#REF!</v>
      </c>
      <c r="L240" s="17" t="e">
        <f>K240/$BQ$248</f>
        <v>#REF!</v>
      </c>
      <c r="M240" s="3">
        <f>MW_O2</f>
        <v>3.1998800000000001E-2</v>
      </c>
      <c r="N240" s="3" t="e">
        <f>O2_Diesel_molcoeff*N226</f>
        <v>#REF!</v>
      </c>
      <c r="O240" s="17">
        <f>h_O2</f>
        <v>0</v>
      </c>
      <c r="P240" s="3">
        <f>b_ch_O2</f>
        <v>4</v>
      </c>
      <c r="Q240" s="3" t="e">
        <f>N240/N242</f>
        <v>#REF!</v>
      </c>
      <c r="R240" s="1" t="e">
        <f>LN(Q240)</f>
        <v>#REF!</v>
      </c>
      <c r="S240" s="1" t="e">
        <f>RT0*R240</f>
        <v>#REF!</v>
      </c>
      <c r="T240" s="1" t="e">
        <f>P240+S240</f>
        <v>#REF!</v>
      </c>
      <c r="U240" s="1" t="e">
        <f>T240*Q240</f>
        <v>#REF!</v>
      </c>
      <c r="V240" s="1" t="e">
        <f>N242*U240</f>
        <v>#REF!</v>
      </c>
      <c r="X240" s="3" t="s">
        <v>313</v>
      </c>
      <c r="Y240" s="83" t="e">
        <f>2*N214</f>
        <v>#REF!</v>
      </c>
      <c r="Z240" s="83" t="e">
        <f>2*AH214</f>
        <v>#REF!</v>
      </c>
      <c r="AA240" s="3" t="e">
        <f t="shared" si="127"/>
        <v>#REF!</v>
      </c>
      <c r="CA240" s="63" t="s">
        <v>1</v>
      </c>
      <c r="CB240" s="58" t="s">
        <v>0</v>
      </c>
      <c r="CJ240" s="355"/>
      <c r="CK240" s="7" t="s">
        <v>64</v>
      </c>
      <c r="CL240" s="3" t="e">
        <f t="shared" si="134"/>
        <v>#REF!</v>
      </c>
      <c r="CM240" s="3">
        <v>1.4E-2</v>
      </c>
      <c r="CN240" s="3">
        <f>MW_CO2</f>
        <v>4.4009800000000002E-2</v>
      </c>
      <c r="CO240" s="3" t="e">
        <f t="shared" si="128"/>
        <v>#REF!</v>
      </c>
      <c r="CP240" s="3">
        <f>h_CO2</f>
        <v>-8941.1903712354979</v>
      </c>
      <c r="CQ240" s="3">
        <f>b_ch_CO2</f>
        <v>19.900000000000034</v>
      </c>
      <c r="CR240" s="3" t="e">
        <f t="shared" si="129"/>
        <v>#REF!</v>
      </c>
      <c r="CS240" s="3" t="e">
        <f t="shared" si="130"/>
        <v>#REF!</v>
      </c>
      <c r="CT240" s="3" t="e">
        <f t="shared" si="131"/>
        <v>#REF!</v>
      </c>
      <c r="CU240" s="3" t="e">
        <f t="shared" si="132"/>
        <v>#REF!</v>
      </c>
      <c r="CV240" s="3" t="e">
        <f t="shared" si="133"/>
        <v>#REF!</v>
      </c>
      <c r="CW240" s="3" t="e">
        <f t="shared" si="135"/>
        <v>#REF!</v>
      </c>
      <c r="DD240" s="346"/>
      <c r="DE240" s="7" t="s">
        <v>67</v>
      </c>
      <c r="DF240" s="3">
        <f>N2_out_COtreatment</f>
        <v>0.85662657118567553</v>
      </c>
      <c r="DG240" s="3">
        <f t="shared" si="136"/>
        <v>1.9E-2</v>
      </c>
      <c r="DH240" s="3">
        <f>MW_N2</f>
        <v>2.801348E-2</v>
      </c>
      <c r="DI240" s="3">
        <f t="shared" si="137"/>
        <v>30.579084468822707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8"/>
        <v>-6.1059060788071511</v>
      </c>
      <c r="DN240" s="3">
        <f>RT0*DM240</f>
        <v>-13.866324032473203</v>
      </c>
      <c r="DO240" s="3">
        <f t="shared" si="139"/>
        <v>-13.166324032473204</v>
      </c>
      <c r="DP240" s="3">
        <f t="shared" si="140"/>
        <v>-2.9356428763433841E-2</v>
      </c>
      <c r="DQ240" s="3">
        <f t="shared" si="141"/>
        <v>-402.61413473288854</v>
      </c>
      <c r="DY240" s="346"/>
      <c r="DZ240" s="7" t="s">
        <v>67</v>
      </c>
      <c r="EA240" s="3">
        <f>N2_out_COtreatment</f>
        <v>0.85662657118567553</v>
      </c>
      <c r="EB240" s="3">
        <f t="shared" si="142"/>
        <v>1.9E-2</v>
      </c>
      <c r="EC240" s="3">
        <f>MW_N2</f>
        <v>2.801348E-2</v>
      </c>
      <c r="ED240" s="3">
        <f t="shared" si="143"/>
        <v>30.579084468822707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4"/>
        <v>-6.1059060788071511</v>
      </c>
      <c r="EI240" s="3">
        <f>RT0*EH240</f>
        <v>-13.866324032473203</v>
      </c>
      <c r="EJ240" s="3">
        <f t="shared" si="145"/>
        <v>-13.166324032473204</v>
      </c>
      <c r="EK240" s="3">
        <f t="shared" si="146"/>
        <v>-2.9356428763433841E-2</v>
      </c>
      <c r="EL240" s="3">
        <f t="shared" si="147"/>
        <v>-402.61413473288854</v>
      </c>
      <c r="ET240" s="381"/>
      <c r="EU240" s="7" t="s">
        <v>67</v>
      </c>
      <c r="EV240" s="3">
        <f>N2_to_coke_oven</f>
        <v>0.12849398567785134</v>
      </c>
      <c r="EW240" s="3">
        <f>EV240/$BQ$233</f>
        <v>1.9000000000000003E-2</v>
      </c>
      <c r="EX240" s="3">
        <f>MW_N2</f>
        <v>2.801348E-2</v>
      </c>
      <c r="EY240" s="3">
        <f>EV240/EX240</f>
        <v>4.5868626703234066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-60.392120209933275</v>
      </c>
    </row>
    <row r="241" spans="9:163" ht="18" x14ac:dyDescent="0.25">
      <c r="I241" s="355"/>
      <c r="J241" s="60" t="s">
        <v>67</v>
      </c>
      <c r="K241" s="3" t="e">
        <f>N2_in_Coal_Ext</f>
        <v>#REF!</v>
      </c>
      <c r="L241" s="3" t="e">
        <f>K241/$BQ$248</f>
        <v>#REF!</v>
      </c>
      <c r="M241" s="28">
        <f>MW_N2</f>
        <v>2.801348E-2</v>
      </c>
      <c r="N241" s="28" t="e">
        <f>AH233</f>
        <v>#REF!</v>
      </c>
      <c r="O241" s="28">
        <f>h_N2</f>
        <v>0</v>
      </c>
      <c r="P241" s="28">
        <f>b_ch_N2</f>
        <v>0.7</v>
      </c>
      <c r="Q241" s="28" t="e">
        <f>N241/N242</f>
        <v>#REF!</v>
      </c>
      <c r="R241" s="2" t="e">
        <f>LN(Q241)</f>
        <v>#REF!</v>
      </c>
      <c r="S241" s="2" t="e">
        <f>RT0*R241</f>
        <v>#REF!</v>
      </c>
      <c r="T241" s="2" t="e">
        <f>P241+S241</f>
        <v>#REF!</v>
      </c>
      <c r="U241" s="2" t="e">
        <f>T241*Q241</f>
        <v>#REF!</v>
      </c>
      <c r="V241" s="2" t="e">
        <f>N242*U241</f>
        <v>#REF!</v>
      </c>
      <c r="X241" s="3" t="s">
        <v>16</v>
      </c>
      <c r="Y241" s="83" t="e">
        <f>2*N215</f>
        <v>#REF!</v>
      </c>
      <c r="Z241" s="83" t="e">
        <f>2*AH215</f>
        <v>#REF!</v>
      </c>
      <c r="AA241" s="3" t="e">
        <f t="shared" si="127"/>
        <v>#REF!</v>
      </c>
      <c r="CA241" s="65" t="s">
        <v>89</v>
      </c>
      <c r="CB241" s="64" t="s">
        <v>93</v>
      </c>
      <c r="CJ241" s="355"/>
      <c r="CK241" s="7" t="s">
        <v>67</v>
      </c>
      <c r="CL241" s="3" t="e">
        <f t="shared" si="134"/>
        <v>#REF!</v>
      </c>
      <c r="CM241" s="3">
        <v>1.9E-2</v>
      </c>
      <c r="CN241" s="3">
        <f>MW_N2</f>
        <v>2.801348E-2</v>
      </c>
      <c r="CO241" s="3" t="e">
        <f t="shared" si="128"/>
        <v>#REF!</v>
      </c>
      <c r="CP241" s="3">
        <f>h_N2</f>
        <v>0</v>
      </c>
      <c r="CQ241" s="3">
        <f>b_ch_N2</f>
        <v>0.7</v>
      </c>
      <c r="CR241" s="3" t="e">
        <f t="shared" si="129"/>
        <v>#REF!</v>
      </c>
      <c r="CS241" s="3" t="e">
        <f t="shared" si="130"/>
        <v>#REF!</v>
      </c>
      <c r="CT241" s="3" t="e">
        <f t="shared" si="131"/>
        <v>#REF!</v>
      </c>
      <c r="CU241" s="3" t="e">
        <f t="shared" si="132"/>
        <v>#REF!</v>
      </c>
      <c r="CV241" s="3" t="e">
        <f t="shared" si="133"/>
        <v>#REF!</v>
      </c>
      <c r="CW241" s="3" t="e">
        <f t="shared" si="135"/>
        <v>#REF!</v>
      </c>
      <c r="DE241" s="17" t="s">
        <v>19</v>
      </c>
      <c r="DF241" s="17">
        <f>SUM(DF237:DF240)</f>
        <v>45.085609009772398</v>
      </c>
      <c r="DG241" s="17">
        <f>SUM(DG237:DG240)</f>
        <v>1</v>
      </c>
      <c r="DH241" s="17"/>
      <c r="DI241" s="17">
        <f>SUM(DI237:DI240)</f>
        <v>13714.683689127127</v>
      </c>
      <c r="DJ241" s="17" cm="1">
        <f t="array" ref="DJ241">SUM(DF237:DF240*DJ237:DJ240) / DF241</f>
        <v>6.1564271489094454E-3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3851734.9265453434</v>
      </c>
      <c r="DZ241" s="17" t="s">
        <v>19</v>
      </c>
      <c r="EA241" s="17">
        <f>SUM(EA237:EA240)</f>
        <v>45.085609009772398</v>
      </c>
      <c r="EB241" s="17">
        <f>SUM(EB237:EB240)</f>
        <v>1</v>
      </c>
      <c r="EC241" s="17"/>
      <c r="ED241" s="17">
        <f>SUM(ED237:ED240)</f>
        <v>13714.683689127127</v>
      </c>
      <c r="EE241" s="17" cm="1">
        <f t="array" ref="EE241">SUM(EA237:EA240*EE237:EE240) / EA241</f>
        <v>6.1564271489094454E-3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3851734.9265453434</v>
      </c>
      <c r="EU241" s="17" t="s">
        <v>19</v>
      </c>
      <c r="EV241" s="17">
        <f>SUM(EV237:EV240)</f>
        <v>6.762841351465859</v>
      </c>
      <c r="EW241" s="17">
        <f>SUM(EW237:EW240)</f>
        <v>1</v>
      </c>
      <c r="EX241" s="17"/>
      <c r="EY241" s="17">
        <f>SUM(EY237:EY240)</f>
        <v>2057.2025533690689</v>
      </c>
      <c r="EZ241" s="17" cm="1">
        <f t="array" ref="EZ241">SUM(EV237:EV240*EZ237:EZ240) / EV241</f>
        <v>6.1564271489094463E-3</v>
      </c>
      <c r="FA241" s="17">
        <f>SUM(FA237:FA240)</f>
        <v>1072.5999999999999</v>
      </c>
      <c r="FB241" s="17">
        <f>SUM(FB237:FB240)</f>
        <v>0.99999999999999978</v>
      </c>
      <c r="FC241" s="17"/>
      <c r="FD241" s="17"/>
      <c r="FE241" s="17"/>
      <c r="FF241" s="17">
        <f>SUM(FF237:FF240)</f>
        <v>280.84752181335131</v>
      </c>
      <c r="FG241" s="17">
        <f>SUM(FG237:FG240)</f>
        <v>577760.23898180155</v>
      </c>
    </row>
    <row r="242" spans="9:163" ht="19" thickBot="1" x14ac:dyDescent="0.3">
      <c r="J242" s="3" t="s">
        <v>19</v>
      </c>
      <c r="K242" s="17" t="e">
        <f>SUM(K240:K241)</f>
        <v>#REF!</v>
      </c>
      <c r="L242" s="17" t="e">
        <f>SUM(L240:L241)</f>
        <v>#REF!</v>
      </c>
      <c r="M242" s="3">
        <f>SUM(M240:M241)</f>
        <v>6.0012280000000001E-2</v>
      </c>
      <c r="N242" s="3" t="e">
        <f>SUM(N240:N241)</f>
        <v>#REF!</v>
      </c>
      <c r="O242" s="3">
        <f>SUM(O240:O241)</f>
        <v>0</v>
      </c>
      <c r="U242" s="3" t="e">
        <f>SUM(U240:U241)</f>
        <v>#REF!</v>
      </c>
      <c r="V242" s="3" t="e">
        <f>SUM(V240:V241)</f>
        <v>#REF!</v>
      </c>
      <c r="X242" s="3" t="s">
        <v>30</v>
      </c>
      <c r="Y242" s="286" t="e">
        <f>N216</f>
        <v>#REF!</v>
      </c>
      <c r="Z242" s="286" t="e">
        <f>AH216</f>
        <v>#REF!</v>
      </c>
      <c r="AA242" s="3" t="e">
        <f t="shared" si="127"/>
        <v>#REF!</v>
      </c>
      <c r="BW242" s="3" t="s">
        <v>524</v>
      </c>
      <c r="CA242" s="50" t="e">
        <f>BQ248</f>
        <v>#REF!</v>
      </c>
      <c r="CB242" s="48" t="e">
        <f>CB248</f>
        <v>#REF!</v>
      </c>
      <c r="CJ242" s="355"/>
      <c r="CK242" s="3" t="s">
        <v>65</v>
      </c>
      <c r="CL242" s="3" t="e">
        <f t="shared" si="134"/>
        <v>#REF!</v>
      </c>
      <c r="CM242" s="3">
        <v>0.33</v>
      </c>
      <c r="CN242" s="3">
        <f>MW_CH4</f>
        <v>1.604276E-2</v>
      </c>
      <c r="CO242" s="3" t="e">
        <f t="shared" si="128"/>
        <v>#REF!</v>
      </c>
      <c r="CP242" s="3">
        <f>h_CH4</f>
        <v>1.604276E-2</v>
      </c>
      <c r="CQ242" s="3">
        <f>b_ch_CH4</f>
        <v>831.8</v>
      </c>
      <c r="CR242" s="3" t="e">
        <f t="shared" si="129"/>
        <v>#REF!</v>
      </c>
      <c r="CS242" s="3" t="e">
        <f t="shared" si="130"/>
        <v>#REF!</v>
      </c>
      <c r="CT242" s="3" t="e">
        <f t="shared" si="131"/>
        <v>#REF!</v>
      </c>
      <c r="CU242" s="3" t="e">
        <f t="shared" si="132"/>
        <v>#REF!</v>
      </c>
      <c r="CV242" s="3" t="e">
        <f t="shared" si="133"/>
        <v>#REF!</v>
      </c>
      <c r="CW242" s="3" t="e">
        <f t="shared" si="135"/>
        <v>#REF!</v>
      </c>
      <c r="DF242" s="1" t="s">
        <v>89</v>
      </c>
      <c r="DG242" s="1"/>
      <c r="DH242" s="3" t="s">
        <v>91</v>
      </c>
      <c r="DI242" s="3" t="s">
        <v>87</v>
      </c>
      <c r="DJ242" s="1" t="s">
        <v>659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659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581</v>
      </c>
      <c r="EV242" s="1" t="s">
        <v>89</v>
      </c>
      <c r="EW242" s="1"/>
      <c r="EX242" s="3" t="s">
        <v>91</v>
      </c>
      <c r="EY242" s="3" t="s">
        <v>87</v>
      </c>
      <c r="EZ242" s="1" t="s">
        <v>659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659</v>
      </c>
      <c r="P243" s="4"/>
      <c r="Q243" s="4"/>
      <c r="U243" s="3" t="s">
        <v>96</v>
      </c>
      <c r="V243" s="1" t="s">
        <v>93</v>
      </c>
      <c r="CK243" s="17" t="s">
        <v>19</v>
      </c>
      <c r="CL243" s="17" t="e">
        <f>COG_needed</f>
        <v>#REF!</v>
      </c>
      <c r="CM243" s="17">
        <f>SUM(CM237:CM242)</f>
        <v>1</v>
      </c>
      <c r="CN243" s="17"/>
      <c r="CO243" s="17" t="e">
        <f>SUM(CO237:CO242)</f>
        <v>#REF!</v>
      </c>
      <c r="CP243" s="17" t="e" cm="1">
        <f t="array" ref="CP243">SUM(CL237:CL242*CP237:CP242) / CL243</f>
        <v>#REF!</v>
      </c>
      <c r="CQ243" s="17">
        <f>SUM(CQ237:CQ242)</f>
        <v>2724.7529599999998</v>
      </c>
      <c r="CR243" s="17" t="e">
        <f>SUM(CR237:CR242)</f>
        <v>#REF!</v>
      </c>
      <c r="CS243" s="17"/>
      <c r="CT243" s="17"/>
      <c r="CU243" s="17"/>
      <c r="CV243" s="17" t="e">
        <f>SUM(CV237:CV242)</f>
        <v>#REF!</v>
      </c>
      <c r="CW243" s="17" t="e">
        <f>SUM(CW237:CW242)</f>
        <v>#REF!</v>
      </c>
      <c r="CY243" s="4"/>
      <c r="CZ243" s="3" t="s">
        <v>2</v>
      </c>
      <c r="DA243" s="3" t="s">
        <v>3</v>
      </c>
      <c r="DB243" s="132" t="s">
        <v>581</v>
      </c>
      <c r="EO243" s="4"/>
      <c r="EP243" s="1" t="s">
        <v>583</v>
      </c>
      <c r="EQ243" s="1" t="s">
        <v>583</v>
      </c>
      <c r="ER243" s="1" t="s">
        <v>583</v>
      </c>
    </row>
    <row r="244" spans="9:163" ht="18" x14ac:dyDescent="0.25">
      <c r="BK244" s="348" t="s">
        <v>518</v>
      </c>
      <c r="BL244" s="348"/>
      <c r="BM244" s="348"/>
      <c r="BN244" s="348"/>
      <c r="BP244" s="4"/>
      <c r="BQ244" s="1" t="s">
        <v>554</v>
      </c>
      <c r="BR244" s="1" t="s">
        <v>555</v>
      </c>
      <c r="BS244" s="1" t="s">
        <v>557</v>
      </c>
      <c r="BT244" s="1" t="s">
        <v>85</v>
      </c>
      <c r="BU244" s="1" t="s">
        <v>658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556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659</v>
      </c>
      <c r="CQ244" s="4"/>
      <c r="CR244" s="4"/>
      <c r="CV244" s="3" t="s">
        <v>96</v>
      </c>
      <c r="CW244" s="1" t="s">
        <v>93</v>
      </c>
      <c r="CY244" s="4"/>
      <c r="CZ244" s="1" t="s">
        <v>583</v>
      </c>
      <c r="DA244" s="1" t="s">
        <v>583</v>
      </c>
      <c r="DB244" s="1" t="s">
        <v>583</v>
      </c>
      <c r="EO244" s="4" t="s">
        <v>60</v>
      </c>
      <c r="EP244" s="3" t="s">
        <v>582</v>
      </c>
      <c r="EQ244" s="3" t="s">
        <v>582</v>
      </c>
      <c r="ER244" s="3" t="s">
        <v>582</v>
      </c>
    </row>
    <row r="245" spans="9:163" ht="18" x14ac:dyDescent="0.25">
      <c r="BK245" s="348"/>
      <c r="BL245" s="348"/>
      <c r="BM245" s="348"/>
      <c r="BN245" s="348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645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582</v>
      </c>
      <c r="DA245" s="3" t="s">
        <v>582</v>
      </c>
      <c r="DB245" s="3" t="s">
        <v>582</v>
      </c>
      <c r="EO245" s="3" t="s">
        <v>18</v>
      </c>
      <c r="EP245" s="83">
        <f>DI238</f>
        <v>1078.4711010171604</v>
      </c>
      <c r="EQ245" s="83">
        <f>EY238+EE157+BT230</f>
        <v>1078.4711010171604</v>
      </c>
      <c r="ER245" s="3">
        <f>EP245-EQ245</f>
        <v>0</v>
      </c>
    </row>
    <row r="246" spans="9:163" ht="18" customHeight="1" x14ac:dyDescent="0.25">
      <c r="BO246" s="364" t="s">
        <v>519</v>
      </c>
      <c r="BP246" s="8" t="s">
        <v>303</v>
      </c>
      <c r="BQ246" s="17" t="e">
        <f>O2_in_coke_oven+O2_for_coke_oven_comb</f>
        <v>#REF!</v>
      </c>
      <c r="BR246" s="17" t="e">
        <f>BQ246/$BQ$248</f>
        <v>#REF!</v>
      </c>
      <c r="BS246" s="3">
        <f>MW_O2</f>
        <v>3.1998800000000001E-2</v>
      </c>
      <c r="BT246" s="3" t="e">
        <f>BQ246/BS246</f>
        <v>#REF!</v>
      </c>
      <c r="BU246" s="27">
        <f>h_O2</f>
        <v>0</v>
      </c>
      <c r="BV246" s="3">
        <f>b_ch_O2</f>
        <v>4</v>
      </c>
      <c r="BW246" s="3" t="e">
        <f>BT246/BT248</f>
        <v>#REF!</v>
      </c>
      <c r="BX246" s="1" t="e">
        <f>LN(BW246)</f>
        <v>#REF!</v>
      </c>
      <c r="BY246" s="1" t="e">
        <f>RT0*BX246</f>
        <v>#REF!</v>
      </c>
      <c r="BZ246" s="1" t="e">
        <f>BV246+BY246</f>
        <v>#REF!</v>
      </c>
      <c r="CA246" s="1" t="e">
        <f>BZ246*BW246</f>
        <v>#REF!</v>
      </c>
      <c r="CB246" s="1" t="e">
        <f>BT248*CA246</f>
        <v>#REF!</v>
      </c>
      <c r="CP246" s="3" t="e">
        <f>((CL237*CP237)+(CL238*CP238)+(CL239*CP239)+(CL240*CP240)+(CL241*CP241)+(CL242*CP242))/CL243</f>
        <v>#REF!</v>
      </c>
      <c r="CY246" s="3" t="s">
        <v>18</v>
      </c>
      <c r="CZ246" s="83" t="e">
        <f>(2*CO238)+CO239+CO240+CO242</f>
        <v>#REF!</v>
      </c>
      <c r="DA246" s="83">
        <f>DI238</f>
        <v>1078.4711010171604</v>
      </c>
      <c r="DB246" s="3" t="e">
        <f>CZ246-DA246</f>
        <v>#REF!</v>
      </c>
      <c r="EO246" s="3" t="s">
        <v>182</v>
      </c>
      <c r="EP246" s="83">
        <f>(2*DI237)+(4*DI238)</f>
        <v>29424.034846939416</v>
      </c>
      <c r="EQ246" s="83">
        <f>(2*EY237)+(4*EY238)+(2*EE156)+(4*EE157)+(2*BT229)+(4*BT230)</f>
        <v>29424.034846939416</v>
      </c>
      <c r="ER246" s="3">
        <f t="shared" ref="ER246:ER248" si="148">EP246-EQ246</f>
        <v>0</v>
      </c>
    </row>
    <row r="247" spans="9:163" ht="19" thickBot="1" x14ac:dyDescent="0.3">
      <c r="BO247" s="364"/>
      <c r="BP247" s="60" t="s">
        <v>67</v>
      </c>
      <c r="BQ247" s="3" t="e">
        <f>N2_in_coke_oven+N2_for_coke_oven_comb</f>
        <v>#REF!</v>
      </c>
      <c r="BR247" s="3" t="e">
        <f>BQ247/$BQ$248</f>
        <v>#REF!</v>
      </c>
      <c r="BS247" s="28">
        <f>MW_N2</f>
        <v>2.801348E-2</v>
      </c>
      <c r="BT247" s="28" t="e">
        <f>BQ247/BS247</f>
        <v>#REF!</v>
      </c>
      <c r="BU247" s="6">
        <f>h_N2</f>
        <v>0</v>
      </c>
      <c r="BV247" s="28">
        <f>b_ch_N2</f>
        <v>0.7</v>
      </c>
      <c r="BW247" s="28" t="e">
        <f>BT247/BT248</f>
        <v>#REF!</v>
      </c>
      <c r="BX247" s="2" t="e">
        <f>LN(BW247)</f>
        <v>#REF!</v>
      </c>
      <c r="BY247" s="2" t="e">
        <f>RT0*BX247</f>
        <v>#REF!</v>
      </c>
      <c r="BZ247" s="2" t="e">
        <f>BV247+BY247</f>
        <v>#REF!</v>
      </c>
      <c r="CA247" s="2" t="e">
        <f>BZ247*BW247</f>
        <v>#REF!</v>
      </c>
      <c r="CB247" s="2" t="e">
        <f>BT248*CA247</f>
        <v>#REF!</v>
      </c>
      <c r="CY247" s="3" t="s">
        <v>182</v>
      </c>
      <c r="CZ247" s="83" t="e">
        <f>(2*CO237)+(4*CO238)+(4*CO242)</f>
        <v>#REF!</v>
      </c>
      <c r="DA247" s="83">
        <f>(4*DI238)+(2*DI237)</f>
        <v>29424.034846939416</v>
      </c>
      <c r="DB247" s="3" t="e">
        <f t="shared" ref="DB247:DB249" si="149">CZ247-DA247</f>
        <v>#REF!</v>
      </c>
      <c r="EO247" s="3" t="s">
        <v>29</v>
      </c>
      <c r="EP247" s="83">
        <f>2*DI239</f>
        <v>101.11656441150845</v>
      </c>
      <c r="EQ247" s="83">
        <f>(2*EY239)+(2*EE158)+(2*BT231)</f>
        <v>101.11656441150843</v>
      </c>
      <c r="ER247" s="3">
        <f t="shared" si="148"/>
        <v>0</v>
      </c>
    </row>
    <row r="248" spans="9:163" ht="16" x14ac:dyDescent="0.2">
      <c r="BP248" s="3" t="s">
        <v>19</v>
      </c>
      <c r="BQ248" s="17" t="e">
        <f>SUM(BQ246:BQ247)</f>
        <v>#REF!</v>
      </c>
      <c r="BR248" s="17" t="e">
        <f>SUM(BR246:BR247)</f>
        <v>#REF!</v>
      </c>
      <c r="BS248" s="3">
        <f>SUM(BS246:BS247)</f>
        <v>6.0012280000000001E-2</v>
      </c>
      <c r="BT248" s="3" t="e">
        <f>SUM(BT246:BT247)</f>
        <v>#REF!</v>
      </c>
      <c r="BU248" s="27">
        <f>SUM(BU246:BU247)</f>
        <v>0</v>
      </c>
      <c r="CA248" s="3" t="e">
        <f>SUM(CA246:CA247)</f>
        <v>#REF!</v>
      </c>
      <c r="CB248" s="3" t="e">
        <f>SUM(CB246:CB247)</f>
        <v>#REF!</v>
      </c>
      <c r="CV248" s="63" t="s">
        <v>1</v>
      </c>
      <c r="CW248" s="58" t="s">
        <v>0</v>
      </c>
      <c r="CY248" s="3" t="s">
        <v>29</v>
      </c>
      <c r="CZ248" s="83" t="e">
        <f>CO239+(2*CO240)</f>
        <v>#REF!</v>
      </c>
      <c r="DA248" s="83">
        <f>(2*DI239)</f>
        <v>101.11656441150845</v>
      </c>
      <c r="DB248" s="3" t="e">
        <f t="shared" si="149"/>
        <v>#REF!</v>
      </c>
      <c r="EO248" s="3" t="s">
        <v>363</v>
      </c>
      <c r="EP248" s="83">
        <f>2*DI240</f>
        <v>61.158168937645414</v>
      </c>
      <c r="EQ248" s="83">
        <f>(2*EY240)+(2*BT232)+(2*EE159)</f>
        <v>61.158168937645414</v>
      </c>
      <c r="ER248" s="3">
        <f t="shared" si="148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659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 t="e">
        <f>(2*CO241)</f>
        <v>#REF!</v>
      </c>
      <c r="DA249" s="83">
        <f>2*DI240</f>
        <v>61.158168937645414</v>
      </c>
      <c r="DB249" s="3" t="e">
        <f t="shared" si="149"/>
        <v>#REF!</v>
      </c>
    </row>
    <row r="250" spans="9:163" ht="16" thickBot="1" x14ac:dyDescent="0.25">
      <c r="CR250" s="3" t="s">
        <v>527</v>
      </c>
      <c r="CV250" s="50" t="e">
        <f>CL257</f>
        <v>#REF!</v>
      </c>
      <c r="CW250" s="48" t="e">
        <f>CW257</f>
        <v>#REF!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554</v>
      </c>
      <c r="CM252" s="1" t="s">
        <v>555</v>
      </c>
      <c r="CN252" s="1" t="s">
        <v>557</v>
      </c>
      <c r="CO252" s="1" t="s">
        <v>85</v>
      </c>
      <c r="CP252" s="1" t="s">
        <v>658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556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645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473</v>
      </c>
      <c r="CA254" s="50" t="e">
        <f>BR259</f>
        <v>#REF!</v>
      </c>
      <c r="CB254" s="48" t="e">
        <f>CB259</f>
        <v>#REF!</v>
      </c>
      <c r="CJ254" s="355" t="s">
        <v>527</v>
      </c>
      <c r="CK254" s="17" t="s">
        <v>68</v>
      </c>
      <c r="CL254" s="17" t="e">
        <f>H2O_out_coke_oven+H2O_from_coke_oven_comb</f>
        <v>#REF!</v>
      </c>
      <c r="CM254" s="17" t="e">
        <f>CL254/CL257</f>
        <v>#REF!</v>
      </c>
      <c r="CN254" s="17">
        <f>MW_H2O</f>
        <v>1.8015280000000002E-2</v>
      </c>
      <c r="CO254" s="17" t="e">
        <f>CL254/CN254</f>
        <v>#REF!</v>
      </c>
      <c r="CP254" s="17">
        <f>h_H2O</f>
        <v>-13421.939597941302</v>
      </c>
      <c r="CQ254" s="17">
        <f>b_ch_H2O</f>
        <v>9.5113440000000082</v>
      </c>
      <c r="CR254" s="17" t="e">
        <f>CO254/$CO$257</f>
        <v>#REF!</v>
      </c>
      <c r="CS254" s="17" t="e">
        <f>LN(CR254)</f>
        <v>#REF!</v>
      </c>
      <c r="CT254" s="17" t="e">
        <f>RT0*CS254</f>
        <v>#REF!</v>
      </c>
      <c r="CU254" s="17" t="e">
        <f>CT254+CQ254</f>
        <v>#REF!</v>
      </c>
      <c r="CV254" s="17" t="e">
        <f>CR254*CU254</f>
        <v>#REF!</v>
      </c>
      <c r="CW254" s="17" t="e">
        <f>CV254*$CO$257</f>
        <v>#REF!</v>
      </c>
    </row>
    <row r="255" spans="9:163" ht="18" x14ac:dyDescent="0.25">
      <c r="BL255" s="3" t="s">
        <v>459</v>
      </c>
      <c r="BO255" s="4"/>
      <c r="CJ255" s="355"/>
      <c r="CK255" s="247" t="s">
        <v>64</v>
      </c>
      <c r="CL255" s="3" t="e">
        <f>CO2_out_coke_oven+CO2_from_coke_oven_comb</f>
        <v>#REF!</v>
      </c>
      <c r="CM255" s="3" t="e">
        <f>CL255/CL257</f>
        <v>#REF!</v>
      </c>
      <c r="CN255" s="3">
        <f>MW_CO2</f>
        <v>4.4009800000000002E-2</v>
      </c>
      <c r="CO255" s="3" t="e">
        <f>CL255/CN255</f>
        <v>#REF!</v>
      </c>
      <c r="CP255" s="3">
        <f>h_CO2</f>
        <v>-8941.1903712354979</v>
      </c>
      <c r="CQ255" s="3">
        <f>b_ch_CO2</f>
        <v>19.900000000000034</v>
      </c>
      <c r="CR255" s="3" t="e">
        <f>CO255/$CO$257</f>
        <v>#REF!</v>
      </c>
      <c r="CS255" s="3" t="e">
        <f>LN(CR255)</f>
        <v>#REF!</v>
      </c>
      <c r="CT255" s="3" t="e">
        <f>RT0*CS255</f>
        <v>#REF!</v>
      </c>
      <c r="CU255" s="3" t="e">
        <f>CT255+CQ255</f>
        <v>#REF!</v>
      </c>
      <c r="CV255" s="3" t="e">
        <f>CR255*CU255</f>
        <v>#REF!</v>
      </c>
      <c r="CW255" s="3" t="e">
        <f t="shared" ref="CW255:CW256" si="150">CV255*$CO$257</f>
        <v>#REF!</v>
      </c>
    </row>
    <row r="256" spans="9:163" ht="18" x14ac:dyDescent="0.25">
      <c r="BI256" s="348" t="s">
        <v>472</v>
      </c>
      <c r="BJ256" s="348"/>
      <c r="BK256" s="348"/>
      <c r="BL256" s="348"/>
      <c r="BM256" s="348"/>
      <c r="BN256" s="348"/>
      <c r="BO256" s="348"/>
      <c r="BP256" s="1"/>
      <c r="BQ256" s="3" t="s">
        <v>560</v>
      </c>
      <c r="BR256" s="1" t="s">
        <v>554</v>
      </c>
      <c r="BS256" s="3" t="s">
        <v>5</v>
      </c>
      <c r="BT256" s="1" t="s">
        <v>85</v>
      </c>
      <c r="BU256" s="1" t="s">
        <v>658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556</v>
      </c>
      <c r="CB256" s="1" t="s">
        <v>50</v>
      </c>
      <c r="CJ256" s="355"/>
      <c r="CK256" s="7" t="s">
        <v>67</v>
      </c>
      <c r="CL256" s="3" t="e">
        <f>CO256*CN256</f>
        <v>#REF!</v>
      </c>
      <c r="CM256" s="3" t="e">
        <f>CL256/CL257</f>
        <v>#REF!</v>
      </c>
      <c r="CN256" s="3">
        <f>MW_N2</f>
        <v>2.801348E-2</v>
      </c>
      <c r="CO256" s="3" t="e">
        <f>CE221/2 -CO241</f>
        <v>#REF!</v>
      </c>
      <c r="CP256" s="3">
        <f>h_N2</f>
        <v>0</v>
      </c>
      <c r="CQ256" s="3">
        <f>b_ch_N2</f>
        <v>0.7</v>
      </c>
      <c r="CR256" s="3" t="e">
        <f>CO256/$CO$257</f>
        <v>#REF!</v>
      </c>
      <c r="CS256" s="3" t="e">
        <f>LN(CR256)</f>
        <v>#REF!</v>
      </c>
      <c r="CT256" s="3" t="e">
        <f>RT0*CS256</f>
        <v>#REF!</v>
      </c>
      <c r="CU256" s="3" t="e">
        <f>CT256+CQ256</f>
        <v>#REF!</v>
      </c>
      <c r="CV256" s="3" t="e">
        <f>CR256*CU256</f>
        <v>#REF!</v>
      </c>
      <c r="CW256" s="3" t="e">
        <f t="shared" si="150"/>
        <v>#REF!</v>
      </c>
    </row>
    <row r="257" spans="52:101" ht="18" x14ac:dyDescent="0.25">
      <c r="AZ257" s="16"/>
      <c r="BI257" s="349"/>
      <c r="BJ257" s="349"/>
      <c r="BK257" s="349"/>
      <c r="BL257" s="349"/>
      <c r="BM257" s="349"/>
      <c r="BN257" s="349"/>
      <c r="BO257" s="349"/>
      <c r="BP257" s="1"/>
      <c r="BQ257" s="3" t="s">
        <v>559</v>
      </c>
      <c r="BR257" s="1" t="s">
        <v>88</v>
      </c>
      <c r="BS257" s="1" t="s">
        <v>90</v>
      </c>
      <c r="BT257" s="2" t="s">
        <v>86</v>
      </c>
      <c r="BU257" s="1" t="s">
        <v>645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 t="e">
        <f>SUM(CL254:CL256)</f>
        <v>#REF!</v>
      </c>
      <c r="CM257" s="17" t="e">
        <f>SUM(CM254:CM256)</f>
        <v>#REF!</v>
      </c>
      <c r="CN257" s="17">
        <f>SUM(CN254:CN256)</f>
        <v>9.0038560000000004E-2</v>
      </c>
      <c r="CO257" s="17" t="e">
        <f>SUM(CO254:CO256)</f>
        <v>#REF!</v>
      </c>
      <c r="CP257" s="17" t="e" cm="1">
        <f t="array" ref="CP257">SUM(CL254:CL256*CP254:CP256) / CL257</f>
        <v>#REF!</v>
      </c>
      <c r="CQ257" s="17">
        <f>SUM(CQ253:CQ256)</f>
        <v>30.111344000000042</v>
      </c>
      <c r="CR257" s="17"/>
      <c r="CS257" s="17"/>
      <c r="CT257" s="17"/>
      <c r="CU257" s="17"/>
      <c r="CV257" s="17" t="e">
        <f>SUM(CV254:CV256)</f>
        <v>#REF!</v>
      </c>
      <c r="CW257" s="17" t="e">
        <f>SUM(CW254:CW256)</f>
        <v>#REF!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 t="e">
        <f>2956.513*CA206</f>
        <v>#REF!</v>
      </c>
      <c r="BR258" s="42" t="e">
        <f>BQ258/LHV_CH4</f>
        <v>#REF!</v>
      </c>
      <c r="BS258" s="33" cm="1">
        <f t="array" ref="BS258">MW_CH4</f>
        <v>1.604276E-2</v>
      </c>
      <c r="BT258" s="33" t="e">
        <f>BR258/BS258</f>
        <v>#REF!</v>
      </c>
      <c r="BU258" s="33">
        <f>h_CH4</f>
        <v>1.604276E-2</v>
      </c>
      <c r="BV258" s="42">
        <f>b_ch_CH4</f>
        <v>831.8</v>
      </c>
      <c r="BW258" s="33" t="e">
        <f>BT258/BT258</f>
        <v>#REF!</v>
      </c>
      <c r="BX258" s="42" t="e">
        <f>LN(BW258)</f>
        <v>#REF!</v>
      </c>
      <c r="BY258" s="42" t="e">
        <f>RT0*BX258</f>
        <v>#REF!</v>
      </c>
      <c r="BZ258" s="42" t="e">
        <f>BV258+BY258</f>
        <v>#REF!</v>
      </c>
      <c r="CA258" s="42" t="e">
        <f>BZ258*BW258</f>
        <v>#REF!</v>
      </c>
      <c r="CB258" s="42" t="e">
        <f>BT258*CA258</f>
        <v>#REF!</v>
      </c>
      <c r="CL258" s="1" t="s">
        <v>89</v>
      </c>
      <c r="CM258" s="1"/>
      <c r="CN258" s="3" t="s">
        <v>91</v>
      </c>
      <c r="CO258" s="3" t="s">
        <v>87</v>
      </c>
      <c r="CP258" s="1" t="s">
        <v>659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456</v>
      </c>
      <c r="BK259" s="13" t="s">
        <v>457</v>
      </c>
      <c r="BL259" s="13" t="s">
        <v>458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 t="e">
        <f>BQ258</f>
        <v>#REF!</v>
      </c>
      <c r="BR259" s="1" t="e">
        <f>BR258</f>
        <v>#REF!</v>
      </c>
      <c r="BS259" s="6">
        <f>BS258</f>
        <v>1.604276E-2</v>
      </c>
      <c r="BT259" s="6" t="e">
        <f>BT258</f>
        <v>#REF!</v>
      </c>
      <c r="BU259" s="6">
        <f>BU258</f>
        <v>1.604276E-2</v>
      </c>
      <c r="BV259" s="1"/>
      <c r="BW259" s="6"/>
      <c r="BX259" s="1"/>
      <c r="BY259" s="1"/>
      <c r="BZ259" s="1"/>
      <c r="CA259" s="1" t="e">
        <f>CA258</f>
        <v>#REF!</v>
      </c>
      <c r="CB259" s="1" t="e">
        <f>BT259*CA259</f>
        <v>#REF!</v>
      </c>
    </row>
    <row r="260" spans="52:101" ht="18" x14ac:dyDescent="0.25">
      <c r="BI260" s="61" t="s">
        <v>431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 t="e">
        <f>BL260*CA206</f>
        <v>#REF!</v>
      </c>
      <c r="BN260" s="13">
        <v>1.04</v>
      </c>
      <c r="BO260" s="13" t="e">
        <f>BM260*BN260</f>
        <v>#REF!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659</v>
      </c>
      <c r="BV260" s="4"/>
      <c r="BW260" s="4"/>
      <c r="CA260" s="3" t="s">
        <v>96</v>
      </c>
      <c r="CB260" s="1" t="s">
        <v>93</v>
      </c>
    </row>
  </sheetData>
  <mergeCells count="103"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BO130:BO131"/>
    <mergeCell ref="BO246:BO247"/>
    <mergeCell ref="BO229:BO232"/>
    <mergeCell ref="BO211:BO216"/>
    <mergeCell ref="DZ144:DZ145"/>
    <mergeCell ref="DZ130:DZ133"/>
    <mergeCell ref="DS126:DY128"/>
    <mergeCell ref="DW129:DW130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BL44:BL45"/>
    <mergeCell ref="AB46:AB47"/>
    <mergeCell ref="AB48:AB51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2"/>
      <c r="E5" s="213" t="s">
        <v>264</v>
      </c>
      <c r="F5" s="216" t="s">
        <v>235</v>
      </c>
      <c r="G5" s="219" t="s">
        <v>316</v>
      </c>
      <c r="H5" s="216" t="s">
        <v>235</v>
      </c>
      <c r="I5" s="219" t="s">
        <v>316</v>
      </c>
    </row>
    <row r="6" spans="4:9" ht="20" thickBot="1" x14ac:dyDescent="0.3">
      <c r="D6" s="212"/>
      <c r="E6" s="271" t="s">
        <v>98</v>
      </c>
      <c r="F6" s="272" t="s">
        <v>48</v>
      </c>
      <c r="G6" s="273" t="s">
        <v>48</v>
      </c>
      <c r="H6" s="272" t="s">
        <v>429</v>
      </c>
      <c r="I6" s="273" t="s">
        <v>429</v>
      </c>
    </row>
    <row r="7" spans="4:9" ht="19" x14ac:dyDescent="0.25">
      <c r="D7" s="385" t="s">
        <v>428</v>
      </c>
      <c r="E7" s="215" t="s">
        <v>568</v>
      </c>
      <c r="F7" s="218">
        <f>'Ore-&gt;PI'!F72</f>
        <v>88160.656904773379</v>
      </c>
      <c r="G7" s="274">
        <f>1.06*F7</f>
        <v>93450.29631905978</v>
      </c>
      <c r="H7" s="275">
        <f>F7/1000000000</f>
        <v>8.8160656904773385E-5</v>
      </c>
      <c r="I7" s="276">
        <f>G7/1000000000</f>
        <v>9.3450296319059779E-5</v>
      </c>
    </row>
    <row r="8" spans="4:9" ht="20" thickBot="1" x14ac:dyDescent="0.3">
      <c r="D8" s="386"/>
      <c r="E8" s="215" t="s">
        <v>430</v>
      </c>
      <c r="F8" s="218">
        <f>'Ore-&gt;PI'!$AS$28+'Ore-&gt;PI'!$BL$35</f>
        <v>622271.50143934821</v>
      </c>
      <c r="G8" s="274">
        <f>F8</f>
        <v>622271.50143934821</v>
      </c>
      <c r="H8" s="275">
        <f t="shared" ref="H8:H18" si="0">F8/1000000000</f>
        <v>6.2227150143934825E-4</v>
      </c>
      <c r="I8" s="276">
        <f t="shared" ref="I8:I18" si="1">G8/1000000000</f>
        <v>6.2227150143934825E-4</v>
      </c>
    </row>
    <row r="9" spans="4:9" ht="19" x14ac:dyDescent="0.25">
      <c r="D9" s="387" t="s">
        <v>20</v>
      </c>
      <c r="E9" s="215" t="s">
        <v>568</v>
      </c>
      <c r="F9" s="218">
        <f>'Ore-&gt;PI'!K144</f>
        <v>241.59146310558401</v>
      </c>
      <c r="G9" s="274">
        <f>F9*1.06</f>
        <v>256.08695089191906</v>
      </c>
      <c r="H9" s="275">
        <f t="shared" si="0"/>
        <v>2.4159146310558403E-7</v>
      </c>
      <c r="I9" s="276">
        <f t="shared" si="1"/>
        <v>2.5608695089191904E-7</v>
      </c>
    </row>
    <row r="10" spans="4:9" ht="19" x14ac:dyDescent="0.25">
      <c r="D10" s="388"/>
      <c r="E10" s="215" t="s">
        <v>569</v>
      </c>
      <c r="F10" s="218">
        <f>'Ore-&gt;PI'!K155</f>
        <v>22.443944839719084</v>
      </c>
      <c r="G10" s="274">
        <f>F10*1.04</f>
        <v>23.341702633307847</v>
      </c>
      <c r="H10" s="275">
        <f t="shared" si="0"/>
        <v>2.2443944839719083E-8</v>
      </c>
      <c r="I10" s="276">
        <f t="shared" si="1"/>
        <v>2.3341702633307846E-8</v>
      </c>
    </row>
    <row r="11" spans="4:9" ht="19" x14ac:dyDescent="0.25">
      <c r="D11" s="388"/>
      <c r="E11" s="215" t="s">
        <v>265</v>
      </c>
      <c r="F11" s="218">
        <f>'Ore-&gt;PI'!AS113+'Ore-&gt;PI'!BK116</f>
        <v>2859.5637429090343</v>
      </c>
      <c r="G11" s="274">
        <f>F11</f>
        <v>2859.5637429090343</v>
      </c>
      <c r="H11" s="275">
        <f t="shared" si="0"/>
        <v>2.8595637429090342E-6</v>
      </c>
      <c r="I11" s="276">
        <f t="shared" si="1"/>
        <v>2.8595637429090342E-6</v>
      </c>
    </row>
    <row r="12" spans="4:9" ht="20" thickBot="1" x14ac:dyDescent="0.3">
      <c r="D12" s="389"/>
      <c r="E12" s="215" t="s">
        <v>431</v>
      </c>
      <c r="F12" s="218">
        <f>'Ore-&gt;PI'!BQ156</f>
        <v>1039915823.7694199</v>
      </c>
      <c r="G12" s="274">
        <f>F12*1.04</f>
        <v>1081512456.7201967</v>
      </c>
      <c r="H12" s="275">
        <f t="shared" si="0"/>
        <v>1.0399158237694199</v>
      </c>
      <c r="I12" s="276">
        <f t="shared" si="1"/>
        <v>1.0815124567201968</v>
      </c>
    </row>
    <row r="13" spans="4:9" ht="19" x14ac:dyDescent="0.25">
      <c r="D13" s="390" t="s">
        <v>353</v>
      </c>
      <c r="E13" s="215" t="s">
        <v>568</v>
      </c>
      <c r="F13" s="218" t="e">
        <f>'Ore-&gt;PI'!K226</f>
        <v>#REF!</v>
      </c>
      <c r="G13" s="274" t="e">
        <f>F13*1.06</f>
        <v>#REF!</v>
      </c>
      <c r="H13" s="275" t="e">
        <f t="shared" si="0"/>
        <v>#REF!</v>
      </c>
      <c r="I13" s="276" t="e">
        <f t="shared" si="1"/>
        <v>#REF!</v>
      </c>
    </row>
    <row r="14" spans="4:9" ht="19" x14ac:dyDescent="0.25">
      <c r="D14" s="391"/>
      <c r="E14" s="215" t="s">
        <v>431</v>
      </c>
      <c r="F14" s="218" t="e">
        <f>'Ore-&gt;PI'!BQ258</f>
        <v>#REF!</v>
      </c>
      <c r="G14" s="274" t="e">
        <f>F14*1.04</f>
        <v>#REF!</v>
      </c>
      <c r="H14" s="275" t="e">
        <f t="shared" si="0"/>
        <v>#REF!</v>
      </c>
      <c r="I14" s="276" t="e">
        <f t="shared" si="1"/>
        <v>#REF!</v>
      </c>
    </row>
    <row r="15" spans="4:9" ht="20" thickBot="1" x14ac:dyDescent="0.3">
      <c r="D15" s="392"/>
      <c r="E15" s="215" t="s">
        <v>430</v>
      </c>
      <c r="F15" s="218" t="e">
        <f>'Ore-&gt;PI'!AA195+'Ore-&gt;PI'!AS190+'Ore-&gt;PI'!BK195+'Ore-&gt;PI'!DB229</f>
        <v>#REF!</v>
      </c>
      <c r="G15" s="274" t="e">
        <f>F15</f>
        <v>#REF!</v>
      </c>
      <c r="H15" s="275" t="e">
        <f t="shared" si="0"/>
        <v>#REF!</v>
      </c>
      <c r="I15" s="276" t="e">
        <f t="shared" si="1"/>
        <v>#REF!</v>
      </c>
    </row>
    <row r="16" spans="4:9" ht="19" x14ac:dyDescent="0.25">
      <c r="D16" s="393" t="s">
        <v>352</v>
      </c>
      <c r="E16" s="215" t="s">
        <v>430</v>
      </c>
      <c r="F16" s="218">
        <f>'Ore-&gt;PI'!ES117</f>
        <v>317844.87395625591</v>
      </c>
      <c r="G16" s="274">
        <f>F16</f>
        <v>317844.87395625591</v>
      </c>
      <c r="H16" s="275">
        <f t="shared" si="0"/>
        <v>3.178448739562559E-4</v>
      </c>
      <c r="I16" s="276">
        <f t="shared" si="1"/>
        <v>3.178448739562559E-4</v>
      </c>
    </row>
    <row r="17" spans="4:9" ht="19" x14ac:dyDescent="0.25">
      <c r="D17" s="393"/>
      <c r="E17" s="215" t="s">
        <v>431</v>
      </c>
      <c r="F17" s="218">
        <f>'Ore-&gt;PI'!EB118</f>
        <v>2238733.4600397157</v>
      </c>
      <c r="G17" s="274">
        <f>F17*1.04</f>
        <v>2328282.7984413044</v>
      </c>
      <c r="H17" s="275">
        <f t="shared" si="0"/>
        <v>2.2387334600397157E-3</v>
      </c>
      <c r="I17" s="276">
        <f t="shared" si="1"/>
        <v>2.3282827984413045E-3</v>
      </c>
    </row>
    <row r="18" spans="4:9" ht="20" thickBot="1" x14ac:dyDescent="0.3">
      <c r="D18" s="394"/>
      <c r="E18" s="214" t="s">
        <v>553</v>
      </c>
      <c r="F18" s="217">
        <f>'Ore-&gt;PI'!EB105</f>
        <v>193470.79284293839</v>
      </c>
      <c r="G18" s="277">
        <f>1.06*F18</f>
        <v>205079.04041351471</v>
      </c>
      <c r="H18" s="275">
        <f t="shared" si="0"/>
        <v>1.9347079284293839E-4</v>
      </c>
      <c r="I18" s="276">
        <f t="shared" si="1"/>
        <v>2.050790404135147E-4</v>
      </c>
    </row>
    <row r="19" spans="4:9" x14ac:dyDescent="0.2">
      <c r="F19" t="e">
        <f>SUM(F7:F18)</f>
        <v>#REF!</v>
      </c>
    </row>
    <row r="23" spans="4:9" x14ac:dyDescent="0.2">
      <c r="E23" s="202" t="s">
        <v>571</v>
      </c>
      <c r="F23" s="3" t="s">
        <v>570</v>
      </c>
      <c r="G23" s="3" t="s">
        <v>635</v>
      </c>
    </row>
    <row r="24" spans="4:9" x14ac:dyDescent="0.2">
      <c r="E24" s="202" t="s">
        <v>568</v>
      </c>
      <c r="F24" t="e">
        <f>'Ore-&gt;PI'!V222+'Ore-&gt;PI'!V140+'Ore-&gt;PI'!V59</f>
        <v>#REF!</v>
      </c>
      <c r="G24" t="e">
        <f t="shared" ref="G24:G27" si="2">F24/1000000000</f>
        <v>#REF!</v>
      </c>
    </row>
    <row r="25" spans="4:9" x14ac:dyDescent="0.2">
      <c r="E25" s="202" t="s">
        <v>430</v>
      </c>
      <c r="F25" t="e">
        <f>'Ore-&gt;PI'!EU117+'Ore-&gt;PI'!DD229+'Ore-&gt;PI'!BM195+'Ore-&gt;PI'!AU190+'Ore-&gt;PI'!AC195+'Ore-&gt;PI'!AU113+'Ore-&gt;PI'!BM116+'Ore-&gt;PI'!BN35+'Ore-&gt;PI'!AU28</f>
        <v>#REF!</v>
      </c>
      <c r="G25" t="e">
        <f t="shared" si="2"/>
        <v>#REF!</v>
      </c>
    </row>
    <row r="26" spans="4:9" x14ac:dyDescent="0.2">
      <c r="E26" s="202" t="s">
        <v>431</v>
      </c>
      <c r="F26" t="e">
        <f>'Ore-&gt;PI'!CB152+'Ore-&gt;PI'!CB254+'Ore-&gt;PI'!EM114</f>
        <v>#REF!</v>
      </c>
      <c r="G26" t="e">
        <f t="shared" si="2"/>
        <v>#REF!</v>
      </c>
    </row>
    <row r="27" spans="4:9" x14ac:dyDescent="0.2">
      <c r="E27" s="202" t="s">
        <v>569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2" t="s">
        <v>553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5" t="s">
        <v>580</v>
      </c>
      <c r="AS1" s="258"/>
      <c r="AT1" s="205" t="s">
        <v>412</v>
      </c>
      <c r="AU1" s="205" t="s">
        <v>413</v>
      </c>
      <c r="AV1" s="205" t="s">
        <v>414</v>
      </c>
      <c r="AW1" s="205" t="s">
        <v>561</v>
      </c>
      <c r="AX1" s="205" t="s">
        <v>540</v>
      </c>
      <c r="AY1" s="205" t="s">
        <v>539</v>
      </c>
      <c r="AZ1" s="205" t="s">
        <v>439</v>
      </c>
      <c r="BA1" s="205" t="s">
        <v>436</v>
      </c>
      <c r="BB1" s="205" t="s">
        <v>454</v>
      </c>
      <c r="BC1" s="205" t="s">
        <v>437</v>
      </c>
      <c r="BD1" s="205" t="s">
        <v>432</v>
      </c>
      <c r="BE1" s="205" t="s">
        <v>665</v>
      </c>
      <c r="BF1" s="205" t="s">
        <v>668</v>
      </c>
      <c r="BG1" s="205" t="s">
        <v>81</v>
      </c>
      <c r="BH1" s="205" t="s">
        <v>424</v>
      </c>
      <c r="BM1" s="258"/>
      <c r="BN1" s="205" t="s">
        <v>412</v>
      </c>
      <c r="BO1" s="205" t="s">
        <v>413</v>
      </c>
      <c r="BP1" s="205" t="s">
        <v>414</v>
      </c>
      <c r="BQ1" s="205" t="s">
        <v>561</v>
      </c>
      <c r="BR1" s="205" t="s">
        <v>540</v>
      </c>
      <c r="BS1" s="205" t="s">
        <v>539</v>
      </c>
      <c r="BT1" s="205" t="s">
        <v>439</v>
      </c>
      <c r="BU1" s="205" t="s">
        <v>436</v>
      </c>
      <c r="BV1" s="205" t="s">
        <v>454</v>
      </c>
      <c r="BW1" s="205" t="s">
        <v>437</v>
      </c>
      <c r="BX1" s="205" t="s">
        <v>432</v>
      </c>
      <c r="BY1" s="205" t="s">
        <v>665</v>
      </c>
      <c r="BZ1" s="205" t="s">
        <v>668</v>
      </c>
      <c r="CA1" s="205" t="s">
        <v>81</v>
      </c>
      <c r="CB1" s="205" t="s">
        <v>424</v>
      </c>
    </row>
    <row r="2" spans="2:80" x14ac:dyDescent="0.2">
      <c r="B2" s="202" t="s">
        <v>420</v>
      </c>
      <c r="C2" s="282">
        <v>1</v>
      </c>
      <c r="AS2" s="202" t="s">
        <v>420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F2" s="282">
        <v>0</v>
      </c>
      <c r="BG2" s="282">
        <v>0</v>
      </c>
      <c r="BH2" s="282">
        <v>0</v>
      </c>
      <c r="BM2" s="202" t="s">
        <v>420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  <c r="BZ2" s="282">
        <v>0</v>
      </c>
      <c r="CA2" s="282">
        <v>0</v>
      </c>
      <c r="CB2" s="282">
        <v>0</v>
      </c>
    </row>
    <row r="3" spans="2:80" x14ac:dyDescent="0.2">
      <c r="B3" s="202" t="s">
        <v>422</v>
      </c>
      <c r="C3" s="282">
        <v>1</v>
      </c>
      <c r="AS3" s="202" t="s">
        <v>422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F3" s="282">
        <v>0</v>
      </c>
      <c r="BG3" s="282">
        <v>0</v>
      </c>
      <c r="BH3" s="282">
        <v>0</v>
      </c>
      <c r="BM3" s="202" t="s">
        <v>422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  <c r="BZ3" s="282">
        <v>0</v>
      </c>
      <c r="CA3" s="282">
        <v>0</v>
      </c>
      <c r="CB3" s="282">
        <v>0</v>
      </c>
    </row>
    <row r="4" spans="2:80" x14ac:dyDescent="0.2">
      <c r="B4" s="202" t="s">
        <v>423</v>
      </c>
      <c r="C4" s="282">
        <v>1</v>
      </c>
      <c r="AS4" s="202" t="s">
        <v>423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F4" s="282">
        <v>0</v>
      </c>
      <c r="BG4" s="282">
        <v>0</v>
      </c>
      <c r="BH4" s="282">
        <v>0</v>
      </c>
      <c r="BM4" s="202" t="s">
        <v>423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  <c r="BZ4" s="282">
        <v>0</v>
      </c>
      <c r="CA4" s="282">
        <v>0</v>
      </c>
      <c r="CB4" s="282">
        <v>0</v>
      </c>
    </row>
    <row r="5" spans="2:80" x14ac:dyDescent="0.2">
      <c r="B5" s="202" t="s">
        <v>443</v>
      </c>
      <c r="C5" s="282">
        <v>1</v>
      </c>
      <c r="AS5" s="202" t="s">
        <v>443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F5" s="282">
        <v>0</v>
      </c>
      <c r="BG5" s="282">
        <v>0</v>
      </c>
      <c r="BH5" s="282">
        <v>0</v>
      </c>
      <c r="BM5" s="202" t="s">
        <v>443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  <c r="BZ5" s="282">
        <v>0</v>
      </c>
      <c r="CA5" s="282">
        <v>0</v>
      </c>
      <c r="CB5" s="282">
        <v>0</v>
      </c>
    </row>
    <row r="6" spans="2:80" x14ac:dyDescent="0.2">
      <c r="B6" s="202" t="s">
        <v>473</v>
      </c>
      <c r="C6" s="282">
        <v>1</v>
      </c>
      <c r="AL6" s="202"/>
      <c r="AS6" s="202" t="s">
        <v>473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F6" s="282">
        <v>0</v>
      </c>
      <c r="BG6" s="282">
        <v>0</v>
      </c>
      <c r="BH6" s="282">
        <v>0</v>
      </c>
      <c r="BM6" s="202" t="s">
        <v>473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  <c r="BZ6" s="282">
        <v>0</v>
      </c>
      <c r="CA6" s="282">
        <v>0</v>
      </c>
      <c r="CB6" s="282">
        <v>0</v>
      </c>
    </row>
    <row r="7" spans="2:80" x14ac:dyDescent="0.2">
      <c r="B7" s="202" t="s">
        <v>572</v>
      </c>
      <c r="C7" s="282">
        <v>1</v>
      </c>
      <c r="AL7" s="202"/>
      <c r="AS7" s="202" t="s">
        <v>572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F7" s="282">
        <v>0</v>
      </c>
      <c r="BG7" s="282">
        <v>0</v>
      </c>
      <c r="BH7" s="282">
        <v>0</v>
      </c>
      <c r="BM7" s="202" t="s">
        <v>572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  <c r="BZ7" s="282">
        <v>0</v>
      </c>
      <c r="CA7" s="282">
        <v>0</v>
      </c>
      <c r="CB7" s="282">
        <v>0</v>
      </c>
    </row>
    <row r="8" spans="2:80" x14ac:dyDescent="0.2">
      <c r="B8" s="202" t="s">
        <v>573</v>
      </c>
      <c r="C8" s="282">
        <v>1</v>
      </c>
      <c r="AL8" s="202"/>
      <c r="AS8" s="202" t="s">
        <v>573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F8" s="282">
        <v>0</v>
      </c>
      <c r="BG8" s="282">
        <v>0</v>
      </c>
      <c r="BH8" s="282">
        <v>0</v>
      </c>
      <c r="BM8" s="202" t="s">
        <v>573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  <c r="BZ8" s="282">
        <v>0</v>
      </c>
      <c r="CA8" s="282">
        <v>0</v>
      </c>
      <c r="CB8" s="282">
        <v>0</v>
      </c>
    </row>
    <row r="9" spans="2:80" x14ac:dyDescent="0.2">
      <c r="B9" s="202" t="s">
        <v>515</v>
      </c>
      <c r="C9" s="282">
        <v>1</v>
      </c>
      <c r="AL9" s="202"/>
      <c r="AS9" s="202" t="s">
        <v>515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F9" s="282">
        <v>0</v>
      </c>
      <c r="BG9" s="282">
        <v>0</v>
      </c>
      <c r="BH9" s="282">
        <v>0</v>
      </c>
      <c r="BM9" s="202" t="s">
        <v>515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  <c r="BZ9" s="282">
        <v>0</v>
      </c>
      <c r="CA9" s="282">
        <v>0</v>
      </c>
      <c r="CB9" s="282">
        <v>0</v>
      </c>
    </row>
    <row r="10" spans="2:80" x14ac:dyDescent="0.2">
      <c r="B10" s="202" t="s">
        <v>565</v>
      </c>
      <c r="C10" s="282">
        <v>1</v>
      </c>
      <c r="AL10" s="202"/>
      <c r="AS10" s="202" t="s">
        <v>565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F10" s="282">
        <v>0</v>
      </c>
      <c r="BG10" s="282">
        <v>0</v>
      </c>
      <c r="BH10" s="282">
        <v>0</v>
      </c>
      <c r="BM10" s="202" t="s">
        <v>565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  <c r="BZ10" s="282">
        <v>0</v>
      </c>
      <c r="CA10" s="282">
        <v>0</v>
      </c>
      <c r="CB10" s="282">
        <v>0</v>
      </c>
    </row>
    <row r="11" spans="2:80" ht="16" x14ac:dyDescent="0.2">
      <c r="B11" s="203" t="s">
        <v>547</v>
      </c>
      <c r="C11" s="282">
        <v>1</v>
      </c>
      <c r="AS11" s="203" t="s">
        <v>547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M11" s="203" t="s">
        <v>547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  <c r="BZ11" s="282">
        <v>0</v>
      </c>
      <c r="CA11" s="282">
        <v>0</v>
      </c>
      <c r="CB11" s="282">
        <v>0</v>
      </c>
    </row>
    <row r="12" spans="2:80" x14ac:dyDescent="0.2">
      <c r="B12" s="202" t="s">
        <v>513</v>
      </c>
      <c r="C12" s="282">
        <v>1</v>
      </c>
      <c r="AS12" s="202" t="s">
        <v>513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F12" s="282">
        <v>0</v>
      </c>
      <c r="BG12" s="282">
        <v>0</v>
      </c>
      <c r="BH12" s="282">
        <v>0</v>
      </c>
      <c r="BM12" s="202" t="s">
        <v>513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  <c r="BZ12" s="282">
        <v>0</v>
      </c>
      <c r="CA12" s="282">
        <v>0</v>
      </c>
      <c r="CB12" s="282">
        <v>0</v>
      </c>
    </row>
    <row r="13" spans="2:80" ht="16" x14ac:dyDescent="0.2">
      <c r="B13" s="203" t="s">
        <v>516</v>
      </c>
      <c r="C13" s="282">
        <v>1</v>
      </c>
      <c r="AS13" s="203" t="s">
        <v>516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F13" s="282">
        <v>0</v>
      </c>
      <c r="BG13" s="282">
        <v>0</v>
      </c>
      <c r="BH13" s="282">
        <v>0</v>
      </c>
      <c r="BM13" s="203" t="s">
        <v>516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  <c r="BZ13" s="282">
        <v>0</v>
      </c>
      <c r="CA13" s="282">
        <v>0</v>
      </c>
      <c r="CB13" s="282">
        <v>0</v>
      </c>
    </row>
    <row r="14" spans="2:80" x14ac:dyDescent="0.2">
      <c r="B14" s="202" t="s">
        <v>542</v>
      </c>
      <c r="C14" s="282">
        <v>1</v>
      </c>
      <c r="AS14" s="202" t="s">
        <v>542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F14" s="282">
        <v>0</v>
      </c>
      <c r="BG14" s="282">
        <v>0</v>
      </c>
      <c r="BH14" s="282">
        <v>0</v>
      </c>
      <c r="BM14" s="202" t="s">
        <v>542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  <c r="BZ14" s="282">
        <v>0</v>
      </c>
      <c r="CA14" s="282">
        <v>0</v>
      </c>
      <c r="CB14" s="282">
        <v>0</v>
      </c>
    </row>
    <row r="15" spans="2:80" x14ac:dyDescent="0.2">
      <c r="B15" s="204" t="s">
        <v>534</v>
      </c>
      <c r="C15" s="282">
        <v>1</v>
      </c>
      <c r="AS15" s="204" t="s">
        <v>534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F15" s="282">
        <v>0</v>
      </c>
      <c r="BG15" s="282">
        <v>0</v>
      </c>
      <c r="BH15" s="282">
        <v>0</v>
      </c>
      <c r="BM15" s="204" t="s">
        <v>534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  <c r="BZ15" s="282">
        <v>0</v>
      </c>
      <c r="CA15" s="282">
        <v>0</v>
      </c>
      <c r="CB15" s="282">
        <v>0</v>
      </c>
    </row>
    <row r="16" spans="2:80" x14ac:dyDescent="0.2">
      <c r="B16" s="202" t="s">
        <v>520</v>
      </c>
      <c r="C16" s="282">
        <v>1</v>
      </c>
      <c r="AS16" s="202" t="s">
        <v>520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F16" s="282">
        <v>0</v>
      </c>
      <c r="BG16" s="282">
        <v>0</v>
      </c>
      <c r="BH16" s="282">
        <v>0</v>
      </c>
      <c r="BM16" s="202" t="s">
        <v>520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  <c r="BZ16" s="282">
        <v>0</v>
      </c>
      <c r="CA16" s="282">
        <v>0</v>
      </c>
      <c r="CB16" s="282">
        <v>0</v>
      </c>
    </row>
    <row r="17" spans="2:80" ht="16" x14ac:dyDescent="0.2">
      <c r="B17" s="203" t="s">
        <v>546</v>
      </c>
      <c r="C17" s="282">
        <v>1</v>
      </c>
      <c r="AS17" s="203" t="s">
        <v>546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M17" s="203" t="s">
        <v>546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  <c r="BZ17" s="282">
        <v>0</v>
      </c>
      <c r="CA17" s="282">
        <v>0</v>
      </c>
      <c r="CB17" s="282">
        <v>0</v>
      </c>
    </row>
    <row r="18" spans="2:80" ht="16" x14ac:dyDescent="0.2">
      <c r="B18" s="203" t="s">
        <v>541</v>
      </c>
      <c r="C18" s="282">
        <v>1</v>
      </c>
      <c r="AS18" s="203" t="s">
        <v>541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F18" s="282">
        <v>0</v>
      </c>
      <c r="BG18" s="282">
        <v>0</v>
      </c>
      <c r="BH18" s="282">
        <v>0</v>
      </c>
      <c r="BM18" s="203" t="s">
        <v>541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  <c r="BZ18" s="282">
        <v>0</v>
      </c>
      <c r="CA18" s="282">
        <v>0</v>
      </c>
      <c r="CB18" s="282">
        <v>0</v>
      </c>
    </row>
    <row r="19" spans="2:80" ht="16" x14ac:dyDescent="0.2">
      <c r="B19" s="203" t="s">
        <v>538</v>
      </c>
      <c r="C19" s="282">
        <v>1</v>
      </c>
      <c r="AS19" s="203" t="s">
        <v>538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F19" s="282">
        <v>0</v>
      </c>
      <c r="BG19" s="282">
        <v>0</v>
      </c>
      <c r="BH19" s="282">
        <v>0</v>
      </c>
      <c r="BM19" s="203" t="s">
        <v>538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  <c r="BZ19" s="282">
        <v>0</v>
      </c>
      <c r="CA19" s="282">
        <v>0</v>
      </c>
      <c r="CB19" s="282">
        <v>0</v>
      </c>
    </row>
    <row r="20" spans="2:80" ht="16" x14ac:dyDescent="0.2">
      <c r="B20" s="203" t="s">
        <v>544</v>
      </c>
      <c r="C20" s="282">
        <v>1</v>
      </c>
      <c r="AS20" s="203" t="s">
        <v>544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F20" s="282">
        <v>0</v>
      </c>
      <c r="BG20" s="282">
        <v>0</v>
      </c>
      <c r="BH20" s="282">
        <v>0</v>
      </c>
      <c r="BM20" s="203" t="s">
        <v>544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  <c r="BZ20" s="282">
        <v>0</v>
      </c>
      <c r="CA20" s="282">
        <v>0</v>
      </c>
      <c r="CB20" s="282">
        <v>0</v>
      </c>
    </row>
    <row r="21" spans="2:80" x14ac:dyDescent="0.2">
      <c r="B21" s="204" t="s">
        <v>543</v>
      </c>
      <c r="C21" s="282">
        <v>1</v>
      </c>
      <c r="AS21" s="204" t="s">
        <v>543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F21" s="282">
        <v>0</v>
      </c>
      <c r="BG21" s="282">
        <v>0</v>
      </c>
      <c r="BH21" s="282">
        <v>0</v>
      </c>
      <c r="BM21" s="204" t="s">
        <v>543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  <c r="BZ21" s="282">
        <v>0</v>
      </c>
      <c r="CA21" s="282">
        <v>0</v>
      </c>
      <c r="CB21" s="282">
        <v>0</v>
      </c>
    </row>
    <row r="22" spans="2:80" x14ac:dyDescent="0.2">
      <c r="B22" s="204" t="s">
        <v>528</v>
      </c>
      <c r="C22" s="282">
        <v>1</v>
      </c>
      <c r="AS22" s="204" t="s">
        <v>528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F22" s="282">
        <v>0</v>
      </c>
      <c r="BG22" s="282">
        <v>0</v>
      </c>
      <c r="BH22" s="282">
        <v>0</v>
      </c>
      <c r="BM22" s="204" t="s">
        <v>528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  <c r="BZ22" s="282">
        <v>0</v>
      </c>
      <c r="CA22" s="282">
        <v>0</v>
      </c>
      <c r="CB22" s="282">
        <v>0</v>
      </c>
    </row>
    <row r="23" spans="2:80" x14ac:dyDescent="0.2">
      <c r="B23" s="204" t="s">
        <v>562</v>
      </c>
      <c r="C23" s="282">
        <v>1</v>
      </c>
      <c r="AS23" s="204" t="s">
        <v>562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M23" s="204" t="s">
        <v>562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  <c r="BZ23" s="282">
        <v>0</v>
      </c>
      <c r="CA23" s="282">
        <v>0</v>
      </c>
      <c r="CB23" s="282">
        <v>0</v>
      </c>
    </row>
    <row r="24" spans="2:80" x14ac:dyDescent="0.2">
      <c r="B24" s="204" t="s">
        <v>529</v>
      </c>
      <c r="C24" s="282">
        <v>1</v>
      </c>
      <c r="AS24" s="204" t="s">
        <v>529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F24" s="282">
        <v>0</v>
      </c>
      <c r="BG24" s="282">
        <v>0</v>
      </c>
      <c r="BH24" s="282">
        <v>0</v>
      </c>
      <c r="BM24" s="204" t="s">
        <v>529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  <c r="BZ24" s="282">
        <v>0</v>
      </c>
      <c r="CA24" s="282">
        <v>0</v>
      </c>
      <c r="CB24" s="282">
        <v>0</v>
      </c>
    </row>
    <row r="25" spans="2:80" x14ac:dyDescent="0.2">
      <c r="B25" s="204" t="s">
        <v>531</v>
      </c>
      <c r="C25" s="282">
        <v>1</v>
      </c>
      <c r="AS25" s="204" t="s">
        <v>531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F25" s="282">
        <v>0</v>
      </c>
      <c r="BG25" s="282">
        <v>0</v>
      </c>
      <c r="BH25" s="282">
        <v>0</v>
      </c>
      <c r="BM25" s="204" t="s">
        <v>531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  <c r="BZ25" s="282">
        <v>0</v>
      </c>
      <c r="CA25" s="282">
        <v>0</v>
      </c>
      <c r="CB25" s="282">
        <v>0</v>
      </c>
    </row>
    <row r="26" spans="2:80" x14ac:dyDescent="0.2">
      <c r="B26" s="204" t="s">
        <v>530</v>
      </c>
      <c r="C26" s="282">
        <v>1</v>
      </c>
      <c r="AS26" s="204" t="s">
        <v>530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F26" s="282">
        <v>0</v>
      </c>
      <c r="BG26" s="282">
        <v>0</v>
      </c>
      <c r="BH26" s="282">
        <v>0</v>
      </c>
      <c r="BM26" s="204" t="s">
        <v>530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  <c r="BZ26" s="282">
        <v>0</v>
      </c>
      <c r="CA26" s="282">
        <v>0</v>
      </c>
      <c r="CB26" s="282">
        <v>0</v>
      </c>
    </row>
    <row r="27" spans="2:80" x14ac:dyDescent="0.2">
      <c r="B27" s="204" t="s">
        <v>627</v>
      </c>
      <c r="C27" s="282">
        <v>1</v>
      </c>
      <c r="AS27" s="204" t="s">
        <v>627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F27" s="282">
        <v>0</v>
      </c>
      <c r="BG27" s="282">
        <v>0</v>
      </c>
      <c r="BH27" s="282">
        <v>0</v>
      </c>
      <c r="BM27" s="204" t="s">
        <v>627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  <c r="BZ27" s="282">
        <v>0</v>
      </c>
      <c r="CA27" s="282">
        <v>0</v>
      </c>
      <c r="CB27" s="282">
        <v>0</v>
      </c>
    </row>
    <row r="28" spans="2:80" ht="16" x14ac:dyDescent="0.2">
      <c r="B28" s="251" t="s">
        <v>526</v>
      </c>
      <c r="C28" s="282">
        <v>1</v>
      </c>
      <c r="AS28" s="251" t="s">
        <v>526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F28" s="282">
        <v>0</v>
      </c>
      <c r="BG28" s="282">
        <v>0</v>
      </c>
      <c r="BH28" s="282">
        <v>0</v>
      </c>
      <c r="BM28" s="251" t="s">
        <v>526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  <c r="BZ28" s="282">
        <v>0</v>
      </c>
      <c r="CA28" s="282">
        <v>0</v>
      </c>
      <c r="CB28" s="282">
        <v>0</v>
      </c>
    </row>
    <row r="29" spans="2:80" x14ac:dyDescent="0.2">
      <c r="B29" s="204" t="s">
        <v>525</v>
      </c>
      <c r="C29" s="282">
        <v>1</v>
      </c>
      <c r="AS29" s="204" t="s">
        <v>525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M29" s="204" t="s">
        <v>525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  <c r="BZ29" s="282">
        <v>0</v>
      </c>
      <c r="CA29" s="282">
        <v>0</v>
      </c>
      <c r="CB29" s="282">
        <v>0</v>
      </c>
    </row>
    <row r="30" spans="2:80" x14ac:dyDescent="0.2">
      <c r="B30" s="202" t="s">
        <v>527</v>
      </c>
      <c r="C30" s="282">
        <v>1</v>
      </c>
      <c r="AS30" s="202" t="s">
        <v>527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F30" s="282">
        <v>0</v>
      </c>
      <c r="BG30" s="282">
        <v>0</v>
      </c>
      <c r="BH30" s="282">
        <v>0</v>
      </c>
      <c r="BM30" s="202" t="s">
        <v>527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  <c r="BZ30" s="282">
        <v>0</v>
      </c>
      <c r="CA30" s="282">
        <v>0</v>
      </c>
      <c r="CB30" s="282">
        <v>0</v>
      </c>
    </row>
    <row r="31" spans="2:80" x14ac:dyDescent="0.2">
      <c r="B31" s="204" t="s">
        <v>523</v>
      </c>
      <c r="C31" s="282">
        <v>1</v>
      </c>
      <c r="AS31" s="204" t="s">
        <v>666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F31" s="282">
        <v>0</v>
      </c>
      <c r="BG31" s="282">
        <v>0</v>
      </c>
      <c r="BH31" s="282">
        <v>0</v>
      </c>
      <c r="BM31" s="204" t="s">
        <v>666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  <c r="BZ31" s="282">
        <v>0</v>
      </c>
      <c r="CA31" s="282">
        <v>0</v>
      </c>
      <c r="CB31" s="282">
        <v>0</v>
      </c>
    </row>
    <row r="32" spans="2:80" x14ac:dyDescent="0.2">
      <c r="B32" s="204"/>
      <c r="C32" s="282"/>
      <c r="AS32" s="204" t="s">
        <v>669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F32" s="282">
        <v>0</v>
      </c>
      <c r="BG32" s="282">
        <v>0</v>
      </c>
      <c r="BH32" s="282">
        <v>0</v>
      </c>
      <c r="BM32" s="204" t="s">
        <v>669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  <c r="BZ32" s="282">
        <v>0</v>
      </c>
      <c r="CA32" s="282">
        <v>0</v>
      </c>
      <c r="CB32" s="282">
        <v>0</v>
      </c>
    </row>
    <row r="33" spans="2:80" x14ac:dyDescent="0.2">
      <c r="B33" s="204" t="s">
        <v>550</v>
      </c>
      <c r="C33" s="282">
        <v>1</v>
      </c>
      <c r="AS33" s="204" t="s">
        <v>550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F33" s="282">
        <v>0</v>
      </c>
      <c r="BG33" s="282">
        <v>0</v>
      </c>
      <c r="BH33" s="282">
        <v>0</v>
      </c>
      <c r="BM33" s="204" t="s">
        <v>550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  <c r="BZ33" s="282">
        <v>0</v>
      </c>
      <c r="CA33" s="282">
        <v>0</v>
      </c>
      <c r="CB33" s="282">
        <v>0</v>
      </c>
    </row>
    <row r="34" spans="2:80" x14ac:dyDescent="0.2">
      <c r="B34" s="204" t="s">
        <v>551</v>
      </c>
      <c r="C34" s="282">
        <v>1</v>
      </c>
      <c r="AS34" s="204" t="s">
        <v>551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F34" s="282">
        <v>0</v>
      </c>
      <c r="BG34" s="282">
        <v>0</v>
      </c>
      <c r="BH34" s="282">
        <v>0</v>
      </c>
      <c r="BM34" s="204" t="s">
        <v>551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  <c r="BZ34" s="282">
        <v>0</v>
      </c>
      <c r="CA34" s="282">
        <v>0</v>
      </c>
      <c r="CB34" s="282">
        <v>0</v>
      </c>
    </row>
    <row r="35" spans="2:80" x14ac:dyDescent="0.2">
      <c r="B35" s="204" t="s">
        <v>552</v>
      </c>
      <c r="C35" s="282">
        <v>1</v>
      </c>
      <c r="AS35" s="204" t="s">
        <v>552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M35" s="204" t="s">
        <v>552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  <c r="BZ35" s="282">
        <v>0</v>
      </c>
      <c r="CA35" s="282">
        <v>0</v>
      </c>
      <c r="CB35" s="282">
        <v>0</v>
      </c>
    </row>
    <row r="36" spans="2:80" x14ac:dyDescent="0.2">
      <c r="B36" s="204" t="s">
        <v>563</v>
      </c>
      <c r="C36" s="282">
        <v>1</v>
      </c>
      <c r="AS36" s="204" t="s">
        <v>563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F36" s="282">
        <v>0</v>
      </c>
      <c r="BG36" s="282">
        <v>0</v>
      </c>
      <c r="BH36" s="282">
        <v>0</v>
      </c>
      <c r="BM36" s="204" t="s">
        <v>563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  <c r="BZ36" s="282">
        <v>0</v>
      </c>
      <c r="CA36" s="282">
        <v>0</v>
      </c>
      <c r="CB36" s="282">
        <v>0</v>
      </c>
    </row>
    <row r="37" spans="2:80" x14ac:dyDescent="0.2">
      <c r="C37" s="169" t="s">
        <v>579</v>
      </c>
      <c r="AS37" s="204"/>
      <c r="AT37" s="395" t="s">
        <v>576</v>
      </c>
      <c r="AU37" s="395"/>
      <c r="AV37" s="395"/>
      <c r="AW37" s="395"/>
      <c r="AX37" s="395"/>
      <c r="AY37" s="395"/>
      <c r="AZ37" s="395"/>
      <c r="BA37" s="395"/>
      <c r="BB37" s="395"/>
      <c r="BC37" s="395"/>
      <c r="BD37" s="395"/>
      <c r="BE37" s="395"/>
      <c r="BF37" s="395"/>
      <c r="BG37" s="395"/>
      <c r="BH37" s="395"/>
      <c r="BM37" s="204"/>
      <c r="BN37" s="395" t="s">
        <v>577</v>
      </c>
      <c r="BO37" s="395"/>
      <c r="BP37" s="395"/>
      <c r="BQ37" s="395"/>
      <c r="BR37" s="395"/>
      <c r="BS37" s="395"/>
      <c r="BT37" s="395"/>
      <c r="BU37" s="395"/>
      <c r="BV37" s="395"/>
      <c r="BW37" s="395"/>
      <c r="BX37" s="395"/>
      <c r="BY37" s="395"/>
      <c r="BZ37" s="395"/>
      <c r="CA37" s="395"/>
      <c r="CB37" s="395"/>
    </row>
    <row r="38" spans="2:80" x14ac:dyDescent="0.2">
      <c r="AS38" s="204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4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4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4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58"/>
      <c r="AT40" s="205" t="s">
        <v>412</v>
      </c>
      <c r="AU40" s="205" t="s">
        <v>413</v>
      </c>
      <c r="AV40" s="205" t="s">
        <v>414</v>
      </c>
      <c r="AW40" s="205" t="s">
        <v>561</v>
      </c>
      <c r="AX40" s="205" t="s">
        <v>540</v>
      </c>
      <c r="AY40" s="205" t="s">
        <v>539</v>
      </c>
      <c r="AZ40" s="205" t="s">
        <v>439</v>
      </c>
      <c r="BA40" s="205" t="s">
        <v>436</v>
      </c>
      <c r="BB40" s="205" t="s">
        <v>454</v>
      </c>
      <c r="BC40" s="205" t="s">
        <v>437</v>
      </c>
      <c r="BD40" s="205" t="s">
        <v>432</v>
      </c>
      <c r="BE40" s="205" t="s">
        <v>665</v>
      </c>
      <c r="BF40" s="205" t="s">
        <v>668</v>
      </c>
      <c r="BG40" s="205" t="s">
        <v>81</v>
      </c>
      <c r="BH40" s="205" t="s">
        <v>424</v>
      </c>
      <c r="BM40" s="204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2" t="s">
        <v>420</v>
      </c>
      <c r="AT41" s="282">
        <f>AT85</f>
        <v>109233.7126431732</v>
      </c>
      <c r="AU41" s="282">
        <f t="shared" ref="AU41:BH41" si="0">AU85</f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  <c r="BF41" s="282">
        <f>BF85</f>
        <v>0</v>
      </c>
      <c r="BG41" s="282">
        <f t="shared" si="0"/>
        <v>0</v>
      </c>
      <c r="BH41" s="282">
        <f t="shared" si="0"/>
        <v>0</v>
      </c>
      <c r="BM41" s="204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2" t="s">
        <v>422</v>
      </c>
      <c r="AT42" s="282">
        <f t="shared" ref="AT42:AT75" si="1">AT86</f>
        <v>0</v>
      </c>
      <c r="AU42" s="282">
        <f t="shared" ref="AU42:BH42" si="2">AU86</f>
        <v>25394.240916408646</v>
      </c>
      <c r="AV42" s="282">
        <f t="shared" si="2"/>
        <v>0</v>
      </c>
      <c r="AW42" s="282">
        <f t="shared" si="2"/>
        <v>0</v>
      </c>
      <c r="AX42" s="282">
        <f t="shared" si="2"/>
        <v>0</v>
      </c>
      <c r="AY42" s="282">
        <f t="shared" si="2"/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si="2"/>
        <v>0</v>
      </c>
      <c r="BD42" s="282">
        <f t="shared" si="2"/>
        <v>0</v>
      </c>
      <c r="BE42" s="282">
        <f t="shared" si="2"/>
        <v>0</v>
      </c>
      <c r="BF42" s="282">
        <f t="shared" si="2"/>
        <v>0</v>
      </c>
      <c r="BG42" s="282">
        <f t="shared" si="2"/>
        <v>0</v>
      </c>
      <c r="BH42" s="282">
        <f t="shared" si="2"/>
        <v>0</v>
      </c>
      <c r="BM42" s="204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2" t="s">
        <v>423</v>
      </c>
      <c r="AT43" s="282">
        <f t="shared" si="1"/>
        <v>0</v>
      </c>
      <c r="AU43" s="282">
        <f t="shared" ref="AU43:BH43" si="3">AU87</f>
        <v>0</v>
      </c>
      <c r="AV43" s="282" t="e">
        <f t="shared" si="3"/>
        <v>#REF!</v>
      </c>
      <c r="AW43" s="282">
        <f t="shared" si="3"/>
        <v>0</v>
      </c>
      <c r="AX43" s="282">
        <f t="shared" si="3"/>
        <v>0</v>
      </c>
      <c r="AY43" s="282">
        <f t="shared" si="3"/>
        <v>0</v>
      </c>
      <c r="AZ43" s="282">
        <f t="shared" si="3"/>
        <v>0</v>
      </c>
      <c r="BA43" s="282">
        <f t="shared" si="3"/>
        <v>0</v>
      </c>
      <c r="BB43" s="282">
        <f t="shared" si="3"/>
        <v>0</v>
      </c>
      <c r="BC43" s="282">
        <f t="shared" si="3"/>
        <v>0</v>
      </c>
      <c r="BD43" s="282">
        <f t="shared" si="3"/>
        <v>0</v>
      </c>
      <c r="BE43" s="282">
        <f t="shared" si="3"/>
        <v>0</v>
      </c>
      <c r="BF43" s="282">
        <f t="shared" si="3"/>
        <v>0</v>
      </c>
      <c r="BG43" s="282">
        <f t="shared" si="3"/>
        <v>0</v>
      </c>
      <c r="BH43" s="282">
        <f t="shared" si="3"/>
        <v>0</v>
      </c>
      <c r="BM43" s="204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2" t="s">
        <v>443</v>
      </c>
      <c r="AT44" s="282">
        <f t="shared" si="1"/>
        <v>236.0188688118763</v>
      </c>
      <c r="AU44" s="282">
        <f t="shared" ref="AU44:BH44" si="4">AU88</f>
        <v>0.70761030268572533</v>
      </c>
      <c r="AV44" s="282" t="e">
        <f t="shared" si="4"/>
        <v>#REF!</v>
      </c>
      <c r="AW44" s="282">
        <f t="shared" si="4"/>
        <v>0</v>
      </c>
      <c r="AX44" s="282">
        <f t="shared" si="4"/>
        <v>0</v>
      </c>
      <c r="AY44" s="282">
        <f t="shared" si="4"/>
        <v>0</v>
      </c>
      <c r="AZ44" s="282">
        <f t="shared" si="4"/>
        <v>0</v>
      </c>
      <c r="BA44" s="282">
        <f t="shared" si="4"/>
        <v>0</v>
      </c>
      <c r="BB44" s="282">
        <f t="shared" si="4"/>
        <v>0</v>
      </c>
      <c r="BC44" s="282">
        <f t="shared" si="4"/>
        <v>2787379.6921424987</v>
      </c>
      <c r="BD44" s="282" t="e">
        <f t="shared" si="4"/>
        <v>#REF!</v>
      </c>
      <c r="BE44" s="282">
        <f t="shared" si="4"/>
        <v>0</v>
      </c>
      <c r="BF44" s="282">
        <f t="shared" si="4"/>
        <v>0</v>
      </c>
      <c r="BG44" s="282">
        <f t="shared" si="4"/>
        <v>0</v>
      </c>
      <c r="BH44" s="282">
        <f t="shared" si="4"/>
        <v>20263.204971384457</v>
      </c>
      <c r="BM44" s="204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2" t="s">
        <v>473</v>
      </c>
      <c r="AT45" s="282">
        <f t="shared" si="1"/>
        <v>0</v>
      </c>
      <c r="AU45" s="282">
        <f t="shared" ref="AU45:BH45" si="5">AU89</f>
        <v>0</v>
      </c>
      <c r="AV45" s="282">
        <f t="shared" si="5"/>
        <v>0</v>
      </c>
      <c r="AW45" s="282">
        <f t="shared" si="5"/>
        <v>0</v>
      </c>
      <c r="AX45" s="282">
        <f t="shared" si="5"/>
        <v>0</v>
      </c>
      <c r="AY45" s="282">
        <f t="shared" si="5"/>
        <v>0</v>
      </c>
      <c r="AZ45" s="282">
        <f t="shared" si="5"/>
        <v>0</v>
      </c>
      <c r="BA45" s="282">
        <f t="shared" si="5"/>
        <v>0</v>
      </c>
      <c r="BB45" s="282">
        <f t="shared" si="5"/>
        <v>0</v>
      </c>
      <c r="BC45" s="282">
        <f t="shared" si="5"/>
        <v>1078370532.5161049</v>
      </c>
      <c r="BD45" s="282" t="e">
        <f t="shared" si="5"/>
        <v>#REF!</v>
      </c>
      <c r="BE45" s="282">
        <f t="shared" si="5"/>
        <v>0</v>
      </c>
      <c r="BF45" s="282">
        <f t="shared" si="5"/>
        <v>0</v>
      </c>
      <c r="BG45" s="282">
        <f t="shared" si="5"/>
        <v>0</v>
      </c>
      <c r="BH45" s="282">
        <f t="shared" si="5"/>
        <v>2321518.855933811</v>
      </c>
      <c r="BM45" s="204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2" t="s">
        <v>572</v>
      </c>
      <c r="AT46" s="282" t="e">
        <f t="shared" si="1"/>
        <v>#REF!</v>
      </c>
      <c r="AU46" s="282" t="e">
        <f t="shared" ref="AU46:BH46" si="6">AU90</f>
        <v>#REF!</v>
      </c>
      <c r="AV46" s="282" t="e">
        <f t="shared" si="6"/>
        <v>#REF!</v>
      </c>
      <c r="AW46" s="282">
        <f t="shared" si="6"/>
        <v>0</v>
      </c>
      <c r="AX46" s="282">
        <f t="shared" si="6"/>
        <v>0</v>
      </c>
      <c r="AY46" s="282">
        <f t="shared" si="6"/>
        <v>0</v>
      </c>
      <c r="AZ46" s="282">
        <f t="shared" si="6"/>
        <v>0</v>
      </c>
      <c r="BA46" s="282">
        <f t="shared" si="6"/>
        <v>0</v>
      </c>
      <c r="BB46" s="282">
        <f t="shared" si="6"/>
        <v>0</v>
      </c>
      <c r="BC46" s="282">
        <f t="shared" si="6"/>
        <v>0</v>
      </c>
      <c r="BD46" s="282">
        <f t="shared" si="6"/>
        <v>0</v>
      </c>
      <c r="BE46" s="282">
        <f t="shared" si="6"/>
        <v>0</v>
      </c>
      <c r="BF46" s="282">
        <f t="shared" si="6"/>
        <v>0</v>
      </c>
      <c r="BG46" s="282">
        <f t="shared" si="6"/>
        <v>0</v>
      </c>
      <c r="BH46" s="282">
        <f t="shared" si="6"/>
        <v>0</v>
      </c>
      <c r="BM46" s="204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2" t="s">
        <v>573</v>
      </c>
      <c r="AT47" s="282">
        <f t="shared" si="1"/>
        <v>0</v>
      </c>
      <c r="AU47" s="282">
        <f t="shared" ref="AU47:BH47" si="7">AU91</f>
        <v>24.076233417548465</v>
      </c>
      <c r="AV47" s="282">
        <f t="shared" si="7"/>
        <v>0</v>
      </c>
      <c r="AW47" s="282">
        <f t="shared" si="7"/>
        <v>0</v>
      </c>
      <c r="AX47" s="282">
        <f t="shared" si="7"/>
        <v>0</v>
      </c>
      <c r="AY47" s="282">
        <f t="shared" si="7"/>
        <v>0</v>
      </c>
      <c r="AZ47" s="282">
        <f t="shared" si="7"/>
        <v>0</v>
      </c>
      <c r="BA47" s="282">
        <f t="shared" si="7"/>
        <v>0</v>
      </c>
      <c r="BB47" s="282">
        <f t="shared" si="7"/>
        <v>0</v>
      </c>
      <c r="BC47" s="282">
        <f t="shared" si="7"/>
        <v>0</v>
      </c>
      <c r="BD47" s="282">
        <f t="shared" si="7"/>
        <v>0</v>
      </c>
      <c r="BE47" s="282">
        <f t="shared" si="7"/>
        <v>0</v>
      </c>
      <c r="BF47" s="282">
        <f t="shared" si="7"/>
        <v>0</v>
      </c>
      <c r="BG47" s="282">
        <f t="shared" si="7"/>
        <v>0</v>
      </c>
      <c r="BH47" s="282">
        <f t="shared" si="7"/>
        <v>0</v>
      </c>
      <c r="BM47" s="204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2" t="s">
        <v>515</v>
      </c>
      <c r="AT48" s="282">
        <f t="shared" si="1"/>
        <v>0</v>
      </c>
      <c r="AU48" s="282">
        <f t="shared" ref="AU48:BH48" si="8">AU92</f>
        <v>0</v>
      </c>
      <c r="AV48" s="282">
        <f t="shared" si="8"/>
        <v>0</v>
      </c>
      <c r="AW48" s="282">
        <f t="shared" si="8"/>
        <v>0</v>
      </c>
      <c r="AX48" s="282">
        <f t="shared" si="8"/>
        <v>0</v>
      </c>
      <c r="AY48" s="282">
        <f t="shared" si="8"/>
        <v>0</v>
      </c>
      <c r="AZ48" s="282">
        <f t="shared" si="8"/>
        <v>0</v>
      </c>
      <c r="BA48" s="282">
        <f t="shared" si="8"/>
        <v>0</v>
      </c>
      <c r="BB48" s="282">
        <f t="shared" si="8"/>
        <v>0</v>
      </c>
      <c r="BC48" s="282">
        <f t="shared" si="8"/>
        <v>0</v>
      </c>
      <c r="BD48" s="282">
        <f t="shared" si="8"/>
        <v>0</v>
      </c>
      <c r="BE48" s="282">
        <f t="shared" si="8"/>
        <v>0</v>
      </c>
      <c r="BF48" s="282">
        <f t="shared" si="8"/>
        <v>0</v>
      </c>
      <c r="BG48" s="282">
        <f t="shared" si="8"/>
        <v>0</v>
      </c>
      <c r="BH48" s="282">
        <f t="shared" si="8"/>
        <v>206840.02835429934</v>
      </c>
      <c r="BM48" s="204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2" t="s">
        <v>565</v>
      </c>
      <c r="AT49" s="282">
        <f t="shared" si="1"/>
        <v>0</v>
      </c>
      <c r="AU49" s="282">
        <f t="shared" ref="AU49:BH49" si="9">AU93</f>
        <v>0</v>
      </c>
      <c r="AV49" s="282" t="e">
        <f t="shared" si="9"/>
        <v>#REF!</v>
      </c>
      <c r="AW49" s="282">
        <f t="shared" si="9"/>
        <v>609792.2517593482</v>
      </c>
      <c r="AX49" s="282">
        <f t="shared" si="9"/>
        <v>2824.8856477449194</v>
      </c>
      <c r="AY49" s="282" t="e">
        <f t="shared" si="9"/>
        <v>#REF!</v>
      </c>
      <c r="AZ49" s="282">
        <f t="shared" si="9"/>
        <v>12626.098826338684</v>
      </c>
      <c r="BA49" s="282">
        <f t="shared" si="9"/>
        <v>34.678095164114971</v>
      </c>
      <c r="BB49" s="282" t="e">
        <f t="shared" si="9"/>
        <v>#REF!</v>
      </c>
      <c r="BC49" s="282">
        <f t="shared" si="9"/>
        <v>0</v>
      </c>
      <c r="BD49" s="282">
        <f t="shared" si="9"/>
        <v>0</v>
      </c>
      <c r="BE49" s="282" t="e">
        <f t="shared" si="9"/>
        <v>#REF!</v>
      </c>
      <c r="BF49" s="282">
        <f t="shared" si="9"/>
        <v>0</v>
      </c>
      <c r="BG49" s="282">
        <f t="shared" si="9"/>
        <v>0</v>
      </c>
      <c r="BH49" s="282">
        <f t="shared" si="9"/>
        <v>317844.87395625591</v>
      </c>
      <c r="BM49" s="204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3" t="s">
        <v>547</v>
      </c>
      <c r="AT50" s="282">
        <f t="shared" si="1"/>
        <v>0</v>
      </c>
      <c r="AU50" s="282">
        <f t="shared" ref="AU50:BH50" si="10">AU94</f>
        <v>0</v>
      </c>
      <c r="AV50" s="282">
        <f t="shared" si="10"/>
        <v>0</v>
      </c>
      <c r="AW50" s="282">
        <f t="shared" si="10"/>
        <v>109233.7126431732</v>
      </c>
      <c r="AX50" s="282">
        <f t="shared" si="10"/>
        <v>0</v>
      </c>
      <c r="AY50" s="282">
        <f t="shared" si="10"/>
        <v>0</v>
      </c>
      <c r="AZ50" s="282">
        <f t="shared" si="10"/>
        <v>0</v>
      </c>
      <c r="BA50" s="282">
        <f t="shared" si="10"/>
        <v>0</v>
      </c>
      <c r="BB50" s="282">
        <f t="shared" si="10"/>
        <v>0</v>
      </c>
      <c r="BC50" s="282">
        <f t="shared" si="10"/>
        <v>0</v>
      </c>
      <c r="BD50" s="282">
        <f t="shared" si="10"/>
        <v>0</v>
      </c>
      <c r="BE50" s="282">
        <f t="shared" si="10"/>
        <v>0</v>
      </c>
      <c r="BF50" s="282">
        <f t="shared" si="10"/>
        <v>0</v>
      </c>
      <c r="BG50" s="282">
        <f t="shared" si="10"/>
        <v>0</v>
      </c>
      <c r="BH50" s="282">
        <f t="shared" si="10"/>
        <v>0</v>
      </c>
      <c r="BM50" s="204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2" t="s">
        <v>513</v>
      </c>
      <c r="AT51" s="282">
        <f t="shared" si="1"/>
        <v>0</v>
      </c>
      <c r="AU51" s="282">
        <f t="shared" ref="AU51:BH51" si="11">AU95</f>
        <v>0</v>
      </c>
      <c r="AV51" s="282">
        <f t="shared" si="11"/>
        <v>0</v>
      </c>
      <c r="AW51" s="282">
        <f t="shared" si="11"/>
        <v>0</v>
      </c>
      <c r="AX51" s="282">
        <f t="shared" si="11"/>
        <v>0</v>
      </c>
      <c r="AY51" s="282">
        <f t="shared" si="11"/>
        <v>0</v>
      </c>
      <c r="AZ51" s="282">
        <f t="shared" si="11"/>
        <v>0</v>
      </c>
      <c r="BA51" s="282">
        <f t="shared" si="11"/>
        <v>0</v>
      </c>
      <c r="BB51" s="282">
        <f t="shared" si="11"/>
        <v>0</v>
      </c>
      <c r="BC51" s="282">
        <f t="shared" si="11"/>
        <v>0</v>
      </c>
      <c r="BD51" s="282">
        <f t="shared" si="11"/>
        <v>0</v>
      </c>
      <c r="BE51" s="282">
        <f t="shared" si="11"/>
        <v>0</v>
      </c>
      <c r="BF51" s="282">
        <f t="shared" si="11"/>
        <v>0</v>
      </c>
      <c r="BG51" s="282">
        <f t="shared" si="11"/>
        <v>0</v>
      </c>
      <c r="BH51" s="282">
        <f t="shared" si="11"/>
        <v>0</v>
      </c>
      <c r="BM51" s="204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3" t="s">
        <v>516</v>
      </c>
      <c r="AT52" s="282">
        <f t="shared" si="1"/>
        <v>0</v>
      </c>
      <c r="AU52" s="282">
        <f t="shared" ref="AU52:BH52" si="12">AU96</f>
        <v>0</v>
      </c>
      <c r="AV52" s="282">
        <f t="shared" si="12"/>
        <v>0</v>
      </c>
      <c r="AW52" s="282">
        <f t="shared" si="12"/>
        <v>0</v>
      </c>
      <c r="AX52" s="282">
        <f t="shared" si="12"/>
        <v>25394.240916408646</v>
      </c>
      <c r="AY52" s="282">
        <f t="shared" si="12"/>
        <v>0</v>
      </c>
      <c r="AZ52" s="282">
        <f t="shared" si="12"/>
        <v>0</v>
      </c>
      <c r="BA52" s="282">
        <f t="shared" si="12"/>
        <v>0</v>
      </c>
      <c r="BB52" s="282">
        <f t="shared" si="12"/>
        <v>0</v>
      </c>
      <c r="BC52" s="282">
        <f t="shared" si="12"/>
        <v>0</v>
      </c>
      <c r="BD52" s="282">
        <f t="shared" si="12"/>
        <v>0</v>
      </c>
      <c r="BE52" s="282">
        <f t="shared" si="12"/>
        <v>0</v>
      </c>
      <c r="BF52" s="282">
        <f t="shared" si="12"/>
        <v>0</v>
      </c>
      <c r="BG52" s="282">
        <f t="shared" si="12"/>
        <v>0</v>
      </c>
      <c r="BH52" s="282">
        <f t="shared" si="12"/>
        <v>0</v>
      </c>
      <c r="BM52" s="204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2" t="s">
        <v>542</v>
      </c>
      <c r="AT53" s="282">
        <f t="shared" si="1"/>
        <v>0</v>
      </c>
      <c r="AU53" s="282">
        <f t="shared" ref="AU53:BH53" si="13">AU97</f>
        <v>0</v>
      </c>
      <c r="AV53" s="282">
        <f t="shared" si="13"/>
        <v>0</v>
      </c>
      <c r="AW53" s="282">
        <f t="shared" si="13"/>
        <v>0</v>
      </c>
      <c r="AX53" s="282">
        <f t="shared" si="13"/>
        <v>0</v>
      </c>
      <c r="AY53" s="282">
        <f t="shared" si="13"/>
        <v>0</v>
      </c>
      <c r="AZ53" s="282">
        <f t="shared" si="13"/>
        <v>0</v>
      </c>
      <c r="BA53" s="282">
        <f t="shared" si="13"/>
        <v>0</v>
      </c>
      <c r="BB53" s="282">
        <f t="shared" si="13"/>
        <v>0</v>
      </c>
      <c r="BC53" s="282">
        <f t="shared" si="13"/>
        <v>0</v>
      </c>
      <c r="BD53" s="282">
        <f t="shared" si="13"/>
        <v>0</v>
      </c>
      <c r="BE53" s="282">
        <f t="shared" si="13"/>
        <v>0</v>
      </c>
      <c r="BF53" s="282">
        <f t="shared" si="13"/>
        <v>0</v>
      </c>
      <c r="BG53" s="282">
        <f t="shared" si="13"/>
        <v>0</v>
      </c>
      <c r="BH53" s="282">
        <f t="shared" si="13"/>
        <v>0</v>
      </c>
      <c r="BM53" s="204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4" t="s">
        <v>534</v>
      </c>
      <c r="AT54" s="282">
        <f t="shared" si="1"/>
        <v>0</v>
      </c>
      <c r="AU54" s="282">
        <f t="shared" ref="AU54:BH54" si="14">AU98</f>
        <v>0</v>
      </c>
      <c r="AV54" s="282">
        <f t="shared" si="14"/>
        <v>0</v>
      </c>
      <c r="AW54" s="282">
        <f t="shared" si="14"/>
        <v>0</v>
      </c>
      <c r="AX54" s="282">
        <f t="shared" si="14"/>
        <v>0</v>
      </c>
      <c r="AY54" s="282" t="e">
        <f t="shared" si="14"/>
        <v>#REF!</v>
      </c>
      <c r="AZ54" s="282">
        <f t="shared" si="14"/>
        <v>0</v>
      </c>
      <c r="BA54" s="282">
        <f t="shared" si="14"/>
        <v>0</v>
      </c>
      <c r="BB54" s="282">
        <f t="shared" si="14"/>
        <v>0</v>
      </c>
      <c r="BC54" s="282">
        <f t="shared" si="14"/>
        <v>0</v>
      </c>
      <c r="BD54" s="282">
        <f t="shared" si="14"/>
        <v>0</v>
      </c>
      <c r="BE54" s="282">
        <f t="shared" si="14"/>
        <v>0</v>
      </c>
      <c r="BF54" s="282">
        <f t="shared" si="14"/>
        <v>0</v>
      </c>
      <c r="BG54" s="282">
        <f t="shared" si="14"/>
        <v>0</v>
      </c>
      <c r="BH54" s="282">
        <f t="shared" si="14"/>
        <v>0</v>
      </c>
      <c r="BM54" s="204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2" t="s">
        <v>520</v>
      </c>
      <c r="AT55" s="282">
        <f t="shared" si="1"/>
        <v>0</v>
      </c>
      <c r="AU55" s="282">
        <f t="shared" ref="AU55:BH55" si="15">AU99</f>
        <v>0</v>
      </c>
      <c r="AV55" s="282">
        <f t="shared" si="15"/>
        <v>0</v>
      </c>
      <c r="AW55" s="282">
        <f t="shared" si="15"/>
        <v>0</v>
      </c>
      <c r="AX55" s="282">
        <f t="shared" si="15"/>
        <v>0</v>
      </c>
      <c r="AY55" s="282">
        <f t="shared" si="15"/>
        <v>0</v>
      </c>
      <c r="AZ55" s="282">
        <f t="shared" si="15"/>
        <v>0</v>
      </c>
      <c r="BA55" s="282">
        <f t="shared" si="15"/>
        <v>0</v>
      </c>
      <c r="BB55" s="282">
        <f t="shared" si="15"/>
        <v>0</v>
      </c>
      <c r="BC55" s="282">
        <f t="shared" si="15"/>
        <v>0</v>
      </c>
      <c r="BD55" s="282">
        <f t="shared" si="15"/>
        <v>0</v>
      </c>
      <c r="BE55" s="282">
        <f t="shared" si="15"/>
        <v>0</v>
      </c>
      <c r="BF55" s="282">
        <f t="shared" si="15"/>
        <v>0</v>
      </c>
      <c r="BG55" s="282">
        <f t="shared" si="15"/>
        <v>0</v>
      </c>
      <c r="BH55" s="282">
        <f t="shared" si="15"/>
        <v>0</v>
      </c>
      <c r="BM55" s="204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3" t="s">
        <v>546</v>
      </c>
      <c r="AT56" s="282">
        <f t="shared" si="1"/>
        <v>0</v>
      </c>
      <c r="AU56" s="282">
        <f t="shared" ref="AU56:BH56" si="16">AU100</f>
        <v>0</v>
      </c>
      <c r="AV56" s="282">
        <f t="shared" si="16"/>
        <v>0</v>
      </c>
      <c r="AW56" s="282">
        <f t="shared" si="16"/>
        <v>0</v>
      </c>
      <c r="AX56" s="282">
        <f t="shared" si="16"/>
        <v>0</v>
      </c>
      <c r="AY56" s="282">
        <f t="shared" si="16"/>
        <v>0</v>
      </c>
      <c r="AZ56" s="282">
        <f t="shared" si="16"/>
        <v>109233.7126431732</v>
      </c>
      <c r="BA56" s="282">
        <f t="shared" si="16"/>
        <v>0</v>
      </c>
      <c r="BB56" s="282">
        <f t="shared" si="16"/>
        <v>0</v>
      </c>
      <c r="BC56" s="282">
        <f t="shared" si="16"/>
        <v>0</v>
      </c>
      <c r="BD56" s="282">
        <f t="shared" si="16"/>
        <v>0</v>
      </c>
      <c r="BE56" s="282">
        <f t="shared" si="16"/>
        <v>0</v>
      </c>
      <c r="BF56" s="282">
        <f t="shared" si="16"/>
        <v>0</v>
      </c>
      <c r="BG56" s="282">
        <f t="shared" si="16"/>
        <v>0</v>
      </c>
      <c r="BH56" s="282">
        <f t="shared" si="16"/>
        <v>0</v>
      </c>
      <c r="BM56" s="204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3" t="s">
        <v>541</v>
      </c>
      <c r="AT57" s="282">
        <f t="shared" si="1"/>
        <v>0</v>
      </c>
      <c r="AU57" s="282">
        <f t="shared" ref="AU57:BH57" si="17">AU101</f>
        <v>0</v>
      </c>
      <c r="AV57" s="282">
        <f t="shared" si="17"/>
        <v>0</v>
      </c>
      <c r="AW57" s="282">
        <f t="shared" si="17"/>
        <v>0</v>
      </c>
      <c r="AX57" s="282">
        <f t="shared" si="17"/>
        <v>0</v>
      </c>
      <c r="AY57" s="282">
        <f t="shared" si="17"/>
        <v>0</v>
      </c>
      <c r="AZ57" s="282">
        <f t="shared" si="17"/>
        <v>0</v>
      </c>
      <c r="BA57" s="282">
        <f t="shared" si="17"/>
        <v>25394.240916408646</v>
      </c>
      <c r="BB57" s="282">
        <f t="shared" si="17"/>
        <v>0</v>
      </c>
      <c r="BC57" s="282">
        <f t="shared" si="17"/>
        <v>0</v>
      </c>
      <c r="BD57" s="282">
        <f t="shared" si="17"/>
        <v>0</v>
      </c>
      <c r="BE57" s="282">
        <f t="shared" si="17"/>
        <v>0</v>
      </c>
      <c r="BF57" s="282">
        <f t="shared" si="17"/>
        <v>0</v>
      </c>
      <c r="BG57" s="282">
        <f t="shared" si="17"/>
        <v>0</v>
      </c>
      <c r="BH57" s="282">
        <f t="shared" si="17"/>
        <v>0</v>
      </c>
      <c r="BM57" s="204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3" t="s">
        <v>538</v>
      </c>
      <c r="AT58" s="282">
        <f t="shared" si="1"/>
        <v>0</v>
      </c>
      <c r="AU58" s="282">
        <f t="shared" ref="AU58:BH58" si="18">AU102</f>
        <v>0</v>
      </c>
      <c r="AV58" s="282">
        <f t="shared" si="18"/>
        <v>0</v>
      </c>
      <c r="AW58" s="282">
        <f t="shared" si="18"/>
        <v>0</v>
      </c>
      <c r="AX58" s="282">
        <f t="shared" si="18"/>
        <v>0</v>
      </c>
      <c r="AY58" s="282">
        <f t="shared" si="18"/>
        <v>0</v>
      </c>
      <c r="AZ58" s="282">
        <f t="shared" si="18"/>
        <v>0</v>
      </c>
      <c r="BA58" s="282">
        <f t="shared" si="18"/>
        <v>0</v>
      </c>
      <c r="BB58" s="282" t="e">
        <f t="shared" si="18"/>
        <v>#REF!</v>
      </c>
      <c r="BC58" s="282">
        <f t="shared" si="18"/>
        <v>0</v>
      </c>
      <c r="BD58" s="282">
        <f t="shared" si="18"/>
        <v>0</v>
      </c>
      <c r="BE58" s="282">
        <f t="shared" si="18"/>
        <v>0</v>
      </c>
      <c r="BF58" s="282">
        <f t="shared" si="18"/>
        <v>0</v>
      </c>
      <c r="BG58" s="282">
        <f t="shared" si="18"/>
        <v>0</v>
      </c>
      <c r="BH58" s="282">
        <f t="shared" si="18"/>
        <v>0</v>
      </c>
      <c r="BM58" s="204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3" t="s">
        <v>544</v>
      </c>
      <c r="AT59" s="282">
        <f t="shared" si="1"/>
        <v>0</v>
      </c>
      <c r="AU59" s="282">
        <f t="shared" ref="AU59:BH59" si="19">AU103</f>
        <v>0</v>
      </c>
      <c r="AV59" s="282">
        <f t="shared" si="19"/>
        <v>0</v>
      </c>
      <c r="AW59" s="282">
        <f t="shared" si="19"/>
        <v>0</v>
      </c>
      <c r="AX59" s="282">
        <f t="shared" si="19"/>
        <v>0</v>
      </c>
      <c r="AY59" s="282">
        <f t="shared" si="19"/>
        <v>0</v>
      </c>
      <c r="AZ59" s="282">
        <f t="shared" si="19"/>
        <v>0</v>
      </c>
      <c r="BA59" s="282">
        <f t="shared" si="19"/>
        <v>0</v>
      </c>
      <c r="BB59" s="282">
        <f t="shared" si="19"/>
        <v>0</v>
      </c>
      <c r="BC59" s="282">
        <f t="shared" si="19"/>
        <v>0</v>
      </c>
      <c r="BD59" s="282">
        <f t="shared" si="19"/>
        <v>0</v>
      </c>
      <c r="BE59" s="282">
        <f t="shared" si="19"/>
        <v>0</v>
      </c>
      <c r="BF59" s="282">
        <f t="shared" si="19"/>
        <v>0</v>
      </c>
      <c r="BG59" s="282">
        <f t="shared" si="19"/>
        <v>88965.799815334409</v>
      </c>
      <c r="BH59" s="282">
        <f t="shared" si="19"/>
        <v>0</v>
      </c>
      <c r="BM59" s="20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4" t="s">
        <v>543</v>
      </c>
      <c r="AT60" s="282">
        <f t="shared" si="1"/>
        <v>0</v>
      </c>
      <c r="AU60" s="282">
        <f t="shared" ref="AU60:BH60" si="20">AU104</f>
        <v>0</v>
      </c>
      <c r="AV60" s="282">
        <f t="shared" si="20"/>
        <v>0</v>
      </c>
      <c r="AW60" s="282">
        <f t="shared" si="20"/>
        <v>0</v>
      </c>
      <c r="AX60" s="282">
        <f t="shared" si="20"/>
        <v>0</v>
      </c>
      <c r="AY60" s="282">
        <f t="shared" si="20"/>
        <v>0</v>
      </c>
      <c r="AZ60" s="282">
        <f t="shared" si="20"/>
        <v>0</v>
      </c>
      <c r="BA60" s="282">
        <f t="shared" si="20"/>
        <v>0</v>
      </c>
      <c r="BB60" s="282">
        <f t="shared" si="20"/>
        <v>0</v>
      </c>
      <c r="BC60" s="282">
        <f t="shared" si="20"/>
        <v>0</v>
      </c>
      <c r="BD60" s="282">
        <f t="shared" si="20"/>
        <v>0</v>
      </c>
      <c r="BE60" s="282">
        <f t="shared" si="20"/>
        <v>0</v>
      </c>
      <c r="BF60" s="282">
        <f t="shared" si="20"/>
        <v>0</v>
      </c>
      <c r="BG60" s="282">
        <f t="shared" si="20"/>
        <v>0</v>
      </c>
      <c r="BH60" s="282">
        <f t="shared" si="20"/>
        <v>0</v>
      </c>
      <c r="BM60" s="204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4" t="s">
        <v>528</v>
      </c>
      <c r="AT61" s="282">
        <f t="shared" si="1"/>
        <v>0</v>
      </c>
      <c r="AU61" s="282">
        <f t="shared" ref="AU61:BH61" si="21">AU105</f>
        <v>0</v>
      </c>
      <c r="AV61" s="282">
        <f t="shared" si="21"/>
        <v>0</v>
      </c>
      <c r="AW61" s="282">
        <f t="shared" si="21"/>
        <v>0</v>
      </c>
      <c r="AX61" s="282">
        <f t="shared" si="21"/>
        <v>0</v>
      </c>
      <c r="AY61" s="282">
        <f t="shared" si="21"/>
        <v>0</v>
      </c>
      <c r="AZ61" s="282">
        <f t="shared" si="21"/>
        <v>0</v>
      </c>
      <c r="BA61" s="282">
        <f t="shared" si="21"/>
        <v>0</v>
      </c>
      <c r="BB61" s="282">
        <f t="shared" si="21"/>
        <v>0</v>
      </c>
      <c r="BC61" s="282">
        <f t="shared" si="21"/>
        <v>25394.240916408646</v>
      </c>
      <c r="BD61" s="282">
        <f t="shared" si="21"/>
        <v>0</v>
      </c>
      <c r="BE61" s="282">
        <f t="shared" si="21"/>
        <v>0</v>
      </c>
      <c r="BF61" s="282">
        <f t="shared" si="21"/>
        <v>0</v>
      </c>
      <c r="BG61" s="282">
        <f t="shared" si="21"/>
        <v>0</v>
      </c>
      <c r="BH61" s="282">
        <f t="shared" si="21"/>
        <v>0</v>
      </c>
      <c r="BM61" s="204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4" t="s">
        <v>562</v>
      </c>
      <c r="AT62" s="282">
        <f t="shared" si="1"/>
        <v>0</v>
      </c>
      <c r="AU62" s="282">
        <f t="shared" ref="AU62:BH62" si="22">AU106</f>
        <v>0</v>
      </c>
      <c r="AV62" s="282">
        <f t="shared" si="22"/>
        <v>0</v>
      </c>
      <c r="AW62" s="282">
        <f t="shared" si="22"/>
        <v>0</v>
      </c>
      <c r="AX62" s="282">
        <f t="shared" si="22"/>
        <v>0</v>
      </c>
      <c r="AY62" s="282">
        <f t="shared" si="22"/>
        <v>0</v>
      </c>
      <c r="AZ62" s="282">
        <f t="shared" si="22"/>
        <v>0</v>
      </c>
      <c r="BA62" s="282">
        <f t="shared" si="22"/>
        <v>0</v>
      </c>
      <c r="BB62" s="282">
        <f t="shared" si="22"/>
        <v>0</v>
      </c>
      <c r="BC62" s="282">
        <f t="shared" si="22"/>
        <v>0</v>
      </c>
      <c r="BD62" s="282" t="e">
        <f t="shared" si="22"/>
        <v>#REF!</v>
      </c>
      <c r="BE62" s="282">
        <f t="shared" si="22"/>
        <v>0</v>
      </c>
      <c r="BF62" s="282">
        <f t="shared" si="22"/>
        <v>0</v>
      </c>
      <c r="BG62" s="282">
        <f t="shared" si="22"/>
        <v>0</v>
      </c>
      <c r="BH62" s="282">
        <f t="shared" si="22"/>
        <v>0</v>
      </c>
      <c r="BM62" s="204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4" t="s">
        <v>529</v>
      </c>
      <c r="AT63" s="282">
        <f t="shared" si="1"/>
        <v>0</v>
      </c>
      <c r="AU63" s="282">
        <f t="shared" ref="AU63:BH63" si="23">AU107</f>
        <v>0</v>
      </c>
      <c r="AV63" s="282">
        <f t="shared" si="23"/>
        <v>0</v>
      </c>
      <c r="AW63" s="282">
        <f t="shared" si="23"/>
        <v>0</v>
      </c>
      <c r="AX63" s="282">
        <f t="shared" si="23"/>
        <v>0</v>
      </c>
      <c r="AY63" s="282">
        <f t="shared" si="23"/>
        <v>0</v>
      </c>
      <c r="AZ63" s="282">
        <f t="shared" si="23"/>
        <v>0</v>
      </c>
      <c r="BA63" s="282">
        <f t="shared" si="23"/>
        <v>0</v>
      </c>
      <c r="BB63" s="282">
        <f t="shared" si="23"/>
        <v>0</v>
      </c>
      <c r="BC63" s="282">
        <f t="shared" si="23"/>
        <v>0</v>
      </c>
      <c r="BD63" s="282">
        <f t="shared" si="23"/>
        <v>0</v>
      </c>
      <c r="BE63" s="282">
        <f t="shared" si="23"/>
        <v>0</v>
      </c>
      <c r="BF63" s="282">
        <f t="shared" si="23"/>
        <v>0</v>
      </c>
      <c r="BG63" s="282">
        <f t="shared" si="23"/>
        <v>242016.07607977447</v>
      </c>
      <c r="BH63" s="282">
        <f t="shared" si="23"/>
        <v>0</v>
      </c>
      <c r="BM63" s="204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4" t="s">
        <v>531</v>
      </c>
      <c r="AT64" s="282">
        <f t="shared" si="1"/>
        <v>0</v>
      </c>
      <c r="AU64" s="282">
        <f t="shared" ref="AU64:BH64" si="24">AU108</f>
        <v>0</v>
      </c>
      <c r="AV64" s="282">
        <f t="shared" si="24"/>
        <v>0</v>
      </c>
      <c r="AW64" s="282">
        <f t="shared" si="24"/>
        <v>0</v>
      </c>
      <c r="AX64" s="282">
        <f t="shared" si="24"/>
        <v>0</v>
      </c>
      <c r="AY64" s="282">
        <f t="shared" si="24"/>
        <v>0</v>
      </c>
      <c r="AZ64" s="282">
        <f t="shared" si="24"/>
        <v>0</v>
      </c>
      <c r="BA64" s="282">
        <f t="shared" si="24"/>
        <v>0</v>
      </c>
      <c r="BB64" s="282">
        <f t="shared" si="24"/>
        <v>0</v>
      </c>
      <c r="BC64" s="282">
        <f t="shared" si="24"/>
        <v>0</v>
      </c>
      <c r="BD64" s="282">
        <f t="shared" si="24"/>
        <v>0</v>
      </c>
      <c r="BE64" s="282">
        <f t="shared" si="24"/>
        <v>0</v>
      </c>
      <c r="BF64" s="282">
        <f t="shared" si="24"/>
        <v>0</v>
      </c>
      <c r="BG64" s="282">
        <f t="shared" si="24"/>
        <v>0</v>
      </c>
      <c r="BH64" s="282">
        <f t="shared" si="24"/>
        <v>0</v>
      </c>
      <c r="BM64" s="204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4" t="s">
        <v>530</v>
      </c>
      <c r="AT65" s="282">
        <f t="shared" si="1"/>
        <v>0</v>
      </c>
      <c r="AU65" s="282">
        <f t="shared" ref="AU65:BH65" si="25">AU109</f>
        <v>0</v>
      </c>
      <c r="AV65" s="282">
        <f t="shared" si="25"/>
        <v>0</v>
      </c>
      <c r="AW65" s="282">
        <f t="shared" si="25"/>
        <v>0</v>
      </c>
      <c r="AX65" s="282">
        <f t="shared" si="25"/>
        <v>0</v>
      </c>
      <c r="AY65" s="282">
        <f t="shared" si="25"/>
        <v>0</v>
      </c>
      <c r="AZ65" s="282">
        <f t="shared" si="25"/>
        <v>0</v>
      </c>
      <c r="BA65" s="282">
        <f t="shared" si="25"/>
        <v>0</v>
      </c>
      <c r="BB65" s="282">
        <f t="shared" si="25"/>
        <v>0</v>
      </c>
      <c r="BC65" s="282">
        <f t="shared" si="25"/>
        <v>0</v>
      </c>
      <c r="BD65" s="282">
        <f t="shared" si="25"/>
        <v>0</v>
      </c>
      <c r="BE65" s="282">
        <f t="shared" si="25"/>
        <v>0</v>
      </c>
      <c r="BF65" s="282">
        <f t="shared" si="25"/>
        <v>0</v>
      </c>
      <c r="BG65" s="282">
        <f t="shared" si="25"/>
        <v>0</v>
      </c>
      <c r="BH65" s="282">
        <f t="shared" si="25"/>
        <v>0</v>
      </c>
      <c r="BM65" s="204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4" t="s">
        <v>627</v>
      </c>
      <c r="AT66" s="282">
        <f t="shared" si="1"/>
        <v>0</v>
      </c>
      <c r="AU66" s="282">
        <f t="shared" ref="AU66:BH66" si="26">AU110</f>
        <v>0</v>
      </c>
      <c r="AV66" s="282">
        <f t="shared" si="26"/>
        <v>0</v>
      </c>
      <c r="AW66" s="282">
        <f t="shared" si="26"/>
        <v>0</v>
      </c>
      <c r="AX66" s="282">
        <f t="shared" si="26"/>
        <v>0</v>
      </c>
      <c r="AY66" s="282">
        <f t="shared" si="26"/>
        <v>0</v>
      </c>
      <c r="AZ66" s="282">
        <f t="shared" si="26"/>
        <v>0</v>
      </c>
      <c r="BA66" s="282">
        <f t="shared" si="26"/>
        <v>0</v>
      </c>
      <c r="BB66" s="282">
        <f t="shared" si="26"/>
        <v>0</v>
      </c>
      <c r="BC66" s="282">
        <f t="shared" si="26"/>
        <v>0</v>
      </c>
      <c r="BD66" s="282">
        <f t="shared" si="26"/>
        <v>0</v>
      </c>
      <c r="BE66" s="282">
        <f t="shared" si="26"/>
        <v>0</v>
      </c>
      <c r="BF66" s="282">
        <f t="shared" si="26"/>
        <v>0</v>
      </c>
      <c r="BG66" s="282">
        <f t="shared" si="26"/>
        <v>6791339.3350291392</v>
      </c>
      <c r="BH66" s="282">
        <f t="shared" si="26"/>
        <v>0</v>
      </c>
      <c r="BM66" s="204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1" t="s">
        <v>526</v>
      </c>
      <c r="AT67" s="282">
        <f t="shared" si="1"/>
        <v>0</v>
      </c>
      <c r="AU67" s="282">
        <f t="shared" ref="AU67:BH67" si="27">AU111</f>
        <v>0</v>
      </c>
      <c r="AV67" s="282">
        <f t="shared" si="27"/>
        <v>0</v>
      </c>
      <c r="AW67" s="282">
        <f t="shared" si="27"/>
        <v>0</v>
      </c>
      <c r="AX67" s="282">
        <f t="shared" si="27"/>
        <v>0</v>
      </c>
      <c r="AY67" s="282">
        <f t="shared" si="27"/>
        <v>0</v>
      </c>
      <c r="AZ67" s="282">
        <f t="shared" si="27"/>
        <v>0</v>
      </c>
      <c r="BA67" s="282">
        <f t="shared" si="27"/>
        <v>0</v>
      </c>
      <c r="BB67" s="282">
        <f t="shared" si="27"/>
        <v>0</v>
      </c>
      <c r="BC67" s="282">
        <f t="shared" si="27"/>
        <v>0</v>
      </c>
      <c r="BD67" s="282">
        <f t="shared" si="27"/>
        <v>0</v>
      </c>
      <c r="BE67" s="282" t="e">
        <f t="shared" si="27"/>
        <v>#REF!</v>
      </c>
      <c r="BF67" s="282">
        <f t="shared" si="27"/>
        <v>0</v>
      </c>
      <c r="BG67" s="282">
        <f t="shared" si="27"/>
        <v>0</v>
      </c>
      <c r="BH67" s="282">
        <f t="shared" si="27"/>
        <v>0</v>
      </c>
      <c r="BM67" s="204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4" t="s">
        <v>525</v>
      </c>
      <c r="AT68" s="282">
        <f t="shared" si="1"/>
        <v>0</v>
      </c>
      <c r="AU68" s="282">
        <f t="shared" ref="AU68:BH68" si="28">AU112</f>
        <v>0</v>
      </c>
      <c r="AV68" s="282">
        <f t="shared" si="28"/>
        <v>0</v>
      </c>
      <c r="AW68" s="282">
        <f t="shared" si="28"/>
        <v>0</v>
      </c>
      <c r="AX68" s="282">
        <f t="shared" si="28"/>
        <v>0</v>
      </c>
      <c r="AY68" s="282">
        <f t="shared" si="28"/>
        <v>0</v>
      </c>
      <c r="AZ68" s="282">
        <f t="shared" si="28"/>
        <v>0</v>
      </c>
      <c r="BA68" s="282">
        <f t="shared" si="28"/>
        <v>0</v>
      </c>
      <c r="BB68" s="282">
        <f t="shared" si="28"/>
        <v>0</v>
      </c>
      <c r="BC68" s="282">
        <f t="shared" si="28"/>
        <v>0</v>
      </c>
      <c r="BD68" s="282">
        <f t="shared" si="28"/>
        <v>0</v>
      </c>
      <c r="BE68" s="282">
        <f t="shared" si="28"/>
        <v>0</v>
      </c>
      <c r="BF68" s="282">
        <f t="shared" si="28"/>
        <v>0</v>
      </c>
      <c r="BG68" s="282">
        <f t="shared" si="28"/>
        <v>0</v>
      </c>
      <c r="BH68" s="282">
        <f t="shared" si="28"/>
        <v>0</v>
      </c>
      <c r="BM68" s="20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2" t="s">
        <v>527</v>
      </c>
      <c r="AT69" s="282">
        <f t="shared" si="1"/>
        <v>0</v>
      </c>
      <c r="AU69" s="282">
        <f t="shared" ref="AU69:BH69" si="29">AU113</f>
        <v>0</v>
      </c>
      <c r="AV69" s="282">
        <f t="shared" si="29"/>
        <v>0</v>
      </c>
      <c r="AW69" s="282">
        <f t="shared" si="29"/>
        <v>0</v>
      </c>
      <c r="AX69" s="282">
        <f t="shared" si="29"/>
        <v>0</v>
      </c>
      <c r="AY69" s="282">
        <f t="shared" si="29"/>
        <v>0</v>
      </c>
      <c r="AZ69" s="282">
        <f t="shared" si="29"/>
        <v>0</v>
      </c>
      <c r="BA69" s="282">
        <f t="shared" si="29"/>
        <v>0</v>
      </c>
      <c r="BB69" s="282">
        <f t="shared" si="29"/>
        <v>0</v>
      </c>
      <c r="BC69" s="282">
        <f t="shared" si="29"/>
        <v>0</v>
      </c>
      <c r="BD69" s="282">
        <f t="shared" si="29"/>
        <v>0</v>
      </c>
      <c r="BE69" s="282">
        <f t="shared" si="29"/>
        <v>0</v>
      </c>
      <c r="BF69" s="282">
        <f t="shared" si="29"/>
        <v>0</v>
      </c>
      <c r="BG69" s="282">
        <f t="shared" si="29"/>
        <v>0</v>
      </c>
      <c r="BH69" s="282">
        <f t="shared" si="29"/>
        <v>0</v>
      </c>
      <c r="BM69" s="204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4" t="s">
        <v>666</v>
      </c>
      <c r="AT70" s="282">
        <f t="shared" si="1"/>
        <v>0</v>
      </c>
      <c r="AU70" s="282">
        <f t="shared" ref="AU70:BH70" si="30">AU114</f>
        <v>0</v>
      </c>
      <c r="AV70" s="282">
        <f t="shared" si="30"/>
        <v>0</v>
      </c>
      <c r="AW70" s="282">
        <f t="shared" si="30"/>
        <v>0</v>
      </c>
      <c r="AX70" s="282">
        <f t="shared" si="30"/>
        <v>0</v>
      </c>
      <c r="AY70" s="282">
        <f t="shared" si="30"/>
        <v>0</v>
      </c>
      <c r="AZ70" s="282">
        <f t="shared" si="30"/>
        <v>0</v>
      </c>
      <c r="BA70" s="282">
        <f t="shared" si="30"/>
        <v>0</v>
      </c>
      <c r="BB70" s="282">
        <f t="shared" si="30"/>
        <v>0</v>
      </c>
      <c r="BC70" s="282">
        <f t="shared" si="30"/>
        <v>0</v>
      </c>
      <c r="BD70" s="282">
        <f t="shared" si="30"/>
        <v>0</v>
      </c>
      <c r="BE70" s="282">
        <f t="shared" si="30"/>
        <v>0</v>
      </c>
      <c r="BF70" s="282">
        <f t="shared" si="30"/>
        <v>3851734.9265453434</v>
      </c>
      <c r="BG70" s="282">
        <f t="shared" si="30"/>
        <v>0</v>
      </c>
      <c r="BH70" s="282">
        <f t="shared" si="30"/>
        <v>0</v>
      </c>
      <c r="BM70" s="204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4" t="s">
        <v>669</v>
      </c>
      <c r="AT71" s="282">
        <f t="shared" si="1"/>
        <v>0</v>
      </c>
      <c r="AU71" s="282">
        <f t="shared" ref="AU71" si="31">AU115</f>
        <v>0</v>
      </c>
      <c r="AV71" s="282">
        <f t="shared" ref="AV71" si="32">AV115</f>
        <v>0</v>
      </c>
      <c r="AW71" s="282">
        <f t="shared" ref="AW71" si="33">AW115</f>
        <v>0</v>
      </c>
      <c r="AX71" s="282">
        <f t="shared" ref="AX71" si="34">AX115</f>
        <v>0</v>
      </c>
      <c r="AY71" s="282">
        <f t="shared" ref="AY71" si="35">AY115</f>
        <v>0</v>
      </c>
      <c r="AZ71" s="282">
        <f t="shared" ref="AZ71" si="36">AZ115</f>
        <v>0</v>
      </c>
      <c r="BA71" s="282">
        <f t="shared" ref="BA71" si="37">BA115</f>
        <v>0</v>
      </c>
      <c r="BB71" s="282">
        <f t="shared" ref="BB71" si="38">BB115</f>
        <v>0</v>
      </c>
      <c r="BC71" s="282">
        <f t="shared" ref="BC71" si="39">BC115</f>
        <v>0</v>
      </c>
      <c r="BD71" s="282">
        <f t="shared" ref="BD71" si="40">BD115</f>
        <v>577760.23898180155</v>
      </c>
      <c r="BE71" s="282">
        <f t="shared" ref="BE71:BH71" si="41">BE115</f>
        <v>0</v>
      </c>
      <c r="BF71" s="282">
        <f t="shared" si="41"/>
        <v>0</v>
      </c>
      <c r="BG71" s="282">
        <f t="shared" si="41"/>
        <v>0</v>
      </c>
      <c r="BH71" s="282">
        <f t="shared" si="41"/>
        <v>2696214.4485817407</v>
      </c>
      <c r="BM71" s="204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4" t="s">
        <v>550</v>
      </c>
      <c r="AT72" s="282">
        <f t="shared" si="1"/>
        <v>0</v>
      </c>
      <c r="AU72" s="282">
        <f t="shared" ref="AU72:BH72" si="42">AU116</f>
        <v>0</v>
      </c>
      <c r="AV72" s="282">
        <f t="shared" si="42"/>
        <v>0</v>
      </c>
      <c r="AW72" s="282">
        <f t="shared" si="42"/>
        <v>0</v>
      </c>
      <c r="AX72" s="282">
        <f t="shared" si="42"/>
        <v>0</v>
      </c>
      <c r="AY72" s="282">
        <f t="shared" si="42"/>
        <v>0</v>
      </c>
      <c r="AZ72" s="282">
        <f t="shared" si="42"/>
        <v>0</v>
      </c>
      <c r="BA72" s="282">
        <f t="shared" si="42"/>
        <v>0</v>
      </c>
      <c r="BB72" s="282">
        <f t="shared" si="42"/>
        <v>0</v>
      </c>
      <c r="BC72" s="282">
        <f t="shared" si="42"/>
        <v>0</v>
      </c>
      <c r="BD72" s="282">
        <f t="shared" si="42"/>
        <v>0</v>
      </c>
      <c r="BE72" s="282">
        <f t="shared" si="42"/>
        <v>0</v>
      </c>
      <c r="BF72" s="282">
        <f t="shared" si="42"/>
        <v>0</v>
      </c>
      <c r="BG72" s="282">
        <f t="shared" si="42"/>
        <v>0</v>
      </c>
      <c r="BH72" s="282">
        <f t="shared" si="42"/>
        <v>7072531.8830895294</v>
      </c>
      <c r="BM72" s="204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4" t="s">
        <v>551</v>
      </c>
      <c r="AT73" s="282">
        <f t="shared" si="1"/>
        <v>0</v>
      </c>
      <c r="AU73" s="282">
        <f t="shared" ref="AU73:BH73" si="43">AU117</f>
        <v>0</v>
      </c>
      <c r="AV73" s="282">
        <f t="shared" si="43"/>
        <v>0</v>
      </c>
      <c r="AW73" s="282">
        <f t="shared" si="43"/>
        <v>0</v>
      </c>
      <c r="AX73" s="282">
        <f t="shared" si="43"/>
        <v>0</v>
      </c>
      <c r="AY73" s="282">
        <f t="shared" si="43"/>
        <v>0</v>
      </c>
      <c r="AZ73" s="282">
        <f t="shared" si="43"/>
        <v>0</v>
      </c>
      <c r="BA73" s="282">
        <f t="shared" si="43"/>
        <v>0</v>
      </c>
      <c r="BB73" s="282">
        <f t="shared" si="43"/>
        <v>0</v>
      </c>
      <c r="BC73" s="282">
        <f t="shared" si="43"/>
        <v>0</v>
      </c>
      <c r="BD73" s="282">
        <f t="shared" si="43"/>
        <v>0</v>
      </c>
      <c r="BE73" s="282">
        <f t="shared" si="43"/>
        <v>0</v>
      </c>
      <c r="BF73" s="282">
        <f t="shared" si="43"/>
        <v>0</v>
      </c>
      <c r="BG73" s="282">
        <f t="shared" si="43"/>
        <v>0</v>
      </c>
      <c r="BH73" s="282">
        <f t="shared" si="43"/>
        <v>0</v>
      </c>
      <c r="BM73" s="204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4" t="s">
        <v>552</v>
      </c>
      <c r="AT74" s="282">
        <f t="shared" si="1"/>
        <v>0</v>
      </c>
      <c r="AU74" s="282">
        <f t="shared" ref="AU74:BH74" si="44">AU118</f>
        <v>0</v>
      </c>
      <c r="AV74" s="282">
        <f t="shared" si="44"/>
        <v>0</v>
      </c>
      <c r="AW74" s="282">
        <f t="shared" si="44"/>
        <v>0</v>
      </c>
      <c r="AX74" s="282">
        <f t="shared" si="44"/>
        <v>0</v>
      </c>
      <c r="AY74" s="282">
        <f t="shared" si="44"/>
        <v>0</v>
      </c>
      <c r="AZ74" s="282">
        <f t="shared" si="44"/>
        <v>0</v>
      </c>
      <c r="BA74" s="282">
        <f t="shared" si="44"/>
        <v>0</v>
      </c>
      <c r="BB74" s="282">
        <f t="shared" si="44"/>
        <v>0</v>
      </c>
      <c r="BC74" s="282">
        <f t="shared" si="44"/>
        <v>0</v>
      </c>
      <c r="BD74" s="282">
        <f t="shared" si="44"/>
        <v>0</v>
      </c>
      <c r="BE74" s="282">
        <f t="shared" si="44"/>
        <v>0</v>
      </c>
      <c r="BF74" s="282">
        <f t="shared" si="44"/>
        <v>0</v>
      </c>
      <c r="BG74" s="282">
        <f t="shared" si="44"/>
        <v>0</v>
      </c>
      <c r="BH74" s="282">
        <f t="shared" si="44"/>
        <v>0</v>
      </c>
      <c r="BM74" s="204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4" t="s">
        <v>563</v>
      </c>
      <c r="AT75" s="282">
        <f t="shared" si="1"/>
        <v>0</v>
      </c>
      <c r="AU75" s="282">
        <f t="shared" ref="AU75:BH75" si="45">AU119</f>
        <v>0</v>
      </c>
      <c r="AV75" s="282">
        <f t="shared" si="45"/>
        <v>0</v>
      </c>
      <c r="AW75" s="282">
        <f t="shared" si="45"/>
        <v>0</v>
      </c>
      <c r="AX75" s="282">
        <f t="shared" si="45"/>
        <v>0</v>
      </c>
      <c r="AY75" s="282">
        <f t="shared" si="45"/>
        <v>0</v>
      </c>
      <c r="AZ75" s="282">
        <f t="shared" si="45"/>
        <v>0</v>
      </c>
      <c r="BA75" s="282">
        <f t="shared" si="45"/>
        <v>0</v>
      </c>
      <c r="BB75" s="282">
        <f t="shared" si="45"/>
        <v>0</v>
      </c>
      <c r="BC75" s="282">
        <f t="shared" si="45"/>
        <v>0</v>
      </c>
      <c r="BD75" s="282">
        <f t="shared" si="45"/>
        <v>0</v>
      </c>
      <c r="BE75" s="282">
        <f t="shared" si="45"/>
        <v>0</v>
      </c>
      <c r="BF75" s="282">
        <f t="shared" si="45"/>
        <v>0</v>
      </c>
      <c r="BG75" s="282">
        <f t="shared" si="45"/>
        <v>0</v>
      </c>
      <c r="BH75" s="282">
        <f t="shared" si="45"/>
        <v>0</v>
      </c>
      <c r="BM75" s="204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4"/>
      <c r="AT76" s="395" t="s">
        <v>578</v>
      </c>
      <c r="AU76" s="395"/>
      <c r="AV76" s="395"/>
      <c r="AW76" s="395"/>
      <c r="AX76" s="395"/>
      <c r="AY76" s="395"/>
      <c r="AZ76" s="395"/>
      <c r="BA76" s="395"/>
      <c r="BB76" s="395"/>
      <c r="BC76" s="395"/>
      <c r="BD76" s="395"/>
      <c r="BE76" s="395"/>
      <c r="BF76" s="395"/>
      <c r="BG76" s="395"/>
      <c r="BH76" s="395"/>
      <c r="BM76" s="204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4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4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4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4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4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4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58"/>
      <c r="AT84" s="205" t="s">
        <v>412</v>
      </c>
      <c r="AU84" s="205" t="s">
        <v>413</v>
      </c>
      <c r="AV84" s="205" t="s">
        <v>414</v>
      </c>
      <c r="AW84" s="205" t="s">
        <v>561</v>
      </c>
      <c r="AX84" s="205" t="s">
        <v>540</v>
      </c>
      <c r="AY84" s="205" t="s">
        <v>539</v>
      </c>
      <c r="AZ84" s="205" t="s">
        <v>439</v>
      </c>
      <c r="BA84" s="205" t="s">
        <v>436</v>
      </c>
      <c r="BB84" s="205" t="s">
        <v>454</v>
      </c>
      <c r="BC84" s="205" t="s">
        <v>437</v>
      </c>
      <c r="BD84" s="205" t="s">
        <v>432</v>
      </c>
      <c r="BE84" s="205" t="s">
        <v>665</v>
      </c>
      <c r="BF84" s="205" t="s">
        <v>668</v>
      </c>
      <c r="BG84" s="205" t="s">
        <v>81</v>
      </c>
      <c r="BH84" s="205" t="s">
        <v>424</v>
      </c>
      <c r="BM84" s="205"/>
      <c r="BN84" s="205" t="s">
        <v>418</v>
      </c>
      <c r="BO84" s="205" t="s">
        <v>356</v>
      </c>
    </row>
    <row r="85" spans="35:68" x14ac:dyDescent="0.2">
      <c r="AI85" s="202"/>
      <c r="AJ85" s="202"/>
      <c r="AS85" s="202" t="s">
        <v>420</v>
      </c>
      <c r="AT85" s="228">
        <f>'Ore-&gt;PI'!$V$42</f>
        <v>109233.7126431732</v>
      </c>
      <c r="AU85" s="228"/>
      <c r="AV85" s="228"/>
      <c r="AW85" s="228"/>
      <c r="AX85" s="228"/>
      <c r="AY85" s="228"/>
      <c r="AZ85" s="228"/>
      <c r="BA85" s="228"/>
      <c r="BB85" s="228"/>
      <c r="BC85" s="228"/>
      <c r="BD85" s="228"/>
      <c r="BE85" s="228"/>
      <c r="BF85" s="228"/>
      <c r="BG85" s="228"/>
      <c r="BH85" s="228"/>
      <c r="BI85" s="250">
        <f>SUM(AT85:BH85)</f>
        <v>109233.7126431732</v>
      </c>
      <c r="BM85" s="202" t="s">
        <v>420</v>
      </c>
      <c r="BN85" s="242"/>
      <c r="BO85" s="242"/>
      <c r="BP85" s="250">
        <f>SUM(BN85:BO85)</f>
        <v>0</v>
      </c>
    </row>
    <row r="86" spans="35:68" x14ac:dyDescent="0.2">
      <c r="AI86" s="202"/>
      <c r="AJ86" s="202"/>
      <c r="AS86" s="202" t="s">
        <v>422</v>
      </c>
      <c r="AT86" s="228"/>
      <c r="AU86" s="228">
        <f>'Ore-&gt;PI'!$V$126</f>
        <v>25394.240916408646</v>
      </c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28"/>
      <c r="BG86" s="228"/>
      <c r="BH86" s="228"/>
      <c r="BI86" s="250">
        <f>SUM(AT86:BH86)</f>
        <v>25394.240916408646</v>
      </c>
      <c r="BM86" s="202" t="s">
        <v>422</v>
      </c>
      <c r="BN86" s="242"/>
      <c r="BO86" s="242"/>
      <c r="BP86" s="250">
        <f>SUM(BN86:BO86)</f>
        <v>0</v>
      </c>
    </row>
    <row r="87" spans="35:68" x14ac:dyDescent="0.2">
      <c r="AI87" s="202"/>
      <c r="AJ87" s="202"/>
      <c r="AS87" s="202" t="s">
        <v>423</v>
      </c>
      <c r="AT87" s="228"/>
      <c r="AU87" s="228"/>
      <c r="AV87" s="228" t="e">
        <f>'Ore-&gt;PI'!$V$206</f>
        <v>#REF!</v>
      </c>
      <c r="AW87" s="228"/>
      <c r="AX87" s="228"/>
      <c r="AY87" s="228"/>
      <c r="AZ87" s="228"/>
      <c r="BA87" s="228"/>
      <c r="BB87" s="228"/>
      <c r="BC87" s="228"/>
      <c r="BD87" s="228"/>
      <c r="BE87" s="228"/>
      <c r="BF87" s="228"/>
      <c r="BG87" s="228"/>
      <c r="BH87" s="228"/>
      <c r="BI87" s="250" t="e">
        <f t="shared" ref="BI87:BI119" si="46">SUM(AT87:BH87)</f>
        <v>#REF!</v>
      </c>
      <c r="BM87" s="202" t="s">
        <v>423</v>
      </c>
      <c r="BN87" s="242"/>
      <c r="BO87" s="242"/>
      <c r="BP87" s="250">
        <f>SUM(BN87:BO87)</f>
        <v>0</v>
      </c>
    </row>
    <row r="88" spans="35:68" x14ac:dyDescent="0.2">
      <c r="AI88" s="202"/>
      <c r="AJ88" s="202"/>
      <c r="AS88" s="202" t="s">
        <v>443</v>
      </c>
      <c r="AT88" s="228">
        <f>'Ore-&gt;PI'!V72</f>
        <v>236.0188688118763</v>
      </c>
      <c r="AU88" s="228">
        <f>'Ore-&gt;PI'!V163</f>
        <v>0.70761030268572533</v>
      </c>
      <c r="AV88" s="228" t="e">
        <f>'Ore-&gt;PI'!V236</f>
        <v>#REF!</v>
      </c>
      <c r="AW88" s="228"/>
      <c r="AX88" s="228"/>
      <c r="AY88" s="228"/>
      <c r="AZ88" s="228"/>
      <c r="BA88" s="228"/>
      <c r="BB88" s="228"/>
      <c r="BC88" s="228">
        <f>'Ore-&gt;PI'!CB140</f>
        <v>2787379.6921424987</v>
      </c>
      <c r="BD88" s="228" t="e">
        <f>'Ore-&gt;PI'!CB242</f>
        <v>#REF!</v>
      </c>
      <c r="BE88" s="228"/>
      <c r="BF88" s="228"/>
      <c r="BG88" s="228"/>
      <c r="BH88" s="241">
        <f>'Ore-&gt;PI'!EM140</f>
        <v>20263.204971384457</v>
      </c>
      <c r="BI88" s="250" t="e">
        <f t="shared" si="46"/>
        <v>#REF!</v>
      </c>
      <c r="BM88" s="202" t="s">
        <v>443</v>
      </c>
      <c r="BN88" s="242"/>
      <c r="BO88" s="242"/>
      <c r="BP88" s="250">
        <f t="shared" ref="BP88:BP92" si="47">SUM(BN88:BO88)</f>
        <v>0</v>
      </c>
    </row>
    <row r="89" spans="35:68" x14ac:dyDescent="0.2">
      <c r="AI89" s="202"/>
      <c r="AJ89" s="202"/>
      <c r="AL89" s="202"/>
      <c r="AS89" s="202" t="s">
        <v>473</v>
      </c>
      <c r="AT89" s="228"/>
      <c r="AU89" s="228"/>
      <c r="AV89" s="228"/>
      <c r="AW89" s="228"/>
      <c r="AX89" s="228"/>
      <c r="AY89" s="228"/>
      <c r="AZ89" s="228"/>
      <c r="BA89" s="228"/>
      <c r="BB89" s="228"/>
      <c r="BC89" s="228">
        <f>'Ore-&gt;PI'!CB152</f>
        <v>1078370532.5161049</v>
      </c>
      <c r="BD89" s="228" t="e">
        <f>'Ore-&gt;PI'!CB254</f>
        <v>#REF!</v>
      </c>
      <c r="BE89" s="228"/>
      <c r="BF89" s="228"/>
      <c r="BG89" s="228"/>
      <c r="BH89" s="228">
        <f>'Ore-&gt;PI'!EM114</f>
        <v>2321518.855933811</v>
      </c>
      <c r="BI89" s="250" t="e">
        <f t="shared" si="46"/>
        <v>#REF!</v>
      </c>
      <c r="BM89" s="202" t="s">
        <v>473</v>
      </c>
      <c r="BN89" s="242"/>
      <c r="BO89" s="242"/>
      <c r="BP89" s="250">
        <f t="shared" si="47"/>
        <v>0</v>
      </c>
    </row>
    <row r="90" spans="35:68" x14ac:dyDescent="0.2">
      <c r="AI90" s="202"/>
      <c r="AJ90" s="202"/>
      <c r="AL90" s="202"/>
      <c r="AS90" s="202" t="s">
        <v>572</v>
      </c>
      <c r="AT90" s="228" t="e">
        <f>'Ore-&gt;PI'!V59</f>
        <v>#REF!</v>
      </c>
      <c r="AU90" s="228" t="e">
        <f>'Ore-&gt;PI'!V140</f>
        <v>#REF!</v>
      </c>
      <c r="AV90" s="228" t="e">
        <f>'Ore-&gt;PI'!V222</f>
        <v>#REF!</v>
      </c>
      <c r="AW90" s="228"/>
      <c r="AX90" s="228"/>
      <c r="AY90" s="228"/>
      <c r="AZ90" s="228"/>
      <c r="BA90" s="228"/>
      <c r="BB90" s="228"/>
      <c r="BC90" s="228"/>
      <c r="BD90" s="228"/>
      <c r="BE90" s="228"/>
      <c r="BF90" s="228"/>
      <c r="BG90" s="228"/>
      <c r="BH90" s="228"/>
      <c r="BI90" s="250" t="e">
        <f t="shared" si="46"/>
        <v>#REF!</v>
      </c>
      <c r="BM90" s="202" t="s">
        <v>572</v>
      </c>
      <c r="BN90" s="242"/>
      <c r="BO90" s="242"/>
      <c r="BP90" s="250">
        <f t="shared" si="47"/>
        <v>0</v>
      </c>
    </row>
    <row r="91" spans="35:68" x14ac:dyDescent="0.2">
      <c r="AI91" s="202"/>
      <c r="AJ91" s="202"/>
      <c r="AL91" s="202"/>
      <c r="AS91" s="202" t="s">
        <v>573</v>
      </c>
      <c r="AT91" s="228"/>
      <c r="AU91" s="228">
        <f>'Ore-&gt;PI'!V151</f>
        <v>24.076233417548465</v>
      </c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28"/>
      <c r="BG91" s="228"/>
      <c r="BH91" s="228"/>
      <c r="BI91" s="250">
        <f t="shared" si="46"/>
        <v>24.076233417548465</v>
      </c>
      <c r="BM91" s="202" t="s">
        <v>573</v>
      </c>
      <c r="BN91" s="242"/>
      <c r="BO91" s="242"/>
      <c r="BP91" s="250">
        <f t="shared" si="47"/>
        <v>0</v>
      </c>
    </row>
    <row r="92" spans="35:68" x14ac:dyDescent="0.2">
      <c r="AI92" s="202"/>
      <c r="AJ92" s="202"/>
      <c r="AL92" s="202"/>
      <c r="AS92" s="202" t="s">
        <v>515</v>
      </c>
      <c r="AT92" s="228"/>
      <c r="AU92" s="228"/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28"/>
      <c r="BG92" s="228"/>
      <c r="BH92" s="228">
        <f>'Ore-&gt;PI'!EM101</f>
        <v>206840.02835429934</v>
      </c>
      <c r="BI92" s="250">
        <f t="shared" si="46"/>
        <v>206840.02835429934</v>
      </c>
      <c r="BM92" s="202" t="s">
        <v>515</v>
      </c>
      <c r="BN92" s="242"/>
      <c r="BO92" s="242"/>
      <c r="BP92" s="250">
        <f t="shared" si="47"/>
        <v>0</v>
      </c>
    </row>
    <row r="93" spans="35:68" x14ac:dyDescent="0.2">
      <c r="AI93" s="202"/>
      <c r="AJ93" s="202"/>
      <c r="AL93" s="202"/>
      <c r="AS93" s="202" t="s">
        <v>565</v>
      </c>
      <c r="AT93" s="228"/>
      <c r="AU93" s="228"/>
      <c r="AV93" s="228" t="e">
        <f>'Ore-&gt;PI'!AC195</f>
        <v>#REF!</v>
      </c>
      <c r="AW93" s="228">
        <f>'Ore-&gt;PI'!AU28</f>
        <v>609792.2517593482</v>
      </c>
      <c r="AX93" s="228">
        <f>'Ore-&gt;PI'!AU113</f>
        <v>2824.8856477449194</v>
      </c>
      <c r="AY93" s="228" t="e">
        <f>'Ore-&gt;PI'!AU190</f>
        <v>#REF!</v>
      </c>
      <c r="AZ93" s="228">
        <f>'Ore-&gt;PI'!BN35</f>
        <v>12626.098826338684</v>
      </c>
      <c r="BA93" s="228">
        <f>'Ore-&gt;PI'!BM116</f>
        <v>34.678095164114971</v>
      </c>
      <c r="BB93" s="228" t="e">
        <f>'Ore-&gt;PI'!BM195</f>
        <v>#REF!</v>
      </c>
      <c r="BC93" s="228"/>
      <c r="BD93" s="228"/>
      <c r="BE93" s="228" t="e">
        <f>'Ore-&gt;PI'!DD229</f>
        <v>#REF!</v>
      </c>
      <c r="BF93" s="228"/>
      <c r="BG93" s="228"/>
      <c r="BH93" s="228">
        <f>'Ore-&gt;PI'!EU117</f>
        <v>317844.87395625591</v>
      </c>
      <c r="BI93" s="250" t="e">
        <f t="shared" si="46"/>
        <v>#REF!</v>
      </c>
      <c r="BM93" s="202" t="s">
        <v>565</v>
      </c>
      <c r="BN93" s="242"/>
      <c r="BO93" s="242"/>
      <c r="BP93" s="250">
        <f t="shared" ref="BP93:BP99" si="48">SUM(BN93:BO93)</f>
        <v>0</v>
      </c>
    </row>
    <row r="94" spans="35:68" ht="16" x14ac:dyDescent="0.2">
      <c r="AI94" s="244"/>
      <c r="AJ94" s="244"/>
      <c r="AS94" s="203" t="s">
        <v>547</v>
      </c>
      <c r="AT94" s="228"/>
      <c r="AU94" s="228"/>
      <c r="AV94" s="228"/>
      <c r="AW94" s="228">
        <f>'Ore-&gt;PI'!$AO$42</f>
        <v>109233.7126431732</v>
      </c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50">
        <f t="shared" si="46"/>
        <v>109233.7126431732</v>
      </c>
      <c r="BM94" s="203" t="s">
        <v>547</v>
      </c>
      <c r="BN94" s="242"/>
      <c r="BO94" s="242"/>
      <c r="BP94" s="250">
        <f t="shared" si="48"/>
        <v>0</v>
      </c>
    </row>
    <row r="95" spans="35:68" ht="16" x14ac:dyDescent="0.2">
      <c r="AI95" s="203"/>
      <c r="AJ95" s="203"/>
      <c r="AS95" s="202" t="s">
        <v>513</v>
      </c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28"/>
      <c r="BG95" s="228"/>
      <c r="BH95" s="228"/>
      <c r="BI95" s="250">
        <f t="shared" si="46"/>
        <v>0</v>
      </c>
      <c r="BM95" s="202" t="s">
        <v>513</v>
      </c>
      <c r="BN95" s="242"/>
      <c r="BO95" s="242">
        <f>'Ore-&gt;PI'!AO63</f>
        <v>2418.6577581793781</v>
      </c>
      <c r="BP95" s="250">
        <f t="shared" si="48"/>
        <v>2418.6577581793781</v>
      </c>
    </row>
    <row r="96" spans="35:68" ht="16" x14ac:dyDescent="0.2">
      <c r="AI96" s="204"/>
      <c r="AJ96" s="204"/>
      <c r="AS96" s="203" t="s">
        <v>516</v>
      </c>
      <c r="AT96" s="228"/>
      <c r="AU96" s="228"/>
      <c r="AV96" s="228"/>
      <c r="AW96" s="228"/>
      <c r="AX96" s="228">
        <f>'Ore-&gt;PI'!$AP$126</f>
        <v>25394.240916408646</v>
      </c>
      <c r="AY96" s="228"/>
      <c r="AZ96" s="228"/>
      <c r="BA96" s="228"/>
      <c r="BB96" s="228"/>
      <c r="BC96" s="228"/>
      <c r="BD96" s="228"/>
      <c r="BE96" s="228"/>
      <c r="BF96" s="228"/>
      <c r="BG96" s="228"/>
      <c r="BH96" s="228"/>
      <c r="BI96" s="250">
        <f t="shared" si="46"/>
        <v>25394.240916408646</v>
      </c>
      <c r="BM96" s="203" t="s">
        <v>516</v>
      </c>
      <c r="BN96" s="242"/>
      <c r="BO96" s="246"/>
      <c r="BP96" s="250">
        <f t="shared" si="48"/>
        <v>0</v>
      </c>
    </row>
    <row r="97" spans="35:73" x14ac:dyDescent="0.2">
      <c r="AI97" s="204"/>
      <c r="AJ97" s="204"/>
      <c r="AS97" s="202" t="s">
        <v>542</v>
      </c>
      <c r="AT97" s="228"/>
      <c r="AU97" s="228"/>
      <c r="AV97" s="228"/>
      <c r="AW97" s="228"/>
      <c r="AX97" s="228"/>
      <c r="AY97" s="228"/>
      <c r="AZ97" s="228"/>
      <c r="BA97" s="228"/>
      <c r="BB97" s="228"/>
      <c r="BC97" s="228"/>
      <c r="BD97" s="228"/>
      <c r="BE97" s="228"/>
      <c r="BF97" s="228"/>
      <c r="BG97" s="241"/>
      <c r="BH97" s="228"/>
      <c r="BI97" s="250">
        <f t="shared" si="46"/>
        <v>0</v>
      </c>
      <c r="BM97" s="202" t="s">
        <v>542</v>
      </c>
      <c r="BN97" s="242"/>
      <c r="BO97" s="242">
        <f>'Ore-&gt;PI'!AP142</f>
        <v>7.2399197950896488</v>
      </c>
      <c r="BP97" s="250">
        <f t="shared" si="48"/>
        <v>7.2399197950896488</v>
      </c>
    </row>
    <row r="98" spans="35:73" x14ac:dyDescent="0.2">
      <c r="AI98" s="204"/>
      <c r="AJ98" s="204"/>
      <c r="AS98" s="204" t="s">
        <v>534</v>
      </c>
      <c r="AT98" s="228"/>
      <c r="AU98" s="228"/>
      <c r="AV98" s="228"/>
      <c r="AW98" s="228"/>
      <c r="AX98" s="228"/>
      <c r="AY98" s="228" t="e">
        <f>'Ore-&gt;PI'!$AP$206</f>
        <v>#REF!</v>
      </c>
      <c r="AZ98" s="228"/>
      <c r="BA98" s="228"/>
      <c r="BB98" s="228"/>
      <c r="BC98" s="228"/>
      <c r="BD98" s="228"/>
      <c r="BE98" s="228"/>
      <c r="BF98" s="228"/>
      <c r="BG98" s="228"/>
      <c r="BH98" s="241"/>
      <c r="BI98" s="250" t="e">
        <f t="shared" si="46"/>
        <v>#REF!</v>
      </c>
      <c r="BM98" s="204" t="s">
        <v>534</v>
      </c>
      <c r="BN98" s="242"/>
      <c r="BO98" s="242"/>
      <c r="BP98" s="250">
        <f t="shared" si="48"/>
        <v>0</v>
      </c>
    </row>
    <row r="99" spans="35:73" x14ac:dyDescent="0.2">
      <c r="AI99" s="204"/>
      <c r="AJ99" s="204"/>
      <c r="AS99" s="202" t="s">
        <v>520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/>
      <c r="BE99" s="228"/>
      <c r="BF99" s="228"/>
      <c r="BG99" s="228"/>
      <c r="BH99" s="228"/>
      <c r="BI99" s="250">
        <f t="shared" si="46"/>
        <v>0</v>
      </c>
      <c r="BM99" s="202" t="s">
        <v>520</v>
      </c>
      <c r="BN99" s="242"/>
      <c r="BO99" s="242" t="e">
        <f>'Ore-&gt;PI'!AP227</f>
        <v>#REF!</v>
      </c>
      <c r="BP99" s="250" t="e">
        <f t="shared" si="48"/>
        <v>#REF!</v>
      </c>
      <c r="BQ99" s="25"/>
      <c r="BR99" s="25"/>
      <c r="BS99" s="25"/>
      <c r="BT99" s="25"/>
      <c r="BU99" s="25"/>
    </row>
    <row r="100" spans="35:73" ht="16" x14ac:dyDescent="0.2">
      <c r="AI100" s="204"/>
      <c r="AJ100" s="204"/>
      <c r="AS100" s="203" t="s">
        <v>546</v>
      </c>
      <c r="AT100" s="228"/>
      <c r="AU100" s="228"/>
      <c r="AV100" s="228"/>
      <c r="AW100" s="228"/>
      <c r="AX100" s="228"/>
      <c r="AY100" s="228"/>
      <c r="AZ100" s="228">
        <f>'Ore-&gt;PI'!$BH$42</f>
        <v>109233.7126431732</v>
      </c>
      <c r="BA100" s="228"/>
      <c r="BB100" s="228"/>
      <c r="BC100" s="228"/>
      <c r="BD100" s="228"/>
      <c r="BE100" s="228"/>
      <c r="BF100" s="228"/>
      <c r="BG100" s="228"/>
      <c r="BH100" s="228"/>
      <c r="BI100" s="250">
        <f t="shared" si="46"/>
        <v>109233.7126431732</v>
      </c>
      <c r="BM100" s="203" t="s">
        <v>546</v>
      </c>
      <c r="BN100" s="242"/>
      <c r="BO100" s="242"/>
      <c r="BP100" s="250">
        <f t="shared" ref="BP100:BP119" si="49">SUM(BN100:BO100)</f>
        <v>0</v>
      </c>
    </row>
    <row r="101" spans="35:73" ht="16" x14ac:dyDescent="0.2">
      <c r="AI101" s="204"/>
      <c r="AJ101" s="204"/>
      <c r="AS101" s="203" t="s">
        <v>541</v>
      </c>
      <c r="AT101" s="228"/>
      <c r="AU101" s="228"/>
      <c r="AV101" s="228"/>
      <c r="AW101" s="228"/>
      <c r="AX101" s="228"/>
      <c r="AY101" s="228"/>
      <c r="AZ101" s="228"/>
      <c r="BA101" s="228">
        <f>'Ore-&gt;PI'!$BI$126</f>
        <v>25394.240916408646</v>
      </c>
      <c r="BB101" s="228"/>
      <c r="BC101" s="228"/>
      <c r="BD101" s="228"/>
      <c r="BE101" s="228"/>
      <c r="BF101" s="228"/>
      <c r="BG101" s="228"/>
      <c r="BH101" s="228"/>
      <c r="BI101" s="250">
        <f t="shared" si="46"/>
        <v>25394.240916408646</v>
      </c>
      <c r="BM101" s="203" t="s">
        <v>541</v>
      </c>
      <c r="BN101" s="242"/>
      <c r="BO101" s="242"/>
      <c r="BP101" s="250">
        <f t="shared" si="49"/>
        <v>0</v>
      </c>
    </row>
    <row r="102" spans="35:73" ht="16" x14ac:dyDescent="0.2">
      <c r="AI102" s="204"/>
      <c r="AJ102" s="204"/>
      <c r="AS102" s="203" t="s">
        <v>538</v>
      </c>
      <c r="AT102" s="228"/>
      <c r="AU102" s="228"/>
      <c r="AV102" s="228"/>
      <c r="AW102" s="228"/>
      <c r="AX102" s="228"/>
      <c r="AY102" s="228"/>
      <c r="AZ102" s="228"/>
      <c r="BA102" s="228"/>
      <c r="BB102" s="228" t="e">
        <f>'Ore-&gt;PI'!$BI$206</f>
        <v>#REF!</v>
      </c>
      <c r="BC102" s="228"/>
      <c r="BD102" s="228"/>
      <c r="BE102" s="228"/>
      <c r="BF102" s="228"/>
      <c r="BG102" s="228"/>
      <c r="BH102" s="228"/>
      <c r="BI102" s="250" t="e">
        <f t="shared" si="46"/>
        <v>#REF!</v>
      </c>
      <c r="BM102" s="203" t="s">
        <v>538</v>
      </c>
      <c r="BN102" s="242"/>
      <c r="BO102" s="242"/>
      <c r="BP102" s="250">
        <f t="shared" si="49"/>
        <v>0</v>
      </c>
    </row>
    <row r="103" spans="35:73" ht="16" x14ac:dyDescent="0.2">
      <c r="AI103" s="251"/>
      <c r="AJ103" s="251"/>
      <c r="AS103" s="203" t="s">
        <v>544</v>
      </c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8"/>
      <c r="BF103" s="228"/>
      <c r="BG103" s="228">
        <f>'Ore-&gt;PI'!CA42</f>
        <v>88965.799815334409</v>
      </c>
      <c r="BH103" s="228"/>
      <c r="BI103" s="250">
        <f t="shared" si="46"/>
        <v>88965.799815334409</v>
      </c>
      <c r="BM103" s="203" t="s">
        <v>544</v>
      </c>
      <c r="BN103" s="242"/>
      <c r="BO103" s="242"/>
      <c r="BP103" s="250">
        <f t="shared" si="49"/>
        <v>0</v>
      </c>
    </row>
    <row r="104" spans="35:73" x14ac:dyDescent="0.2">
      <c r="AI104" s="204"/>
      <c r="AJ104" s="204"/>
      <c r="AS104" s="204" t="s">
        <v>543</v>
      </c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28"/>
      <c r="BF104" s="228"/>
      <c r="BG104" s="228"/>
      <c r="BH104" s="241"/>
      <c r="BI104" s="250">
        <f t="shared" si="46"/>
        <v>0</v>
      </c>
      <c r="BJ104" s="25"/>
      <c r="BK104" s="25"/>
      <c r="BM104" s="204" t="s">
        <v>543</v>
      </c>
      <c r="BN104" s="242"/>
      <c r="BO104" s="242">
        <f>'Ore-&gt;PI'!CA55</f>
        <v>21743.416787545681</v>
      </c>
      <c r="BP104" s="250">
        <f t="shared" si="49"/>
        <v>21743.416787545681</v>
      </c>
    </row>
    <row r="105" spans="35:73" x14ac:dyDescent="0.2">
      <c r="AI105" s="204"/>
      <c r="AJ105" s="204"/>
      <c r="AS105" s="204" t="s">
        <v>528</v>
      </c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>
        <f>'Ore-&gt;PI'!$CB$126</f>
        <v>25394.240916408646</v>
      </c>
      <c r="BD105" s="228"/>
      <c r="BE105" s="228"/>
      <c r="BF105" s="228"/>
      <c r="BG105" s="228"/>
      <c r="BH105" s="228"/>
      <c r="BI105" s="250">
        <f t="shared" si="46"/>
        <v>25394.240916408646</v>
      </c>
      <c r="BM105" s="204" t="s">
        <v>528</v>
      </c>
      <c r="BN105" s="242"/>
      <c r="BO105" s="242"/>
      <c r="BP105" s="250">
        <f t="shared" si="49"/>
        <v>0</v>
      </c>
    </row>
    <row r="106" spans="35:73" x14ac:dyDescent="0.2">
      <c r="AI106" s="204"/>
      <c r="AJ106" s="204"/>
      <c r="AS106" s="204" t="s">
        <v>562</v>
      </c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 t="e">
        <f>'Ore-&gt;PI'!$CB$206</f>
        <v>#REF!</v>
      </c>
      <c r="BE106" s="228"/>
      <c r="BF106" s="228"/>
      <c r="BG106" s="228"/>
      <c r="BH106" s="228"/>
      <c r="BI106" s="250" t="e">
        <f t="shared" si="46"/>
        <v>#REF!</v>
      </c>
      <c r="BM106" s="204" t="s">
        <v>562</v>
      </c>
      <c r="BN106" s="242"/>
      <c r="BO106" s="242"/>
      <c r="BP106" s="250">
        <f t="shared" si="49"/>
        <v>0</v>
      </c>
    </row>
    <row r="107" spans="35:73" x14ac:dyDescent="0.2">
      <c r="AI107" s="204"/>
      <c r="AJ107" s="204"/>
      <c r="AS107" s="204" t="s">
        <v>529</v>
      </c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>
        <f>'Ore-&gt;PI'!$CW$126</f>
        <v>242016.07607977447</v>
      </c>
      <c r="BH107" s="228"/>
      <c r="BI107" s="250">
        <f t="shared" si="46"/>
        <v>242016.07607977447</v>
      </c>
      <c r="BM107" s="204" t="s">
        <v>529</v>
      </c>
      <c r="BN107" s="242"/>
      <c r="BO107" s="242"/>
      <c r="BP107" s="250">
        <f t="shared" si="49"/>
        <v>0</v>
      </c>
    </row>
    <row r="108" spans="35:73" x14ac:dyDescent="0.2">
      <c r="AI108" s="204"/>
      <c r="AJ108" s="204"/>
      <c r="AS108" s="204" t="s">
        <v>531</v>
      </c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28"/>
      <c r="BG108" s="228"/>
      <c r="BH108" s="241"/>
      <c r="BI108" s="250">
        <f t="shared" si="46"/>
        <v>0</v>
      </c>
      <c r="BM108" s="204" t="s">
        <v>531</v>
      </c>
      <c r="BN108" s="242"/>
      <c r="BO108" s="242">
        <f>'Ore-&gt;PI'!CW114</f>
        <v>7739.2511800711582</v>
      </c>
      <c r="BP108" s="250">
        <f t="shared" si="49"/>
        <v>7739.2511800711582</v>
      </c>
    </row>
    <row r="109" spans="35:73" x14ac:dyDescent="0.2">
      <c r="AI109" s="204"/>
      <c r="AJ109" s="204"/>
      <c r="AS109" s="204" t="s">
        <v>530</v>
      </c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28"/>
      <c r="BG109" s="228"/>
      <c r="BH109" s="228"/>
      <c r="BI109" s="250">
        <f t="shared" si="46"/>
        <v>0</v>
      </c>
      <c r="BM109" s="204" t="s">
        <v>530</v>
      </c>
      <c r="BN109" s="242"/>
      <c r="BO109" s="242">
        <f>'Ore-&gt;PI'!CW138</f>
        <v>33179125.659109436</v>
      </c>
      <c r="BP109" s="250">
        <f t="shared" si="49"/>
        <v>33179125.659109436</v>
      </c>
    </row>
    <row r="110" spans="35:73" x14ac:dyDescent="0.2">
      <c r="AI110" s="204"/>
      <c r="AJ110" s="204"/>
      <c r="AS110" s="204" t="s">
        <v>627</v>
      </c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/>
      <c r="BD110" s="228"/>
      <c r="BE110" s="228"/>
      <c r="BF110" s="228"/>
      <c r="BG110" s="228">
        <f>'Ore-&gt;PI'!$CW$206</f>
        <v>6791339.3350291392</v>
      </c>
      <c r="BH110" s="228"/>
      <c r="BI110" s="250">
        <f t="shared" si="46"/>
        <v>6791339.3350291392</v>
      </c>
      <c r="BM110" s="204" t="s">
        <v>627</v>
      </c>
      <c r="BN110" s="242"/>
      <c r="BO110" s="242"/>
      <c r="BP110" s="250">
        <f t="shared" si="49"/>
        <v>0</v>
      </c>
    </row>
    <row r="111" spans="35:73" ht="16" x14ac:dyDescent="0.2">
      <c r="AI111" s="204"/>
      <c r="AJ111" s="204"/>
      <c r="AS111" s="251" t="s">
        <v>526</v>
      </c>
      <c r="AT111" s="228"/>
      <c r="AU111" s="228"/>
      <c r="AV111" s="228"/>
      <c r="AW111" s="228"/>
      <c r="AX111" s="228"/>
      <c r="AY111" s="228"/>
      <c r="AZ111" s="228"/>
      <c r="BA111" s="228"/>
      <c r="BB111" s="228"/>
      <c r="BC111" s="228"/>
      <c r="BD111" s="228"/>
      <c r="BE111" s="228" t="e">
        <f>'Ore-&gt;PI'!$CW$233</f>
        <v>#REF!</v>
      </c>
      <c r="BF111" s="228"/>
      <c r="BG111" s="228"/>
      <c r="BH111" s="228"/>
      <c r="BI111" s="250" t="e">
        <f t="shared" si="46"/>
        <v>#REF!</v>
      </c>
      <c r="BM111" s="251" t="s">
        <v>526</v>
      </c>
      <c r="BN111" s="242"/>
      <c r="BO111" s="242"/>
      <c r="BP111" s="250">
        <f t="shared" si="49"/>
        <v>0</v>
      </c>
    </row>
    <row r="112" spans="35:73" x14ac:dyDescent="0.2">
      <c r="AI112" s="204"/>
      <c r="AJ112" s="204"/>
      <c r="AS112" s="204" t="s">
        <v>525</v>
      </c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28"/>
      <c r="BF112" s="228"/>
      <c r="BG112" s="228"/>
      <c r="BH112" s="228"/>
      <c r="BI112" s="250">
        <f t="shared" si="46"/>
        <v>0</v>
      </c>
      <c r="BM112" s="204" t="s">
        <v>525</v>
      </c>
      <c r="BN112" s="242"/>
      <c r="BO112" s="242" t="e">
        <f>'Ore-&gt;PI'!CW217</f>
        <v>#REF!</v>
      </c>
      <c r="BP112" s="250" t="e">
        <f t="shared" si="49"/>
        <v>#REF!</v>
      </c>
    </row>
    <row r="113" spans="5:68" x14ac:dyDescent="0.2">
      <c r="AI113" s="204"/>
      <c r="AJ113" s="204"/>
      <c r="AS113" s="202" t="s">
        <v>527</v>
      </c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28"/>
      <c r="BG113" s="228"/>
      <c r="BH113" s="228"/>
      <c r="BI113" s="250">
        <f t="shared" si="46"/>
        <v>0</v>
      </c>
      <c r="BM113" s="202" t="s">
        <v>527</v>
      </c>
      <c r="BN113" s="242"/>
      <c r="BO113" s="242" t="e">
        <f>'Ore-&gt;PI'!CW250</f>
        <v>#REF!</v>
      </c>
      <c r="BP113" s="250" t="e">
        <f t="shared" si="49"/>
        <v>#REF!</v>
      </c>
    </row>
    <row r="114" spans="5:68" x14ac:dyDescent="0.2">
      <c r="AI114" s="204"/>
      <c r="AJ114" s="204"/>
      <c r="AS114" s="204" t="s">
        <v>666</v>
      </c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28">
        <f>'Ore-&gt;PI'!$DQ$233</f>
        <v>3851734.9265453434</v>
      </c>
      <c r="BG114" s="228"/>
      <c r="BH114" s="241"/>
      <c r="BI114" s="250">
        <f t="shared" si="46"/>
        <v>3851734.9265453434</v>
      </c>
      <c r="BM114" s="204" t="s">
        <v>666</v>
      </c>
      <c r="BN114" s="242"/>
      <c r="BO114" s="242"/>
      <c r="BP114" s="250">
        <f t="shared" si="49"/>
        <v>0</v>
      </c>
    </row>
    <row r="115" spans="5:68" x14ac:dyDescent="0.2">
      <c r="AI115" s="204"/>
      <c r="AJ115" s="204"/>
      <c r="AS115" s="204" t="s">
        <v>669</v>
      </c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>
        <f>'Ore-&gt;PI'!$CB$225</f>
        <v>577760.23898180155</v>
      </c>
      <c r="BE115" s="228"/>
      <c r="BF115" s="228"/>
      <c r="BG115" s="228"/>
      <c r="BH115" s="241">
        <f>'Ore-&gt;PI'!$EM$152</f>
        <v>2696214.4485817407</v>
      </c>
      <c r="BI115" s="250">
        <f t="shared" si="46"/>
        <v>3273974.6875635423</v>
      </c>
      <c r="BM115" s="204" t="s">
        <v>667</v>
      </c>
      <c r="BN115" s="242">
        <f>'Ore-&gt;PI'!$FG$233</f>
        <v>577760.23898180155</v>
      </c>
      <c r="BO115" s="242"/>
      <c r="BP115" s="250">
        <f t="shared" si="49"/>
        <v>577760.23898180155</v>
      </c>
    </row>
    <row r="116" spans="5:68" x14ac:dyDescent="0.2">
      <c r="AI116" s="204"/>
      <c r="AJ116" s="204"/>
      <c r="AS116" s="204" t="s">
        <v>550</v>
      </c>
      <c r="AT116" s="228"/>
      <c r="AU116" s="228"/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8"/>
      <c r="BF116" s="228"/>
      <c r="BG116" s="228"/>
      <c r="BH116" s="241">
        <f>'Ore-&gt;PI'!EM126</f>
        <v>7072531.8830895294</v>
      </c>
      <c r="BI116" s="250">
        <f t="shared" si="46"/>
        <v>7072531.8830895294</v>
      </c>
      <c r="BM116" s="204" t="s">
        <v>550</v>
      </c>
      <c r="BN116" s="242"/>
      <c r="BO116" s="242"/>
      <c r="BP116" s="250">
        <f t="shared" si="49"/>
        <v>0</v>
      </c>
    </row>
    <row r="117" spans="5:68" x14ac:dyDescent="0.2">
      <c r="AI117" s="204"/>
      <c r="AJ117" s="204"/>
      <c r="AS117" s="204" t="s">
        <v>551</v>
      </c>
      <c r="AT117" s="228"/>
      <c r="AU117" s="228"/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8"/>
      <c r="BF117" s="228"/>
      <c r="BG117" s="228"/>
      <c r="BH117" s="228"/>
      <c r="BI117" s="250">
        <f t="shared" si="46"/>
        <v>0</v>
      </c>
      <c r="BM117" s="204" t="s">
        <v>551</v>
      </c>
      <c r="BN117" s="242">
        <f>'Ore-&gt;PI'!FM126</f>
        <v>4157895.2984628798</v>
      </c>
      <c r="BO117" s="242"/>
      <c r="BP117" s="250">
        <f t="shared" si="49"/>
        <v>4157895.2984628798</v>
      </c>
    </row>
    <row r="118" spans="5:68" x14ac:dyDescent="0.2">
      <c r="AI118" s="204"/>
      <c r="AJ118" s="204"/>
      <c r="AS118" s="204" t="s">
        <v>552</v>
      </c>
      <c r="AT118" s="228"/>
      <c r="AU118" s="228"/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8"/>
      <c r="BF118" s="228"/>
      <c r="BG118" s="228"/>
      <c r="BH118" s="228"/>
      <c r="BI118" s="250">
        <f t="shared" si="46"/>
        <v>0</v>
      </c>
      <c r="BM118" s="204" t="s">
        <v>552</v>
      </c>
      <c r="BN118" s="242"/>
      <c r="BO118" s="242">
        <f>'Ore-&gt;PI'!FM141</f>
        <v>399018.65874240285</v>
      </c>
      <c r="BP118" s="250">
        <f t="shared" si="49"/>
        <v>399018.65874240285</v>
      </c>
    </row>
    <row r="119" spans="5:68" x14ac:dyDescent="0.2">
      <c r="AI119" s="204"/>
      <c r="AJ119" s="204"/>
      <c r="AS119" s="204" t="s">
        <v>563</v>
      </c>
      <c r="AT119" s="228"/>
      <c r="AU119" s="228"/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8"/>
      <c r="BF119" s="228"/>
      <c r="BG119" s="228"/>
      <c r="BH119" s="228"/>
      <c r="BI119" s="250">
        <f t="shared" si="46"/>
        <v>0</v>
      </c>
      <c r="BM119" s="204" t="s">
        <v>563</v>
      </c>
      <c r="BN119" s="242"/>
      <c r="BO119" s="242">
        <f>'Ore-&gt;PI'!FM104</f>
        <v>67875.356217847453</v>
      </c>
      <c r="BP119" s="250">
        <f t="shared" si="49"/>
        <v>67875.356217847453</v>
      </c>
    </row>
    <row r="120" spans="5:68" x14ac:dyDescent="0.2">
      <c r="AI120" s="204"/>
      <c r="AJ120" s="204"/>
      <c r="AS120" s="204"/>
      <c r="AT120" s="395" t="s">
        <v>415</v>
      </c>
      <c r="AU120" s="395"/>
      <c r="AV120" s="395"/>
      <c r="AW120" s="395"/>
      <c r="AX120" s="395"/>
      <c r="AY120" s="395"/>
      <c r="AZ120" s="395"/>
      <c r="BA120" s="395"/>
      <c r="BB120" s="395"/>
      <c r="BC120" s="395"/>
      <c r="BD120" s="395"/>
      <c r="BE120" s="395"/>
      <c r="BF120" s="395"/>
      <c r="BG120" s="395"/>
      <c r="BH120" s="395"/>
      <c r="BI120" s="25" t="s">
        <v>465</v>
      </c>
      <c r="BN120" s="395" t="s">
        <v>417</v>
      </c>
      <c r="BO120" s="395"/>
      <c r="BP120" s="25" t="s">
        <v>480</v>
      </c>
    </row>
    <row r="121" spans="5:68" x14ac:dyDescent="0.2">
      <c r="AI121" s="204"/>
      <c r="AJ121" s="204"/>
      <c r="AS121" s="204"/>
      <c r="AT121" s="250" t="e">
        <f>SUM(AT85:AT119)</f>
        <v>#REF!</v>
      </c>
      <c r="AU121" s="250" t="e">
        <f>SUM(AU85:AU119)</f>
        <v>#REF!</v>
      </c>
      <c r="AV121" s="250" t="e">
        <f>SUM(AV85:AV119)</f>
        <v>#REF!</v>
      </c>
      <c r="AW121" s="250">
        <f t="shared" ref="AW121:BH121" si="50">SUM(AW85:AW119)</f>
        <v>719025.96440252138</v>
      </c>
      <c r="AX121" s="250">
        <f t="shared" si="50"/>
        <v>28219.126564153565</v>
      </c>
      <c r="AY121" s="250" t="e">
        <f t="shared" si="50"/>
        <v>#REF!</v>
      </c>
      <c r="AZ121" s="250">
        <f t="shared" si="50"/>
        <v>121859.81146951189</v>
      </c>
      <c r="BA121" s="250">
        <f t="shared" si="50"/>
        <v>25428.919011572762</v>
      </c>
      <c r="BB121" s="250" t="e">
        <f t="shared" si="50"/>
        <v>#REF!</v>
      </c>
      <c r="BC121" s="250">
        <f t="shared" si="50"/>
        <v>1081183306.4491639</v>
      </c>
      <c r="BD121" s="250" t="e">
        <f t="shared" si="50"/>
        <v>#REF!</v>
      </c>
      <c r="BE121" s="250" t="e">
        <f t="shared" si="50"/>
        <v>#REF!</v>
      </c>
      <c r="BF121" s="250">
        <f t="shared" si="50"/>
        <v>3851734.9265453434</v>
      </c>
      <c r="BG121" s="250">
        <f t="shared" si="50"/>
        <v>7122321.2109242482</v>
      </c>
      <c r="BH121" s="250">
        <f t="shared" si="50"/>
        <v>12635213.294887021</v>
      </c>
      <c r="BN121" s="25"/>
      <c r="BO121" s="25"/>
    </row>
    <row r="122" spans="5:68" ht="13" customHeight="1" x14ac:dyDescent="0.2">
      <c r="F122" s="396"/>
      <c r="G122" s="396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04"/>
      <c r="AJ122" s="204"/>
      <c r="AK122" s="231"/>
      <c r="AL122" s="231"/>
      <c r="AM122" s="231"/>
      <c r="AN122" s="231"/>
      <c r="AO122" s="231"/>
      <c r="AP122" s="231"/>
      <c r="AQ122" s="231"/>
      <c r="AT122" s="395" t="s">
        <v>464</v>
      </c>
      <c r="AU122" s="395"/>
      <c r="AV122" s="395"/>
      <c r="AW122" s="395"/>
      <c r="AX122" s="395"/>
      <c r="AY122" s="395"/>
      <c r="AZ122" s="395"/>
      <c r="BA122" s="395"/>
      <c r="BB122" s="395"/>
      <c r="BC122" s="395"/>
      <c r="BD122" s="395"/>
      <c r="BE122" s="395"/>
      <c r="BF122" s="395"/>
      <c r="BG122" s="395"/>
      <c r="BH122" s="395"/>
      <c r="BN122" s="25"/>
      <c r="BO122" s="25"/>
    </row>
    <row r="123" spans="5:68" ht="236" x14ac:dyDescent="0.2">
      <c r="E123" s="238"/>
      <c r="F123" s="205" t="s">
        <v>420</v>
      </c>
      <c r="G123" s="205" t="s">
        <v>422</v>
      </c>
      <c r="H123" s="205" t="s">
        <v>423</v>
      </c>
      <c r="I123" s="205" t="s">
        <v>443</v>
      </c>
      <c r="J123" s="205" t="s">
        <v>473</v>
      </c>
      <c r="K123" s="205" t="s">
        <v>572</v>
      </c>
      <c r="L123" s="205" t="s">
        <v>573</v>
      </c>
      <c r="M123" s="205" t="s">
        <v>515</v>
      </c>
      <c r="N123" s="205" t="s">
        <v>565</v>
      </c>
      <c r="O123" s="207" t="s">
        <v>547</v>
      </c>
      <c r="P123" s="205" t="s">
        <v>513</v>
      </c>
      <c r="Q123" s="207" t="s">
        <v>516</v>
      </c>
      <c r="R123" s="205" t="s">
        <v>542</v>
      </c>
      <c r="S123" s="208" t="s">
        <v>534</v>
      </c>
      <c r="T123" s="205" t="s">
        <v>520</v>
      </c>
      <c r="U123" s="207" t="s">
        <v>546</v>
      </c>
      <c r="V123" s="207" t="s">
        <v>541</v>
      </c>
      <c r="W123" s="207" t="s">
        <v>538</v>
      </c>
      <c r="X123" s="207" t="s">
        <v>544</v>
      </c>
      <c r="Y123" s="208" t="s">
        <v>543</v>
      </c>
      <c r="Z123" s="208" t="s">
        <v>528</v>
      </c>
      <c r="AA123" s="208" t="s">
        <v>562</v>
      </c>
      <c r="AB123" s="208" t="s">
        <v>529</v>
      </c>
      <c r="AC123" s="208" t="s">
        <v>531</v>
      </c>
      <c r="AD123" s="208" t="s">
        <v>530</v>
      </c>
      <c r="AE123" s="208" t="s">
        <v>627</v>
      </c>
      <c r="AF123" s="230" t="s">
        <v>526</v>
      </c>
      <c r="AG123" s="208" t="s">
        <v>525</v>
      </c>
      <c r="AH123" s="205" t="s">
        <v>527</v>
      </c>
      <c r="AI123" s="208" t="s">
        <v>666</v>
      </c>
      <c r="AJ123" s="208" t="s">
        <v>669</v>
      </c>
      <c r="AK123" s="208" t="s">
        <v>550</v>
      </c>
      <c r="AL123" s="208" t="s">
        <v>551</v>
      </c>
      <c r="AM123" s="208" t="s">
        <v>552</v>
      </c>
      <c r="AN123" s="208" t="s">
        <v>563</v>
      </c>
    </row>
    <row r="124" spans="5:68" x14ac:dyDescent="0.2">
      <c r="E124" s="202" t="s">
        <v>412</v>
      </c>
      <c r="F124" s="228"/>
      <c r="G124" s="228"/>
      <c r="H124" s="228"/>
      <c r="I124" s="228"/>
      <c r="J124" s="228"/>
      <c r="K124" s="228"/>
      <c r="L124" s="228"/>
      <c r="M124" s="228"/>
      <c r="N124" s="228"/>
      <c r="O124" s="228">
        <f>'Ore-&gt;PI'!AO42</f>
        <v>109233.7126431732</v>
      </c>
      <c r="P124" s="228">
        <f>'Ore-&gt;PI'!AO63</f>
        <v>2418.6577581793781</v>
      </c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28"/>
      <c r="AM124" s="228"/>
      <c r="AN124" s="228"/>
      <c r="AO124" s="250">
        <f>SUM(F124:AN124)</f>
        <v>111652.37040135259</v>
      </c>
    </row>
    <row r="125" spans="5:68" x14ac:dyDescent="0.2">
      <c r="E125" s="202" t="s">
        <v>413</v>
      </c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>
        <f>'Ore-&gt;PI'!AP126</f>
        <v>25394.240916408646</v>
      </c>
      <c r="R125" s="228">
        <f>'Ore-&gt;PI'!AP142</f>
        <v>7.2399197950896488</v>
      </c>
      <c r="S125" s="228"/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28"/>
      <c r="AM125" s="228"/>
      <c r="AN125" s="228"/>
      <c r="AO125" s="250">
        <f>SUM(F125:AN125)</f>
        <v>25401.480836203737</v>
      </c>
    </row>
    <row r="126" spans="5:68" x14ac:dyDescent="0.2">
      <c r="E126" s="202" t="s">
        <v>414</v>
      </c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 t="e">
        <f>'Ore-&gt;PI'!AP206</f>
        <v>#REF!</v>
      </c>
      <c r="T126" s="228" t="e">
        <f>'Ore-&gt;PI'!AP227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28"/>
      <c r="AM126" s="228"/>
      <c r="AN126" s="228"/>
      <c r="AO126" s="250" t="e">
        <f t="shared" ref="AO126:AO138" si="51">SUM(F126:AN126)</f>
        <v>#REF!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2" t="s">
        <v>561</v>
      </c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'Ore-&gt;PI'!BH42</f>
        <v>109233.7126431732</v>
      </c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28"/>
      <c r="AM127" s="228"/>
      <c r="AN127" s="228"/>
      <c r="AO127" s="250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2" t="s">
        <v>540</v>
      </c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>
        <f>'Ore-&gt;PI'!BI126</f>
        <v>25394.240916408646</v>
      </c>
      <c r="W128" s="228"/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28"/>
      <c r="AM128" s="228"/>
      <c r="AN128" s="228"/>
      <c r="AO128" s="250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2" t="s">
        <v>539</v>
      </c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 t="e">
        <f>'Ore-&gt;PI'!BI206</f>
        <v>#REF!</v>
      </c>
      <c r="X129" s="228"/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250" t="e">
        <f t="shared" si="51"/>
        <v>#REF!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2" t="s">
        <v>439</v>
      </c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>
        <f>'Ore-&gt;PI'!CA42</f>
        <v>88965.799815334409</v>
      </c>
      <c r="Y130" s="228">
        <f>'Ore-&gt;PI'!CA55</f>
        <v>21743.416787545681</v>
      </c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250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2" t="s">
        <v>436</v>
      </c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>
        <f>'Ore-&gt;PI'!CB126</f>
        <v>25394.240916408646</v>
      </c>
      <c r="AA131" s="228"/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250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2" t="s">
        <v>454</v>
      </c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 t="e">
        <f>'Ore-&gt;PI'!CB206</f>
        <v>#REF!</v>
      </c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250" t="e">
        <f t="shared" si="51"/>
        <v>#REF!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2" t="s">
        <v>437</v>
      </c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>
        <f>'Ore-&gt;PI'!CW126</f>
        <v>242016.07607977447</v>
      </c>
      <c r="AC133" s="228">
        <f>'Ore-&gt;PI'!CW114</f>
        <v>7739.2511800711582</v>
      </c>
      <c r="AD133" s="228">
        <f>'Ore-&gt;PI'!CW138</f>
        <v>33179125.659109436</v>
      </c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50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2" t="s">
        <v>432</v>
      </c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28">
        <f>'Ore-&gt;PI'!CW206</f>
        <v>6791339.3350291392</v>
      </c>
      <c r="AF134" s="228" t="e">
        <f>'Ore-&gt;PI'!CW233</f>
        <v>#REF!</v>
      </c>
      <c r="AG134" s="228" t="e">
        <f>'Ore-&gt;PI'!CW217</f>
        <v>#REF!</v>
      </c>
      <c r="AH134" s="228" t="e">
        <f>'Ore-&gt;PI'!CW250</f>
        <v>#REF!</v>
      </c>
      <c r="AI134" s="228"/>
      <c r="AJ134" s="228"/>
      <c r="AK134" s="228"/>
      <c r="AL134" s="228"/>
      <c r="AM134" s="228"/>
      <c r="AN134" s="228"/>
      <c r="AO134" s="250" t="e">
        <f t="shared" si="51"/>
        <v>#REF!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2" t="s">
        <v>665</v>
      </c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28"/>
      <c r="AB135" s="228"/>
      <c r="AC135" s="228"/>
      <c r="AD135" s="228"/>
      <c r="AE135" s="228"/>
      <c r="AF135" s="228"/>
      <c r="AG135" s="228"/>
      <c r="AH135" s="228"/>
      <c r="AI135" s="228">
        <f>'Ore-&gt;PI'!DQ233</f>
        <v>3851734.9265453434</v>
      </c>
      <c r="AJ135" s="228"/>
      <c r="AK135" s="228"/>
      <c r="AL135" s="228"/>
      <c r="AM135" s="228"/>
      <c r="AN135" s="228"/>
      <c r="AO135" s="250">
        <f t="shared" si="51"/>
        <v>3851734.9265453434</v>
      </c>
    </row>
    <row r="136" spans="5:67" x14ac:dyDescent="0.2">
      <c r="E136" s="202" t="s">
        <v>668</v>
      </c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  <c r="AA136" s="228"/>
      <c r="AB136" s="228"/>
      <c r="AC136" s="228"/>
      <c r="AD136" s="228"/>
      <c r="AE136" s="228"/>
      <c r="AF136" s="228"/>
      <c r="AG136" s="228"/>
      <c r="AH136" s="228"/>
      <c r="AI136" s="228"/>
      <c r="AJ136" s="228">
        <f>'Ore-&gt;PI'!$EL$233</f>
        <v>3851734.9265453434</v>
      </c>
      <c r="AK136" s="228"/>
      <c r="AL136" s="228"/>
      <c r="AM136" s="228"/>
      <c r="AN136" s="228"/>
      <c r="AO136" s="250">
        <f t="shared" si="51"/>
        <v>3851734.9265453434</v>
      </c>
    </row>
    <row r="137" spans="5:67" x14ac:dyDescent="0.2">
      <c r="E137" s="202" t="s">
        <v>81</v>
      </c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41"/>
      <c r="AI137" s="228"/>
      <c r="AJ137" s="228"/>
      <c r="AK137" s="241">
        <f>'Ore-&gt;PI'!EM126</f>
        <v>7072531.8830895294</v>
      </c>
      <c r="AL137" s="228"/>
      <c r="AM137" s="228"/>
      <c r="AN137" s="228"/>
      <c r="AO137" s="250">
        <f t="shared" si="51"/>
        <v>7072531.8830895294</v>
      </c>
    </row>
    <row r="138" spans="5:67" x14ac:dyDescent="0.2">
      <c r="E138" s="202" t="s">
        <v>424</v>
      </c>
      <c r="F138" s="228"/>
      <c r="G138" s="228"/>
      <c r="H138" s="228"/>
      <c r="I138" s="241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8"/>
      <c r="AB138" s="228"/>
      <c r="AC138" s="228"/>
      <c r="AD138" s="245"/>
      <c r="AE138" s="228"/>
      <c r="AF138" s="228"/>
      <c r="AG138" s="228"/>
      <c r="AH138" s="228"/>
      <c r="AI138" s="228"/>
      <c r="AJ138" s="228"/>
      <c r="AK138" s="228"/>
      <c r="AL138" s="228">
        <f>'Ore-&gt;PI'!FM126</f>
        <v>4157895.2984628798</v>
      </c>
      <c r="AM138" s="228">
        <f>'Ore-&gt;PI'!FM141</f>
        <v>399018.65874240285</v>
      </c>
      <c r="AN138" s="228">
        <f>'Ore-&gt;PI'!FM104</f>
        <v>67875.356217847453</v>
      </c>
      <c r="AO138" s="250">
        <f t="shared" si="51"/>
        <v>4624789.3134231297</v>
      </c>
    </row>
    <row r="139" spans="5:67" x14ac:dyDescent="0.2">
      <c r="E139" s="202"/>
      <c r="F139" s="395" t="s">
        <v>416</v>
      </c>
      <c r="G139" s="395"/>
      <c r="H139" s="395"/>
      <c r="I139" s="395"/>
      <c r="J139" s="395"/>
      <c r="K139" s="395"/>
      <c r="L139" s="395"/>
      <c r="M139" s="395"/>
      <c r="N139" s="395"/>
      <c r="O139" s="395"/>
      <c r="P139" s="395"/>
      <c r="Q139" s="395"/>
      <c r="R139" s="395"/>
      <c r="S139" s="395"/>
      <c r="T139" s="395"/>
      <c r="U139" s="395"/>
      <c r="V139" s="395"/>
      <c r="W139" s="395"/>
      <c r="X139" s="395"/>
      <c r="Y139" s="395"/>
      <c r="Z139" s="395"/>
      <c r="AA139" s="395"/>
      <c r="AB139" s="395"/>
      <c r="AC139" s="395"/>
      <c r="AD139" s="395"/>
      <c r="AE139" s="395"/>
      <c r="AF139" s="395"/>
      <c r="AG139" s="395"/>
      <c r="AH139" s="395"/>
      <c r="AI139" s="395"/>
      <c r="AJ139" s="395"/>
      <c r="AK139" s="395"/>
      <c r="AL139" s="395"/>
      <c r="AM139" s="395"/>
      <c r="AN139" s="395"/>
      <c r="AO139" s="25" t="s">
        <v>461</v>
      </c>
      <c r="AP139" s="25"/>
    </row>
    <row r="140" spans="5:67" x14ac:dyDescent="0.2">
      <c r="E140" s="202"/>
      <c r="F140" s="250">
        <f t="shared" ref="F140:AN140" si="52">SUM(F124:F138)</f>
        <v>0</v>
      </c>
      <c r="G140" s="250">
        <f t="shared" si="52"/>
        <v>0</v>
      </c>
      <c r="H140" s="250">
        <f t="shared" si="52"/>
        <v>0</v>
      </c>
      <c r="I140" s="250">
        <f t="shared" si="52"/>
        <v>0</v>
      </c>
      <c r="J140" s="250">
        <f t="shared" si="52"/>
        <v>0</v>
      </c>
      <c r="K140" s="250">
        <f t="shared" si="52"/>
        <v>0</v>
      </c>
      <c r="L140" s="250">
        <f t="shared" si="52"/>
        <v>0</v>
      </c>
      <c r="M140" s="250">
        <f t="shared" si="52"/>
        <v>0</v>
      </c>
      <c r="N140" s="250">
        <f t="shared" si="52"/>
        <v>0</v>
      </c>
      <c r="O140" s="250">
        <f t="shared" si="52"/>
        <v>109233.7126431732</v>
      </c>
      <c r="P140" s="250">
        <f t="shared" si="52"/>
        <v>2418.6577581793781</v>
      </c>
      <c r="Q140" s="250">
        <f t="shared" si="52"/>
        <v>25394.240916408646</v>
      </c>
      <c r="R140" s="250">
        <f t="shared" si="52"/>
        <v>7.2399197950896488</v>
      </c>
      <c r="S140" s="250" t="e">
        <f t="shared" si="52"/>
        <v>#REF!</v>
      </c>
      <c r="T140" s="250" t="e">
        <f t="shared" si="52"/>
        <v>#REF!</v>
      </c>
      <c r="U140" s="250">
        <f t="shared" si="52"/>
        <v>109233.7126431732</v>
      </c>
      <c r="V140" s="250">
        <f t="shared" si="52"/>
        <v>25394.240916408646</v>
      </c>
      <c r="W140" s="250" t="e">
        <f t="shared" si="52"/>
        <v>#REF!</v>
      </c>
      <c r="X140" s="250">
        <f t="shared" si="52"/>
        <v>88965.799815334409</v>
      </c>
      <c r="Y140" s="250">
        <f t="shared" si="52"/>
        <v>21743.416787545681</v>
      </c>
      <c r="Z140" s="250">
        <f t="shared" si="52"/>
        <v>25394.240916408646</v>
      </c>
      <c r="AA140" s="250" t="e">
        <f t="shared" si="52"/>
        <v>#REF!</v>
      </c>
      <c r="AB140" s="250">
        <f t="shared" si="52"/>
        <v>242016.07607977447</v>
      </c>
      <c r="AC140" s="250">
        <f t="shared" si="52"/>
        <v>7739.2511800711582</v>
      </c>
      <c r="AD140" s="250">
        <f t="shared" si="52"/>
        <v>33179125.659109436</v>
      </c>
      <c r="AE140" s="250">
        <f t="shared" si="52"/>
        <v>6791339.3350291392</v>
      </c>
      <c r="AF140" s="250" t="e">
        <f t="shared" si="52"/>
        <v>#REF!</v>
      </c>
      <c r="AG140" s="250" t="e">
        <f t="shared" si="52"/>
        <v>#REF!</v>
      </c>
      <c r="AH140" s="250" t="e">
        <f t="shared" si="52"/>
        <v>#REF!</v>
      </c>
      <c r="AI140" s="250">
        <f t="shared" si="52"/>
        <v>3851734.9265453434</v>
      </c>
      <c r="AJ140" s="250">
        <f t="shared" si="52"/>
        <v>3851734.9265453434</v>
      </c>
      <c r="AK140" s="250">
        <f t="shared" si="52"/>
        <v>7072531.8830895294</v>
      </c>
      <c r="AL140" s="250">
        <f t="shared" si="52"/>
        <v>4157895.2984628798</v>
      </c>
      <c r="AM140" s="250">
        <f t="shared" si="52"/>
        <v>399018.65874240285</v>
      </c>
      <c r="AN140" s="250">
        <f t="shared" si="52"/>
        <v>67875.356217847453</v>
      </c>
    </row>
    <row r="141" spans="5:67" x14ac:dyDescent="0.2">
      <c r="E141" s="202"/>
      <c r="F141" s="395" t="s">
        <v>462</v>
      </c>
      <c r="G141" s="395"/>
      <c r="H141" s="395"/>
      <c r="I141" s="395"/>
      <c r="J141" s="395"/>
      <c r="K141" s="395"/>
      <c r="L141" s="395"/>
      <c r="M141" s="395"/>
      <c r="N141" s="395"/>
      <c r="O141" s="395"/>
      <c r="P141" s="395"/>
      <c r="Q141" s="395"/>
      <c r="R141" s="395"/>
      <c r="S141" s="395"/>
      <c r="T141" s="395"/>
      <c r="U141" s="395"/>
      <c r="V141" s="395"/>
      <c r="W141" s="395"/>
      <c r="X141" s="395"/>
      <c r="Y141" s="395"/>
      <c r="Z141" s="395"/>
      <c r="AA141" s="395"/>
      <c r="AB141" s="395"/>
      <c r="AC141" s="395"/>
      <c r="AD141" s="395"/>
      <c r="AE141" s="395"/>
      <c r="AF141" s="395"/>
      <c r="AG141" s="395"/>
      <c r="AH141" s="395"/>
      <c r="AI141" s="395"/>
      <c r="AJ141" s="395"/>
      <c r="AK141" s="395"/>
      <c r="AL141" s="395"/>
      <c r="AM141" s="395"/>
      <c r="AN141" s="395"/>
    </row>
    <row r="142" spans="5:67" x14ac:dyDescent="0.2">
      <c r="E142" s="202"/>
    </row>
    <row r="143" spans="5:67" x14ac:dyDescent="0.2">
      <c r="E143" s="202"/>
    </row>
    <row r="144" spans="5:67" x14ac:dyDescent="0.2">
      <c r="E144" s="202"/>
    </row>
    <row r="145" spans="5:46" x14ac:dyDescent="0.2">
      <c r="E145" s="202"/>
    </row>
    <row r="146" spans="5:46" x14ac:dyDescent="0.2">
      <c r="E146" s="202"/>
    </row>
    <row r="147" spans="5:46" x14ac:dyDescent="0.2">
      <c r="E147" s="202"/>
    </row>
    <row r="148" spans="5:46" x14ac:dyDescent="0.2">
      <c r="E148" s="202"/>
    </row>
    <row r="149" spans="5:46" x14ac:dyDescent="0.2">
      <c r="E149" s="202"/>
    </row>
    <row r="150" spans="5:46" x14ac:dyDescent="0.2">
      <c r="E150" s="202"/>
    </row>
    <row r="151" spans="5:46" x14ac:dyDescent="0.2">
      <c r="E151" s="202"/>
    </row>
    <row r="152" spans="5:46" ht="236" x14ac:dyDescent="0.2">
      <c r="E152" s="202"/>
      <c r="F152" s="205" t="s">
        <v>420</v>
      </c>
      <c r="G152" s="205" t="s">
        <v>422</v>
      </c>
      <c r="H152" s="205" t="s">
        <v>423</v>
      </c>
      <c r="I152" s="205" t="s">
        <v>443</v>
      </c>
      <c r="J152" s="205" t="s">
        <v>473</v>
      </c>
      <c r="K152" s="205" t="s">
        <v>572</v>
      </c>
      <c r="L152" s="205" t="s">
        <v>573</v>
      </c>
      <c r="M152" s="205" t="s">
        <v>515</v>
      </c>
      <c r="N152" s="205" t="s">
        <v>565</v>
      </c>
      <c r="O152" s="207" t="s">
        <v>547</v>
      </c>
      <c r="P152" s="205" t="s">
        <v>513</v>
      </c>
      <c r="Q152" s="207" t="s">
        <v>516</v>
      </c>
      <c r="R152" s="205" t="s">
        <v>542</v>
      </c>
      <c r="S152" s="208" t="s">
        <v>534</v>
      </c>
      <c r="T152" s="205" t="s">
        <v>520</v>
      </c>
      <c r="U152" s="207" t="s">
        <v>546</v>
      </c>
      <c r="V152" s="207" t="s">
        <v>541</v>
      </c>
      <c r="W152" s="207" t="s">
        <v>538</v>
      </c>
      <c r="X152" s="207" t="s">
        <v>544</v>
      </c>
      <c r="Y152" s="208" t="s">
        <v>543</v>
      </c>
      <c r="Z152" s="208" t="s">
        <v>528</v>
      </c>
      <c r="AA152" s="208" t="s">
        <v>562</v>
      </c>
      <c r="AB152" s="208" t="s">
        <v>529</v>
      </c>
      <c r="AC152" s="208" t="s">
        <v>531</v>
      </c>
      <c r="AD152" s="208" t="s">
        <v>530</v>
      </c>
      <c r="AE152" s="208" t="s">
        <v>627</v>
      </c>
      <c r="AF152" s="230" t="s">
        <v>526</v>
      </c>
      <c r="AG152" s="208" t="s">
        <v>525</v>
      </c>
      <c r="AH152" s="205" t="s">
        <v>527</v>
      </c>
      <c r="AI152" s="208" t="s">
        <v>666</v>
      </c>
      <c r="AJ152" s="208" t="s">
        <v>669</v>
      </c>
      <c r="AK152" s="208" t="s">
        <v>550</v>
      </c>
      <c r="AL152" s="208" t="s">
        <v>551</v>
      </c>
      <c r="AM152" s="208" t="s">
        <v>552</v>
      </c>
      <c r="AN152" s="208" t="s">
        <v>563</v>
      </c>
      <c r="AO152" s="208"/>
      <c r="AP152" s="208"/>
    </row>
    <row r="153" spans="5:46" x14ac:dyDescent="0.2">
      <c r="E153" s="202" t="s">
        <v>419</v>
      </c>
      <c r="F153" s="242">
        <f>'Ore-&gt;PI'!V42</f>
        <v>109233.7126431732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  <c r="AL153" s="242"/>
      <c r="AM153" s="242"/>
      <c r="AN153" s="242"/>
    </row>
    <row r="154" spans="5:46" ht="16" x14ac:dyDescent="0.2">
      <c r="E154" s="203" t="s">
        <v>421</v>
      </c>
      <c r="F154" s="242"/>
      <c r="G154" s="242">
        <f>'Ore-&gt;PI'!V126</f>
        <v>25394.240916408646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L154" s="242"/>
      <c r="AM154" s="242"/>
      <c r="AN154" s="242"/>
    </row>
    <row r="155" spans="5:46" x14ac:dyDescent="0.2">
      <c r="E155" s="204" t="s">
        <v>444</v>
      </c>
      <c r="F155" s="242"/>
      <c r="G155" s="242"/>
      <c r="H155" s="242" t="e">
        <f>'Ore-&gt;PI'!V206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  <c r="AL155" s="242"/>
      <c r="AM155" s="242"/>
      <c r="AN155" s="242"/>
    </row>
    <row r="156" spans="5:46" x14ac:dyDescent="0.2">
      <c r="E156" s="202" t="s">
        <v>479</v>
      </c>
      <c r="F156" s="242"/>
      <c r="G156" s="242"/>
      <c r="H156" s="242"/>
      <c r="I156" s="248" t="e">
        <f>'Ore-&gt;PI'!V236+'Ore-&gt;PI'!V163+'Ore-&gt;PI'!V72+'Ore-&gt;PI'!CB242+'Ore-&gt;PI'!CB140+'Ore-&gt;PI'!EM140</f>
        <v>#REF!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  <c r="AL156" s="242"/>
      <c r="AM156" s="242"/>
      <c r="AN156" s="242"/>
    </row>
    <row r="157" spans="5:46" x14ac:dyDescent="0.2">
      <c r="E157" s="202" t="s">
        <v>472</v>
      </c>
      <c r="F157" s="242"/>
      <c r="G157" s="242"/>
      <c r="H157" s="242"/>
      <c r="I157" s="242"/>
      <c r="J157" s="242" t="e">
        <f>'Ore-&gt;PI'!EM114+'Ore-&gt;PI'!CB152+'Ore-&gt;PI'!CB254</f>
        <v>#REF!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L157" s="242"/>
      <c r="AM157" s="242"/>
      <c r="AN157" s="242"/>
    </row>
    <row r="158" spans="5:46" x14ac:dyDescent="0.2">
      <c r="E158" s="202" t="s">
        <v>575</v>
      </c>
      <c r="F158" s="242"/>
      <c r="G158" s="242"/>
      <c r="H158" s="242"/>
      <c r="I158" s="242"/>
      <c r="J158" s="242"/>
      <c r="K158" s="242" t="e">
        <f>'Ore-&gt;PI'!V59+'Ore-&gt;PI'!V140+'Ore-&gt;PI'!V222</f>
        <v>#REF!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  <c r="AL158" s="242"/>
      <c r="AM158" s="242"/>
      <c r="AN158" s="242"/>
      <c r="AT158" s="230"/>
    </row>
    <row r="159" spans="5:46" x14ac:dyDescent="0.2">
      <c r="E159" s="202" t="s">
        <v>574</v>
      </c>
      <c r="F159" s="242"/>
      <c r="G159" s="242"/>
      <c r="H159" s="242"/>
      <c r="I159" s="242"/>
      <c r="J159" s="242"/>
      <c r="K159" s="242"/>
      <c r="L159" s="242">
        <f>'Ore-&gt;PI'!V151</f>
        <v>24.076233417548465</v>
      </c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  <c r="AE159" s="242"/>
      <c r="AF159" s="242"/>
      <c r="AG159" s="242"/>
      <c r="AH159" s="242"/>
      <c r="AI159" s="242"/>
      <c r="AJ159" s="242"/>
      <c r="AK159" s="242"/>
      <c r="AL159" s="242"/>
      <c r="AM159" s="242"/>
      <c r="AN159" s="242"/>
    </row>
    <row r="160" spans="5:46" x14ac:dyDescent="0.2">
      <c r="E160" s="202" t="s">
        <v>514</v>
      </c>
      <c r="F160" s="242"/>
      <c r="G160" s="242"/>
      <c r="H160" s="242"/>
      <c r="I160" s="242"/>
      <c r="J160" s="242"/>
      <c r="K160" s="242"/>
      <c r="L160" s="242"/>
      <c r="M160" s="242">
        <f>'Ore-&gt;PI'!EM101</f>
        <v>206840.02835429934</v>
      </c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  <c r="AE160" s="242"/>
      <c r="AF160" s="242"/>
      <c r="AG160" s="242"/>
      <c r="AH160" s="242"/>
      <c r="AI160" s="242"/>
      <c r="AJ160" s="242"/>
      <c r="AK160" s="242"/>
      <c r="AL160" s="242"/>
      <c r="AM160" s="242"/>
      <c r="AN160" s="242"/>
    </row>
    <row r="161" spans="5:42" x14ac:dyDescent="0.2">
      <c r="E161" s="202" t="s">
        <v>564</v>
      </c>
      <c r="F161" s="242"/>
      <c r="G161" s="242"/>
      <c r="H161" s="242"/>
      <c r="I161" s="242"/>
      <c r="J161" s="242"/>
      <c r="K161" s="242"/>
      <c r="L161" s="242"/>
      <c r="M161" s="242"/>
      <c r="N161" s="242" t="e">
        <f>'Ore-&gt;PI'!EU117+'Ore-&gt;PI'!BM116+'Ore-&gt;PI'!AU113+'Ore-&gt;PI'!AC195+'Ore-&gt;PI'!AU190+'Ore-&gt;PI'!BM195+'Ore-&gt;PI'!DD229+'Ore-&gt;PI'!BN35+'Ore-&gt;PI'!AU28</f>
        <v>#REF!</v>
      </c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  <c r="AE161" s="242"/>
      <c r="AF161" s="242"/>
      <c r="AG161" s="242"/>
      <c r="AH161" s="242"/>
      <c r="AI161" s="242"/>
      <c r="AJ161" s="242"/>
      <c r="AK161" s="242"/>
      <c r="AL161" s="242"/>
      <c r="AM161" s="242"/>
      <c r="AN161" s="242"/>
    </row>
    <row r="162" spans="5:42" x14ac:dyDescent="0.2">
      <c r="F162" s="395" t="s">
        <v>57</v>
      </c>
      <c r="G162" s="395"/>
      <c r="H162" s="395"/>
      <c r="I162" s="395"/>
      <c r="J162" s="395"/>
      <c r="K162" s="395"/>
      <c r="L162" s="395"/>
      <c r="M162" s="395"/>
      <c r="N162" s="395"/>
      <c r="O162" s="395"/>
      <c r="P162" s="395"/>
      <c r="Q162" s="395"/>
      <c r="R162" s="395"/>
      <c r="S162" s="395"/>
      <c r="T162" s="395"/>
      <c r="U162" s="395"/>
      <c r="V162" s="395"/>
      <c r="W162" s="395"/>
      <c r="X162" s="395"/>
      <c r="Y162" s="395"/>
      <c r="Z162" s="395"/>
      <c r="AA162" s="395"/>
      <c r="AB162" s="395"/>
      <c r="AC162" s="395"/>
      <c r="AD162" s="395"/>
      <c r="AE162" s="395"/>
      <c r="AF162" s="395"/>
      <c r="AG162" s="395"/>
      <c r="AH162" s="395"/>
      <c r="AI162" s="395"/>
      <c r="AJ162" s="395"/>
      <c r="AK162" s="395"/>
      <c r="AL162" s="395"/>
      <c r="AM162" s="395"/>
      <c r="AN162" s="395"/>
      <c r="AO162" s="25"/>
      <c r="AP162" s="25"/>
    </row>
    <row r="163" spans="5:42" x14ac:dyDescent="0.2">
      <c r="F163" s="250">
        <f t="shared" ref="F163:AN163" si="53">SUM(F153:F161)</f>
        <v>109233.7126431732</v>
      </c>
      <c r="G163" s="250">
        <f t="shared" si="53"/>
        <v>25394.240916408646</v>
      </c>
      <c r="H163" s="250" t="e">
        <f t="shared" si="53"/>
        <v>#REF!</v>
      </c>
      <c r="I163" s="250" t="e">
        <f t="shared" si="53"/>
        <v>#REF!</v>
      </c>
      <c r="J163" s="250" t="e">
        <f t="shared" si="53"/>
        <v>#REF!</v>
      </c>
      <c r="K163" s="250" t="e">
        <f t="shared" si="53"/>
        <v>#REF!</v>
      </c>
      <c r="L163" s="250">
        <f t="shared" si="53"/>
        <v>24.076233417548465</v>
      </c>
      <c r="M163" s="250">
        <f t="shared" si="53"/>
        <v>206840.02835429934</v>
      </c>
      <c r="N163" s="250" t="e">
        <f t="shared" si="53"/>
        <v>#REF!</v>
      </c>
      <c r="O163" s="250">
        <f t="shared" si="53"/>
        <v>0</v>
      </c>
      <c r="P163" s="250">
        <f t="shared" si="53"/>
        <v>0</v>
      </c>
      <c r="Q163" s="250">
        <f t="shared" si="53"/>
        <v>0</v>
      </c>
      <c r="R163" s="250">
        <f t="shared" si="53"/>
        <v>0</v>
      </c>
      <c r="S163" s="250">
        <f t="shared" si="53"/>
        <v>0</v>
      </c>
      <c r="T163" s="250">
        <f t="shared" si="53"/>
        <v>0</v>
      </c>
      <c r="U163" s="250">
        <f t="shared" si="53"/>
        <v>0</v>
      </c>
      <c r="V163" s="250">
        <f t="shared" si="53"/>
        <v>0</v>
      </c>
      <c r="W163" s="250">
        <f t="shared" si="53"/>
        <v>0</v>
      </c>
      <c r="X163" s="250">
        <f t="shared" si="53"/>
        <v>0</v>
      </c>
      <c r="Y163" s="250">
        <f t="shared" si="53"/>
        <v>0</v>
      </c>
      <c r="Z163" s="250">
        <f t="shared" si="53"/>
        <v>0</v>
      </c>
      <c r="AA163" s="250">
        <f t="shared" si="53"/>
        <v>0</v>
      </c>
      <c r="AB163" s="250">
        <f t="shared" si="53"/>
        <v>0</v>
      </c>
      <c r="AC163" s="250">
        <f t="shared" si="53"/>
        <v>0</v>
      </c>
      <c r="AD163" s="250">
        <f t="shared" si="53"/>
        <v>0</v>
      </c>
      <c r="AE163" s="250">
        <f t="shared" si="53"/>
        <v>0</v>
      </c>
      <c r="AF163" s="250">
        <f t="shared" si="53"/>
        <v>0</v>
      </c>
      <c r="AG163" s="250">
        <f t="shared" si="53"/>
        <v>0</v>
      </c>
      <c r="AH163" s="250">
        <f t="shared" si="53"/>
        <v>0</v>
      </c>
      <c r="AI163" s="250">
        <f t="shared" si="53"/>
        <v>0</v>
      </c>
      <c r="AJ163" s="250">
        <f t="shared" si="53"/>
        <v>0</v>
      </c>
      <c r="AK163" s="250">
        <f t="shared" si="53"/>
        <v>0</v>
      </c>
      <c r="AL163" s="250">
        <f t="shared" si="53"/>
        <v>0</v>
      </c>
      <c r="AM163" s="250">
        <f t="shared" si="53"/>
        <v>0</v>
      </c>
      <c r="AN163" s="250">
        <f t="shared" si="53"/>
        <v>0</v>
      </c>
    </row>
    <row r="164" spans="5:42" x14ac:dyDescent="0.2">
      <c r="F164" s="395" t="s">
        <v>463</v>
      </c>
      <c r="G164" s="395"/>
      <c r="H164" s="395"/>
      <c r="I164" s="395"/>
      <c r="J164" s="395"/>
      <c r="K164" s="395"/>
      <c r="L164" s="395"/>
      <c r="M164" s="395"/>
      <c r="N164" s="395"/>
      <c r="O164" s="395"/>
      <c r="P164" s="395"/>
      <c r="Q164" s="395"/>
      <c r="R164" s="395"/>
      <c r="S164" s="395"/>
      <c r="T164" s="395"/>
      <c r="U164" s="395"/>
      <c r="V164" s="395"/>
      <c r="W164" s="395"/>
      <c r="X164" s="395"/>
      <c r="Y164" s="395"/>
      <c r="Z164" s="395"/>
      <c r="AA164" s="395"/>
      <c r="AB164" s="395"/>
      <c r="AC164" s="395"/>
      <c r="AD164" s="395"/>
      <c r="AE164" s="395"/>
      <c r="AF164" s="395"/>
      <c r="AG164" s="395"/>
      <c r="AH164" s="395"/>
      <c r="AI164" s="395"/>
      <c r="AJ164" s="395"/>
      <c r="AK164" s="395"/>
      <c r="AL164" s="395"/>
      <c r="AM164" s="395"/>
      <c r="AN164" s="395"/>
      <c r="AO164" s="25"/>
      <c r="AP164" s="25"/>
    </row>
    <row r="168" spans="5:42" x14ac:dyDescent="0.2">
      <c r="F168" s="395" t="s">
        <v>567</v>
      </c>
      <c r="G168" s="395"/>
      <c r="H168" s="395"/>
      <c r="I168" s="395"/>
      <c r="J168" s="395"/>
      <c r="K168" s="395"/>
      <c r="L168" s="395"/>
      <c r="M168" s="395"/>
      <c r="N168" s="395"/>
      <c r="O168" s="243"/>
      <c r="P168" s="243"/>
      <c r="Q168" s="243"/>
      <c r="R168" s="243"/>
      <c r="S168" s="243"/>
      <c r="T168" s="243"/>
      <c r="U168" s="243"/>
      <c r="V168" s="243"/>
      <c r="W168" s="243"/>
      <c r="X168" s="25"/>
      <c r="Y168" s="25"/>
    </row>
    <row r="171" spans="5:42" x14ac:dyDescent="0.2">
      <c r="E171" s="202" t="s">
        <v>420</v>
      </c>
      <c r="F171" s="250" cm="1">
        <f t="array" ref="F171:F205">TRANSPOSE((F163:AN163))</f>
        <v>109233.7126431732</v>
      </c>
      <c r="H171" s="250" cm="1">
        <f t="array" ref="H171:H205">TRANSPOSE(F140:AN140)</f>
        <v>0</v>
      </c>
      <c r="J171" s="250">
        <f t="shared" ref="J171:J200" si="54">BI85</f>
        <v>109233.7126431732</v>
      </c>
      <c r="L171" s="250" cm="1">
        <f t="array" ref="L171:L205">BP85:BP119</f>
        <v>0</v>
      </c>
      <c r="N171" s="297">
        <f>F171+H171-J171-L171</f>
        <v>0</v>
      </c>
    </row>
    <row r="172" spans="5:42" x14ac:dyDescent="0.2">
      <c r="E172" s="202" t="s">
        <v>422</v>
      </c>
      <c r="F172" s="250">
        <v>25394.240916408646</v>
      </c>
      <c r="H172" s="250">
        <v>0</v>
      </c>
      <c r="J172" s="250">
        <f t="shared" si="54"/>
        <v>25394.240916408646</v>
      </c>
      <c r="L172" s="250">
        <v>0</v>
      </c>
      <c r="N172" s="297">
        <f>F172+H172-J172-L172</f>
        <v>0</v>
      </c>
    </row>
    <row r="173" spans="5:42" x14ac:dyDescent="0.2">
      <c r="E173" s="202" t="s">
        <v>423</v>
      </c>
      <c r="F173" s="250" t="e">
        <v>#REF!</v>
      </c>
      <c r="H173" s="250">
        <v>0</v>
      </c>
      <c r="J173" s="250" t="e">
        <f t="shared" si="54"/>
        <v>#REF!</v>
      </c>
      <c r="L173" s="250">
        <v>0</v>
      </c>
      <c r="N173" s="297" t="e">
        <f>F173+H173-J173-L173</f>
        <v>#REF!</v>
      </c>
    </row>
    <row r="174" spans="5:42" x14ac:dyDescent="0.2">
      <c r="E174" s="202" t="s">
        <v>443</v>
      </c>
      <c r="F174" s="250" t="e">
        <v>#REF!</v>
      </c>
      <c r="H174" s="250">
        <v>0</v>
      </c>
      <c r="J174" s="250" t="e">
        <f t="shared" si="54"/>
        <v>#REF!</v>
      </c>
      <c r="L174" s="250">
        <v>0</v>
      </c>
      <c r="N174" s="297" t="e">
        <f>ROUND(F174+H174-J174-L174, 10)</f>
        <v>#REF!</v>
      </c>
    </row>
    <row r="175" spans="5:42" x14ac:dyDescent="0.2">
      <c r="E175" s="202" t="s">
        <v>473</v>
      </c>
      <c r="F175" s="250" t="e">
        <v>#REF!</v>
      </c>
      <c r="H175" s="250">
        <v>0</v>
      </c>
      <c r="J175" s="250" t="e">
        <f t="shared" si="54"/>
        <v>#REF!</v>
      </c>
      <c r="L175" s="250">
        <v>0</v>
      </c>
      <c r="N175" s="297" t="e">
        <f t="shared" ref="N175:N190" si="55">F175+H175-J175-L175</f>
        <v>#REF!</v>
      </c>
    </row>
    <row r="176" spans="5:42" x14ac:dyDescent="0.2">
      <c r="E176" s="202" t="s">
        <v>572</v>
      </c>
      <c r="F176" s="250" t="e">
        <v>#REF!</v>
      </c>
      <c r="H176" s="250">
        <v>0</v>
      </c>
      <c r="J176" s="250" t="e">
        <f t="shared" si="54"/>
        <v>#REF!</v>
      </c>
      <c r="L176" s="250">
        <v>0</v>
      </c>
      <c r="N176" s="297" t="e">
        <f t="shared" si="55"/>
        <v>#REF!</v>
      </c>
    </row>
    <row r="177" spans="5:21" x14ac:dyDescent="0.2">
      <c r="E177" s="202" t="s">
        <v>573</v>
      </c>
      <c r="F177" s="250">
        <v>24.076233417548465</v>
      </c>
      <c r="H177" s="250">
        <v>0</v>
      </c>
      <c r="J177" s="250">
        <f t="shared" si="54"/>
        <v>24.076233417548465</v>
      </c>
      <c r="L177" s="250">
        <v>0</v>
      </c>
      <c r="N177" s="297">
        <f t="shared" si="55"/>
        <v>0</v>
      </c>
    </row>
    <row r="178" spans="5:21" x14ac:dyDescent="0.2">
      <c r="E178" s="202" t="s">
        <v>515</v>
      </c>
      <c r="F178" s="250">
        <v>206840.02835429934</v>
      </c>
      <c r="H178" s="250">
        <v>0</v>
      </c>
      <c r="J178" s="250">
        <f t="shared" si="54"/>
        <v>206840.02835429934</v>
      </c>
      <c r="L178" s="250">
        <v>0</v>
      </c>
      <c r="N178" s="297">
        <f t="shared" si="55"/>
        <v>0</v>
      </c>
    </row>
    <row r="179" spans="5:21" x14ac:dyDescent="0.2">
      <c r="E179" s="202" t="s">
        <v>565</v>
      </c>
      <c r="F179" s="250" t="e">
        <v>#REF!</v>
      </c>
      <c r="H179" s="250">
        <v>0</v>
      </c>
      <c r="J179" s="250" t="e">
        <f t="shared" si="54"/>
        <v>#REF!</v>
      </c>
      <c r="L179" s="250">
        <v>0</v>
      </c>
      <c r="N179" s="297" t="e">
        <f t="shared" si="55"/>
        <v>#REF!</v>
      </c>
    </row>
    <row r="180" spans="5:21" ht="16" x14ac:dyDescent="0.2">
      <c r="E180" s="203" t="s">
        <v>547</v>
      </c>
      <c r="F180" s="250">
        <v>0</v>
      </c>
      <c r="H180" s="250">
        <v>109233.7126431732</v>
      </c>
      <c r="J180" s="250">
        <f t="shared" si="54"/>
        <v>109233.7126431732</v>
      </c>
      <c r="L180" s="250">
        <v>0</v>
      </c>
      <c r="N180" s="297">
        <f t="shared" si="55"/>
        <v>0</v>
      </c>
    </row>
    <row r="181" spans="5:21" x14ac:dyDescent="0.2">
      <c r="E181" s="202" t="s">
        <v>513</v>
      </c>
      <c r="F181" s="250">
        <v>0</v>
      </c>
      <c r="H181" s="250">
        <v>2418.6577581793781</v>
      </c>
      <c r="J181" s="250">
        <f t="shared" si="54"/>
        <v>0</v>
      </c>
      <c r="L181" s="250">
        <v>2418.6577581793781</v>
      </c>
      <c r="N181" s="297">
        <f t="shared" si="55"/>
        <v>0</v>
      </c>
    </row>
    <row r="182" spans="5:21" ht="16" x14ac:dyDescent="0.2">
      <c r="E182" s="203" t="s">
        <v>516</v>
      </c>
      <c r="F182" s="250">
        <v>0</v>
      </c>
      <c r="H182" s="250">
        <v>25394.240916408646</v>
      </c>
      <c r="J182" s="250">
        <f t="shared" si="54"/>
        <v>25394.240916408646</v>
      </c>
      <c r="L182" s="250">
        <v>0</v>
      </c>
      <c r="N182" s="297">
        <f t="shared" si="55"/>
        <v>0</v>
      </c>
    </row>
    <row r="183" spans="5:21" x14ac:dyDescent="0.2">
      <c r="E183" s="202" t="s">
        <v>542</v>
      </c>
      <c r="F183" s="250">
        <v>0</v>
      </c>
      <c r="H183" s="250">
        <v>7.2399197950896488</v>
      </c>
      <c r="J183" s="250">
        <f t="shared" si="54"/>
        <v>0</v>
      </c>
      <c r="L183" s="250">
        <v>7.2399197950896488</v>
      </c>
      <c r="N183" s="297">
        <f t="shared" si="55"/>
        <v>0</v>
      </c>
    </row>
    <row r="184" spans="5:21" x14ac:dyDescent="0.2">
      <c r="E184" s="204" t="s">
        <v>534</v>
      </c>
      <c r="F184" s="250">
        <v>0</v>
      </c>
      <c r="G184" s="257" t="s">
        <v>467</v>
      </c>
      <c r="H184" s="250" t="e">
        <v>#REF!</v>
      </c>
      <c r="I184" s="169" t="s">
        <v>469</v>
      </c>
      <c r="J184" s="250" t="e">
        <f t="shared" si="54"/>
        <v>#REF!</v>
      </c>
      <c r="K184" s="169" t="s">
        <v>469</v>
      </c>
      <c r="L184" s="250">
        <v>0</v>
      </c>
      <c r="M184" s="257" t="s">
        <v>470</v>
      </c>
      <c r="N184" s="297" t="e">
        <f t="shared" si="55"/>
        <v>#REF!</v>
      </c>
    </row>
    <row r="185" spans="5:21" x14ac:dyDescent="0.2">
      <c r="E185" s="202" t="s">
        <v>520</v>
      </c>
      <c r="F185" s="250">
        <v>0</v>
      </c>
      <c r="H185" s="250" t="e">
        <v>#REF!</v>
      </c>
      <c r="J185" s="250">
        <f t="shared" si="54"/>
        <v>0</v>
      </c>
      <c r="L185" s="250" t="e">
        <v>#REF!</v>
      </c>
      <c r="N185" s="297" t="e">
        <f t="shared" si="55"/>
        <v>#REF!</v>
      </c>
    </row>
    <row r="186" spans="5:21" ht="16" x14ac:dyDescent="0.2">
      <c r="E186" s="203" t="s">
        <v>546</v>
      </c>
      <c r="F186" s="250">
        <v>0</v>
      </c>
      <c r="H186" s="250">
        <v>109233.7126431732</v>
      </c>
      <c r="J186" s="250">
        <f t="shared" si="54"/>
        <v>109233.7126431732</v>
      </c>
      <c r="L186" s="250">
        <v>0</v>
      </c>
      <c r="N186" s="297">
        <f t="shared" si="55"/>
        <v>0</v>
      </c>
    </row>
    <row r="187" spans="5:21" ht="16" x14ac:dyDescent="0.2">
      <c r="E187" s="203" t="s">
        <v>541</v>
      </c>
      <c r="F187" s="250">
        <v>0</v>
      </c>
      <c r="H187" s="250">
        <v>25394.240916408646</v>
      </c>
      <c r="J187" s="250">
        <f t="shared" si="54"/>
        <v>25394.240916408646</v>
      </c>
      <c r="L187" s="250">
        <v>0</v>
      </c>
      <c r="N187" s="297">
        <f t="shared" si="55"/>
        <v>0</v>
      </c>
    </row>
    <row r="188" spans="5:21" ht="16" x14ac:dyDescent="0.2">
      <c r="E188" s="203" t="s">
        <v>538</v>
      </c>
      <c r="F188" s="250">
        <v>0</v>
      </c>
      <c r="H188" s="250" t="e">
        <v>#REF!</v>
      </c>
      <c r="J188" s="250" t="e">
        <f t="shared" si="54"/>
        <v>#REF!</v>
      </c>
      <c r="L188" s="250">
        <v>0</v>
      </c>
      <c r="N188" s="297" t="e">
        <f t="shared" si="55"/>
        <v>#REF!</v>
      </c>
    </row>
    <row r="189" spans="5:21" ht="16" x14ac:dyDescent="0.2">
      <c r="E189" s="203" t="s">
        <v>544</v>
      </c>
      <c r="F189" s="250">
        <v>0</v>
      </c>
      <c r="H189" s="250">
        <v>88965.799815334409</v>
      </c>
      <c r="J189" s="250">
        <f t="shared" si="54"/>
        <v>88965.799815334409</v>
      </c>
      <c r="L189" s="250">
        <v>0</v>
      </c>
      <c r="N189" s="297">
        <f t="shared" si="55"/>
        <v>0</v>
      </c>
    </row>
    <row r="190" spans="5:21" x14ac:dyDescent="0.2">
      <c r="E190" s="204" t="s">
        <v>543</v>
      </c>
      <c r="F190" s="250">
        <v>0</v>
      </c>
      <c r="H190" s="250">
        <v>21743.416787545681</v>
      </c>
      <c r="J190" s="250">
        <f t="shared" si="54"/>
        <v>0</v>
      </c>
      <c r="L190" s="250">
        <v>21743.416787545681</v>
      </c>
      <c r="N190" s="297">
        <f t="shared" si="55"/>
        <v>0</v>
      </c>
    </row>
    <row r="191" spans="5:21" x14ac:dyDescent="0.2">
      <c r="E191" s="204" t="s">
        <v>528</v>
      </c>
      <c r="F191" s="250">
        <v>0</v>
      </c>
      <c r="H191" s="250">
        <v>25394.240916408646</v>
      </c>
      <c r="J191" s="250">
        <f t="shared" si="54"/>
        <v>25394.240916408646</v>
      </c>
      <c r="L191" s="250">
        <v>0</v>
      </c>
      <c r="N191" s="297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4" t="s">
        <v>562</v>
      </c>
      <c r="F192" s="250">
        <v>0</v>
      </c>
      <c r="H192" s="250" t="e">
        <v>#REF!</v>
      </c>
      <c r="J192" s="250" t="e">
        <f t="shared" si="54"/>
        <v>#REF!</v>
      </c>
      <c r="L192" s="250">
        <v>0</v>
      </c>
      <c r="N192" s="297" t="e">
        <f t="shared" si="56"/>
        <v>#REF!</v>
      </c>
      <c r="Q192" s="25"/>
      <c r="S192" s="25"/>
      <c r="T192" s="25"/>
      <c r="U192" s="25"/>
    </row>
    <row r="193" spans="5:22" x14ac:dyDescent="0.2">
      <c r="E193" s="204" t="s">
        <v>529</v>
      </c>
      <c r="F193" s="250">
        <v>0</v>
      </c>
      <c r="H193" s="250">
        <v>242016.07607977447</v>
      </c>
      <c r="J193" s="250">
        <f t="shared" si="54"/>
        <v>242016.07607977447</v>
      </c>
      <c r="L193" s="250">
        <v>0</v>
      </c>
      <c r="N193" s="297">
        <f t="shared" si="56"/>
        <v>0</v>
      </c>
      <c r="Q193" s="25"/>
      <c r="S193" s="25"/>
      <c r="T193" s="25"/>
      <c r="U193" s="25"/>
    </row>
    <row r="194" spans="5:22" x14ac:dyDescent="0.2">
      <c r="E194" s="204" t="s">
        <v>531</v>
      </c>
      <c r="F194" s="250">
        <v>0</v>
      </c>
      <c r="H194" s="250">
        <v>7739.2511800711582</v>
      </c>
      <c r="J194" s="250">
        <f t="shared" si="54"/>
        <v>0</v>
      </c>
      <c r="L194" s="250">
        <v>7739.2511800711582</v>
      </c>
      <c r="N194" s="297">
        <f t="shared" si="56"/>
        <v>0</v>
      </c>
      <c r="Q194" s="25"/>
      <c r="S194" s="25"/>
      <c r="T194" s="25"/>
      <c r="U194" s="25"/>
    </row>
    <row r="195" spans="5:22" x14ac:dyDescent="0.2">
      <c r="E195" s="204" t="s">
        <v>530</v>
      </c>
      <c r="F195" s="250">
        <v>0</v>
      </c>
      <c r="H195" s="250">
        <v>33179125.659109436</v>
      </c>
      <c r="J195" s="250">
        <f t="shared" si="54"/>
        <v>0</v>
      </c>
      <c r="L195" s="250">
        <v>33179125.659109436</v>
      </c>
      <c r="N195" s="297">
        <f t="shared" si="56"/>
        <v>0</v>
      </c>
      <c r="Q195" s="25"/>
      <c r="S195" s="25"/>
      <c r="T195" s="25"/>
      <c r="U195" s="25"/>
    </row>
    <row r="196" spans="5:22" x14ac:dyDescent="0.2">
      <c r="E196" s="204" t="s">
        <v>627</v>
      </c>
      <c r="F196" s="250">
        <v>0</v>
      </c>
      <c r="H196" s="250">
        <v>6791339.3350291392</v>
      </c>
      <c r="J196" s="250">
        <f t="shared" si="54"/>
        <v>6791339.3350291392</v>
      </c>
      <c r="L196" s="250">
        <v>0</v>
      </c>
      <c r="N196" s="297">
        <f t="shared" si="56"/>
        <v>0</v>
      </c>
    </row>
    <row r="197" spans="5:22" ht="16" x14ac:dyDescent="0.2">
      <c r="E197" s="251" t="s">
        <v>526</v>
      </c>
      <c r="F197" s="250">
        <v>0</v>
      </c>
      <c r="H197" s="250" t="e">
        <v>#REF!</v>
      </c>
      <c r="J197" s="250" t="e">
        <f t="shared" si="54"/>
        <v>#REF!</v>
      </c>
      <c r="L197" s="250">
        <v>0</v>
      </c>
      <c r="N197" s="297" t="e">
        <f t="shared" si="56"/>
        <v>#REF!</v>
      </c>
    </row>
    <row r="198" spans="5:22" x14ac:dyDescent="0.2">
      <c r="E198" s="204" t="s">
        <v>525</v>
      </c>
      <c r="F198" s="250">
        <v>0</v>
      </c>
      <c r="H198" s="250" t="e">
        <v>#REF!</v>
      </c>
      <c r="J198" s="250">
        <f t="shared" si="54"/>
        <v>0</v>
      </c>
      <c r="L198" s="250" t="e">
        <v>#REF!</v>
      </c>
      <c r="N198" s="297" t="e">
        <f t="shared" ref="N198:N205" si="57">F198+H198-J198-L198</f>
        <v>#REF!</v>
      </c>
      <c r="O198" s="25"/>
    </row>
    <row r="199" spans="5:22" x14ac:dyDescent="0.2">
      <c r="E199" s="202" t="s">
        <v>527</v>
      </c>
      <c r="F199" s="250">
        <v>0</v>
      </c>
      <c r="H199" s="250" t="e">
        <v>#REF!</v>
      </c>
      <c r="J199" s="250">
        <f t="shared" si="54"/>
        <v>0</v>
      </c>
      <c r="L199" s="250" t="e">
        <v>#REF!</v>
      </c>
      <c r="N199" s="297" t="e">
        <f t="shared" si="57"/>
        <v>#REF!</v>
      </c>
    </row>
    <row r="200" spans="5:22" x14ac:dyDescent="0.2">
      <c r="E200" s="204" t="s">
        <v>666</v>
      </c>
      <c r="F200" s="250">
        <v>0</v>
      </c>
      <c r="H200" s="250">
        <v>3851734.9265453434</v>
      </c>
      <c r="J200" s="250">
        <f t="shared" si="54"/>
        <v>3851734.9265453434</v>
      </c>
      <c r="L200" s="250">
        <v>0</v>
      </c>
      <c r="N200" s="297">
        <f t="shared" si="57"/>
        <v>0</v>
      </c>
    </row>
    <row r="201" spans="5:22" x14ac:dyDescent="0.2">
      <c r="E201" s="204" t="s">
        <v>669</v>
      </c>
      <c r="F201" s="250">
        <v>0</v>
      </c>
      <c r="H201" s="250">
        <v>3851734.9265453434</v>
      </c>
      <c r="J201" s="250">
        <f t="shared" ref="J201:J205" si="58">BI115</f>
        <v>3273974.6875635423</v>
      </c>
      <c r="L201" s="250">
        <v>577760.23898180155</v>
      </c>
      <c r="N201" s="297">
        <f t="shared" si="57"/>
        <v>0</v>
      </c>
    </row>
    <row r="202" spans="5:22" x14ac:dyDescent="0.2">
      <c r="E202" s="204" t="s">
        <v>550</v>
      </c>
      <c r="F202" s="250">
        <v>0</v>
      </c>
      <c r="H202" s="250">
        <v>7072531.8830895294</v>
      </c>
      <c r="J202" s="250">
        <f t="shared" si="58"/>
        <v>7072531.8830895294</v>
      </c>
      <c r="L202" s="250">
        <v>0</v>
      </c>
      <c r="N202" s="297">
        <f t="shared" si="57"/>
        <v>0</v>
      </c>
      <c r="S202" s="243"/>
      <c r="T202" s="243"/>
      <c r="U202" s="243"/>
      <c r="V202" s="243"/>
    </row>
    <row r="203" spans="5:22" x14ac:dyDescent="0.2">
      <c r="E203" s="204" t="s">
        <v>551</v>
      </c>
      <c r="F203" s="250">
        <v>0</v>
      </c>
      <c r="H203" s="250">
        <v>4157895.2984628798</v>
      </c>
      <c r="J203" s="250">
        <f t="shared" si="58"/>
        <v>0</v>
      </c>
      <c r="L203" s="250">
        <v>4157895.2984628798</v>
      </c>
      <c r="N203" s="297">
        <f t="shared" si="57"/>
        <v>0</v>
      </c>
    </row>
    <row r="204" spans="5:22" x14ac:dyDescent="0.2">
      <c r="E204" s="204" t="s">
        <v>552</v>
      </c>
      <c r="F204" s="250">
        <v>0</v>
      </c>
      <c r="H204" s="250">
        <v>399018.65874240285</v>
      </c>
      <c r="J204" s="250">
        <f t="shared" si="58"/>
        <v>0</v>
      </c>
      <c r="L204" s="250">
        <v>399018.65874240285</v>
      </c>
      <c r="N204" s="297">
        <f t="shared" si="57"/>
        <v>0</v>
      </c>
    </row>
    <row r="205" spans="5:22" x14ac:dyDescent="0.2">
      <c r="E205" s="204" t="s">
        <v>563</v>
      </c>
      <c r="F205" s="250">
        <v>0</v>
      </c>
      <c r="H205" s="250">
        <v>67875.356217847453</v>
      </c>
      <c r="J205" s="250">
        <f t="shared" si="58"/>
        <v>0</v>
      </c>
      <c r="L205" s="250">
        <v>67875.356217847453</v>
      </c>
      <c r="N205" s="297">
        <f t="shared" si="57"/>
        <v>0</v>
      </c>
    </row>
    <row r="206" spans="5:22" ht="17" x14ac:dyDescent="0.2">
      <c r="E206" s="204"/>
      <c r="F206" s="3" t="s">
        <v>466</v>
      </c>
      <c r="H206" s="3" t="s">
        <v>468</v>
      </c>
      <c r="J206" s="25" t="s">
        <v>465</v>
      </c>
      <c r="L206" s="25" t="s">
        <v>39</v>
      </c>
      <c r="N206" s="25">
        <v>0</v>
      </c>
    </row>
    <row r="207" spans="5:22" x14ac:dyDescent="0.2">
      <c r="E207" s="204"/>
      <c r="J207" s="25"/>
      <c r="L207" s="25"/>
    </row>
    <row r="208" spans="5:22" x14ac:dyDescent="0.2">
      <c r="E208" s="204"/>
    </row>
    <row r="209" spans="5:18" x14ac:dyDescent="0.2">
      <c r="F209" s="395" t="s">
        <v>633</v>
      </c>
      <c r="G209" s="395"/>
      <c r="H209" s="395"/>
      <c r="I209" s="395"/>
      <c r="J209" s="395"/>
      <c r="O209" s="243"/>
      <c r="P209" s="243"/>
    </row>
    <row r="212" spans="5:18" x14ac:dyDescent="0.2">
      <c r="E212" s="202" t="s">
        <v>412</v>
      </c>
      <c r="F212" s="250" t="e" cm="1">
        <f t="array" ref="F212:F226">TRANSPOSE((AT121:BH121))</f>
        <v>#REF!</v>
      </c>
      <c r="H212" s="250">
        <f>AO124</f>
        <v>111652.37040135259</v>
      </c>
      <c r="J212" s="250" t="e">
        <f>F212-H212</f>
        <v>#REF!</v>
      </c>
    </row>
    <row r="213" spans="5:18" x14ac:dyDescent="0.2">
      <c r="E213" s="202" t="s">
        <v>413</v>
      </c>
      <c r="F213" s="250" t="e">
        <v>#REF!</v>
      </c>
      <c r="H213" s="250">
        <f t="shared" ref="H213:H226" si="59">AO125</f>
        <v>25401.480836203737</v>
      </c>
      <c r="J213" s="250" t="e">
        <f t="shared" ref="J213:J226" si="60">F213-H213</f>
        <v>#REF!</v>
      </c>
      <c r="Q213" s="243"/>
      <c r="R213" s="243"/>
    </row>
    <row r="214" spans="5:18" x14ac:dyDescent="0.2">
      <c r="E214" s="202" t="s">
        <v>414</v>
      </c>
      <c r="F214" s="250" t="e">
        <v>#REF!</v>
      </c>
      <c r="H214" s="250" t="e">
        <f t="shared" si="59"/>
        <v>#REF!</v>
      </c>
      <c r="J214" s="250" t="e">
        <f t="shared" si="60"/>
        <v>#REF!</v>
      </c>
    </row>
    <row r="215" spans="5:18" x14ac:dyDescent="0.2">
      <c r="E215" s="202" t="s">
        <v>561</v>
      </c>
      <c r="F215" s="250">
        <v>719025.96440252138</v>
      </c>
      <c r="G215" s="252"/>
      <c r="H215" s="250">
        <f t="shared" si="59"/>
        <v>109233.7126431732</v>
      </c>
      <c r="I215" s="252"/>
      <c r="J215" s="250">
        <f t="shared" si="60"/>
        <v>609792.2517593482</v>
      </c>
    </row>
    <row r="216" spans="5:18" x14ac:dyDescent="0.2">
      <c r="E216" s="202" t="s">
        <v>540</v>
      </c>
      <c r="F216" s="250">
        <v>28219.126564153565</v>
      </c>
      <c r="H216" s="250">
        <f t="shared" si="59"/>
        <v>25394.240916408646</v>
      </c>
      <c r="J216" s="250">
        <f t="shared" si="60"/>
        <v>2824.885647744919</v>
      </c>
      <c r="K216" s="243"/>
      <c r="L216" s="243"/>
      <c r="M216" s="243"/>
      <c r="N216" s="243"/>
    </row>
    <row r="217" spans="5:18" x14ac:dyDescent="0.2">
      <c r="E217" s="202" t="s">
        <v>539</v>
      </c>
      <c r="F217" s="250" t="e">
        <v>#REF!</v>
      </c>
      <c r="H217" s="250" t="e">
        <f t="shared" si="59"/>
        <v>#REF!</v>
      </c>
      <c r="J217" s="250" t="e">
        <f t="shared" si="60"/>
        <v>#REF!</v>
      </c>
    </row>
    <row r="218" spans="5:18" x14ac:dyDescent="0.2">
      <c r="E218" s="202" t="s">
        <v>439</v>
      </c>
      <c r="F218" s="250">
        <v>121859.81146951189</v>
      </c>
      <c r="H218" s="250">
        <f t="shared" si="59"/>
        <v>110709.21660288009</v>
      </c>
      <c r="J218" s="250">
        <f t="shared" si="60"/>
        <v>11150.5948666318</v>
      </c>
    </row>
    <row r="219" spans="5:18" x14ac:dyDescent="0.2">
      <c r="E219" s="202" t="s">
        <v>436</v>
      </c>
      <c r="F219" s="250">
        <v>25428.919011572762</v>
      </c>
      <c r="G219" s="169" t="s">
        <v>474</v>
      </c>
      <c r="H219" s="250">
        <f t="shared" si="59"/>
        <v>25394.240916408646</v>
      </c>
      <c r="I219" s="169" t="s">
        <v>470</v>
      </c>
      <c r="J219" s="250">
        <f t="shared" si="60"/>
        <v>34.678095164115803</v>
      </c>
    </row>
    <row r="220" spans="5:18" x14ac:dyDescent="0.2">
      <c r="E220" s="202" t="s">
        <v>454</v>
      </c>
      <c r="F220" s="250" t="e">
        <v>#REF!</v>
      </c>
      <c r="H220" s="250" t="e">
        <f t="shared" si="59"/>
        <v>#REF!</v>
      </c>
      <c r="J220" s="250" t="e">
        <f t="shared" si="60"/>
        <v>#REF!</v>
      </c>
    </row>
    <row r="221" spans="5:18" x14ac:dyDescent="0.2">
      <c r="E221" s="202" t="s">
        <v>437</v>
      </c>
      <c r="F221" s="250">
        <v>1081183306.4491639</v>
      </c>
      <c r="H221" s="250">
        <f t="shared" si="59"/>
        <v>33428880.986369282</v>
      </c>
      <c r="J221" s="250">
        <f t="shared" si="60"/>
        <v>1047754425.4627947</v>
      </c>
    </row>
    <row r="222" spans="5:18" x14ac:dyDescent="0.2">
      <c r="E222" s="202" t="s">
        <v>432</v>
      </c>
      <c r="F222" s="250" t="e">
        <v>#REF!</v>
      </c>
      <c r="H222" s="250" t="e">
        <f t="shared" si="59"/>
        <v>#REF!</v>
      </c>
      <c r="J222" s="250" t="e">
        <f t="shared" si="60"/>
        <v>#REF!</v>
      </c>
    </row>
    <row r="223" spans="5:18" x14ac:dyDescent="0.2">
      <c r="E223" s="202" t="s">
        <v>665</v>
      </c>
      <c r="F223" s="250" t="e">
        <v>#REF!</v>
      </c>
      <c r="H223" s="250">
        <f t="shared" si="59"/>
        <v>3851734.9265453434</v>
      </c>
      <c r="J223" s="250" t="e">
        <f t="shared" si="60"/>
        <v>#REF!</v>
      </c>
    </row>
    <row r="224" spans="5:18" x14ac:dyDescent="0.2">
      <c r="E224" s="202" t="s">
        <v>668</v>
      </c>
      <c r="F224" s="250">
        <v>3851734.9265453434</v>
      </c>
      <c r="H224" s="250">
        <f t="shared" si="59"/>
        <v>3851734.9265453434</v>
      </c>
      <c r="J224" s="250">
        <f t="shared" si="60"/>
        <v>0</v>
      </c>
    </row>
    <row r="225" spans="5:14" x14ac:dyDescent="0.2">
      <c r="E225" s="202" t="s">
        <v>81</v>
      </c>
      <c r="F225" s="250">
        <v>7122321.2109242482</v>
      </c>
      <c r="H225" s="250">
        <f t="shared" si="59"/>
        <v>7072531.8830895294</v>
      </c>
      <c r="J225" s="250">
        <f t="shared" si="60"/>
        <v>49789.327834718861</v>
      </c>
    </row>
    <row r="226" spans="5:14" x14ac:dyDescent="0.2">
      <c r="E226" s="202" t="s">
        <v>424</v>
      </c>
      <c r="F226" s="250">
        <v>12635213.294887021</v>
      </c>
      <c r="G226" s="169"/>
      <c r="H226" s="250">
        <f t="shared" si="59"/>
        <v>4624789.3134231297</v>
      </c>
      <c r="J226" s="250">
        <f t="shared" si="60"/>
        <v>8010423.9814638915</v>
      </c>
    </row>
    <row r="227" spans="5:14" x14ac:dyDescent="0.2">
      <c r="E227" s="204"/>
      <c r="F227" s="169" t="s">
        <v>464</v>
      </c>
      <c r="G227" s="169"/>
      <c r="H227" s="169" t="s">
        <v>461</v>
      </c>
      <c r="I227" s="169"/>
      <c r="J227" s="169" t="s">
        <v>475</v>
      </c>
    </row>
    <row r="228" spans="5:14" x14ac:dyDescent="0.2">
      <c r="E228" s="204"/>
    </row>
    <row r="229" spans="5:14" x14ac:dyDescent="0.2">
      <c r="E229" s="204"/>
    </row>
    <row r="234" spans="5:14" x14ac:dyDescent="0.2">
      <c r="K234" s="169"/>
      <c r="L234" s="169"/>
      <c r="M234" s="169"/>
      <c r="N234" s="169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5" t="s">
        <v>584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452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668</v>
      </c>
      <c r="BW1" s="205" t="s">
        <v>81</v>
      </c>
      <c r="BX1" s="205" t="s">
        <v>424</v>
      </c>
    </row>
    <row r="2" spans="2:76" x14ac:dyDescent="0.2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</row>
    <row r="3" spans="2:76" x14ac:dyDescent="0.2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</row>
    <row r="4" spans="2:76" x14ac:dyDescent="0.2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</row>
    <row r="5" spans="2:76" x14ac:dyDescent="0.2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</row>
    <row r="6" spans="2:76" x14ac:dyDescent="0.2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</row>
    <row r="7" spans="2:76" x14ac:dyDescent="0.2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</row>
    <row r="8" spans="2:76" x14ac:dyDescent="0.2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</row>
    <row r="9" spans="2:76" x14ac:dyDescent="0.2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</row>
    <row r="10" spans="2:76" x14ac:dyDescent="0.2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</row>
    <row r="11" spans="2:76" ht="16" x14ac:dyDescent="0.2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</row>
    <row r="12" spans="2:76" x14ac:dyDescent="0.2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</row>
    <row r="13" spans="2:76" ht="16" x14ac:dyDescent="0.2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</row>
    <row r="14" spans="2:76" x14ac:dyDescent="0.2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</row>
    <row r="15" spans="2:76" x14ac:dyDescent="0.2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</row>
    <row r="16" spans="2:76" x14ac:dyDescent="0.2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</row>
    <row r="17" spans="2:76" ht="16" x14ac:dyDescent="0.2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</row>
    <row r="18" spans="2:76" ht="16" x14ac:dyDescent="0.2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</row>
    <row r="19" spans="2:76" ht="16" x14ac:dyDescent="0.2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</row>
    <row r="20" spans="2:76" ht="16" x14ac:dyDescent="0.2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</row>
    <row r="21" spans="2:76" x14ac:dyDescent="0.2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</row>
    <row r="22" spans="2:76" x14ac:dyDescent="0.2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</row>
    <row r="23" spans="2:76" x14ac:dyDescent="0.2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</row>
    <row r="24" spans="2:76" x14ac:dyDescent="0.2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</row>
    <row r="25" spans="2:76" x14ac:dyDescent="0.2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</row>
    <row r="26" spans="2:76" x14ac:dyDescent="0.2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</row>
    <row r="27" spans="2:76" x14ac:dyDescent="0.2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</row>
    <row r="28" spans="2:76" ht="16" x14ac:dyDescent="0.2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</row>
    <row r="29" spans="2:76" x14ac:dyDescent="0.2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</row>
    <row r="30" spans="2:76" x14ac:dyDescent="0.2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</row>
    <row r="31" spans="2:76" x14ac:dyDescent="0.2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</row>
    <row r="32" spans="2:76" x14ac:dyDescent="0.2">
      <c r="B32" s="204" t="s">
        <v>550</v>
      </c>
      <c r="C32" s="282">
        <v>1</v>
      </c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</row>
    <row r="33" spans="2:76" x14ac:dyDescent="0.2">
      <c r="B33" s="204" t="s">
        <v>551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</row>
    <row r="34" spans="2:76" x14ac:dyDescent="0.2">
      <c r="B34" s="204" t="s">
        <v>552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</row>
    <row r="35" spans="2:76" x14ac:dyDescent="0.2">
      <c r="B35" s="204" t="s">
        <v>563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</row>
    <row r="36" spans="2:76" x14ac:dyDescent="0.2">
      <c r="C36" s="169" t="s">
        <v>579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</row>
    <row r="37" spans="2:76" x14ac:dyDescent="0.2">
      <c r="AP37" s="204"/>
      <c r="AQ37" s="395" t="s">
        <v>576</v>
      </c>
      <c r="AR37" s="395"/>
      <c r="AS37" s="395"/>
      <c r="AT37" s="395"/>
      <c r="AU37" s="395"/>
      <c r="AV37" s="395"/>
      <c r="AW37" s="395"/>
      <c r="AX37" s="395"/>
      <c r="AY37" s="395"/>
      <c r="AZ37" s="395"/>
      <c r="BA37" s="395"/>
      <c r="BB37" s="395"/>
      <c r="BC37" s="395"/>
      <c r="BD37" s="395"/>
      <c r="BE37" s="395"/>
      <c r="BJ37" s="204"/>
      <c r="BK37" s="395" t="s">
        <v>577</v>
      </c>
      <c r="BL37" s="395"/>
      <c r="BM37" s="395"/>
      <c r="BN37" s="395"/>
      <c r="BO37" s="395"/>
      <c r="BP37" s="395"/>
      <c r="BQ37" s="395"/>
      <c r="BR37" s="395"/>
      <c r="BS37" s="395"/>
      <c r="BT37" s="395"/>
      <c r="BU37" s="395"/>
      <c r="BV37" s="395"/>
      <c r="BW37" s="395"/>
      <c r="BX37" s="395"/>
    </row>
    <row r="38" spans="2:76" x14ac:dyDescent="0.2">
      <c r="AP38" s="204"/>
      <c r="BJ38" s="204"/>
    </row>
    <row r="39" spans="2:76" x14ac:dyDescent="0.2">
      <c r="AP39" s="204"/>
    </row>
    <row r="40" spans="2:76" ht="112" x14ac:dyDescent="0.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6" x14ac:dyDescent="0.2">
      <c r="AP41" s="202" t="s">
        <v>420</v>
      </c>
      <c r="AQ41" s="282">
        <f>AQ81</f>
        <v>1011.7674660019052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6" x14ac:dyDescent="0.2">
      <c r="AP42" s="202" t="s">
        <v>422</v>
      </c>
      <c r="AQ42" s="282">
        <f t="shared" ref="AQ42:AX75" si="1">AQ82</f>
        <v>0</v>
      </c>
      <c r="AR42" s="282">
        <f t="shared" si="1"/>
        <v>208.55560337725498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ref="AY42:BB42" si="2">AY82</f>
        <v>0</v>
      </c>
      <c r="AZ42" s="282">
        <f t="shared" si="2"/>
        <v>0</v>
      </c>
      <c r="BA42" s="282">
        <f t="shared" si="2"/>
        <v>0</v>
      </c>
      <c r="BB42" s="282">
        <f t="shared" si="2"/>
        <v>0</v>
      </c>
      <c r="BC42" s="282">
        <f t="shared" ref="BC42:BE42" si="3">BC82</f>
        <v>0</v>
      </c>
      <c r="BD42" s="282">
        <f t="shared" si="3"/>
        <v>0</v>
      </c>
      <c r="BE42" s="282">
        <f t="shared" si="3"/>
        <v>0</v>
      </c>
    </row>
    <row r="43" spans="2:76" x14ac:dyDescent="0.2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ref="AY43:BB43" si="4">AY83</f>
        <v>0</v>
      </c>
      <c r="AZ43" s="282">
        <f t="shared" si="4"/>
        <v>0</v>
      </c>
      <c r="BA43" s="282">
        <f t="shared" si="4"/>
        <v>0</v>
      </c>
      <c r="BB43" s="282">
        <f t="shared" si="4"/>
        <v>0</v>
      </c>
      <c r="BC43" s="282">
        <f t="shared" ref="BC43:BE43" si="5">BC83</f>
        <v>0</v>
      </c>
      <c r="BD43" s="282">
        <f t="shared" si="5"/>
        <v>0</v>
      </c>
      <c r="BE43" s="282">
        <f t="shared" si="5"/>
        <v>0</v>
      </c>
    </row>
    <row r="44" spans="2:76" x14ac:dyDescent="0.2">
      <c r="AP44" s="202" t="s">
        <v>443</v>
      </c>
      <c r="AQ44" s="282">
        <f t="shared" si="1"/>
        <v>30.150427560669065</v>
      </c>
      <c r="AR44" s="282">
        <f t="shared" si="1"/>
        <v>9.0394269236644703E-2</v>
      </c>
      <c r="AS44" s="282" t="e">
        <f t="shared" si="1"/>
        <v>#REF!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ref="AY44:BB44" si="6">AY84</f>
        <v>0</v>
      </c>
      <c r="AZ44" s="282">
        <f t="shared" si="6"/>
        <v>356076.147280448</v>
      </c>
      <c r="BA44" s="282" t="e">
        <f t="shared" si="6"/>
        <v>#REF!</v>
      </c>
      <c r="BB44" s="282">
        <f t="shared" si="6"/>
        <v>0</v>
      </c>
      <c r="BC44" s="282">
        <f t="shared" ref="BC44:BE44" si="7">BC84</f>
        <v>0</v>
      </c>
      <c r="BD44" s="282">
        <f t="shared" si="7"/>
        <v>0</v>
      </c>
      <c r="BE44" s="282">
        <f t="shared" si="7"/>
        <v>2432.9315137804706</v>
      </c>
    </row>
    <row r="45" spans="2:76" x14ac:dyDescent="0.2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ref="AY45:BB45" si="8">AY85</f>
        <v>0</v>
      </c>
      <c r="AZ45" s="282">
        <f t="shared" si="8"/>
        <v>20798.316475388398</v>
      </c>
      <c r="BA45" s="282" t="e">
        <f t="shared" si="8"/>
        <v>#REF!</v>
      </c>
      <c r="BB45" s="282">
        <f t="shared" si="8"/>
        <v>0</v>
      </c>
      <c r="BC45" s="282">
        <f t="shared" ref="BC45:BE45" si="9">BC85</f>
        <v>0</v>
      </c>
      <c r="BD45" s="282">
        <f t="shared" si="9"/>
        <v>0</v>
      </c>
      <c r="BE45" s="282">
        <f t="shared" si="9"/>
        <v>44.774669200794314</v>
      </c>
    </row>
    <row r="46" spans="2:76" x14ac:dyDescent="0.2">
      <c r="AP46" s="202" t="s">
        <v>572</v>
      </c>
      <c r="AQ46" s="282">
        <f t="shared" si="1"/>
        <v>2.0694989883749622</v>
      </c>
      <c r="AR46" s="282">
        <f t="shared" si="1"/>
        <v>5.671161105764883E-3</v>
      </c>
      <c r="AS46" s="282" t="e">
        <f t="shared" si="1"/>
        <v>#REF!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ref="AY46:BB46" si="10">AY86</f>
        <v>0</v>
      </c>
      <c r="AZ46" s="282">
        <f t="shared" si="10"/>
        <v>0</v>
      </c>
      <c r="BA46" s="282">
        <f t="shared" si="10"/>
        <v>0</v>
      </c>
      <c r="BB46" s="282">
        <f t="shared" si="10"/>
        <v>0</v>
      </c>
      <c r="BC46" s="282">
        <f t="shared" ref="BC46:BE46" si="11">BC86</f>
        <v>0</v>
      </c>
      <c r="BD46" s="282">
        <f t="shared" si="11"/>
        <v>0</v>
      </c>
      <c r="BE46" s="282">
        <f t="shared" si="11"/>
        <v>0</v>
      </c>
    </row>
    <row r="47" spans="2:76" x14ac:dyDescent="0.2">
      <c r="AP47" s="202" t="s">
        <v>573</v>
      </c>
      <c r="AQ47" s="282">
        <f t="shared" si="1"/>
        <v>0</v>
      </c>
      <c r="AR47" s="282">
        <f t="shared" si="1"/>
        <v>5.1714158616864253E-4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ref="AY47:BB47" si="12">AY87</f>
        <v>0</v>
      </c>
      <c r="AZ47" s="282">
        <f t="shared" si="12"/>
        <v>0</v>
      </c>
      <c r="BA47" s="282">
        <f t="shared" si="12"/>
        <v>0</v>
      </c>
      <c r="BB47" s="282">
        <f t="shared" si="12"/>
        <v>0</v>
      </c>
      <c r="BC47" s="282">
        <f t="shared" ref="BC47:BE47" si="13">BC87</f>
        <v>0</v>
      </c>
      <c r="BD47" s="282">
        <f t="shared" si="13"/>
        <v>0</v>
      </c>
      <c r="BE47" s="282">
        <f t="shared" si="13"/>
        <v>0</v>
      </c>
    </row>
    <row r="48" spans="2:76" x14ac:dyDescent="0.2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ref="AY48:BB48" si="14">AY88</f>
        <v>0</v>
      </c>
      <c r="AZ48" s="282">
        <f t="shared" si="14"/>
        <v>0</v>
      </c>
      <c r="BA48" s="282">
        <f t="shared" si="14"/>
        <v>0</v>
      </c>
      <c r="BB48" s="282">
        <f t="shared" si="14"/>
        <v>0</v>
      </c>
      <c r="BC48" s="282">
        <f t="shared" ref="BC48:BE48" si="15">BC88</f>
        <v>0</v>
      </c>
      <c r="BD48" s="282">
        <f t="shared" si="15"/>
        <v>0</v>
      </c>
      <c r="BE48" s="282">
        <f t="shared" si="15"/>
        <v>4.8979947555174279</v>
      </c>
    </row>
    <row r="49" spans="42:57" x14ac:dyDescent="0.2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ref="AY49:BB49" si="16">AY89</f>
        <v>0</v>
      </c>
      <c r="AZ49" s="282">
        <f t="shared" si="16"/>
        <v>0</v>
      </c>
      <c r="BA49" s="282">
        <f t="shared" si="16"/>
        <v>0</v>
      </c>
      <c r="BB49" s="282">
        <f t="shared" si="16"/>
        <v>0</v>
      </c>
      <c r="BC49" s="282">
        <f t="shared" ref="BC49:BE49" si="17">BC89</f>
        <v>0</v>
      </c>
      <c r="BD49" s="282">
        <f t="shared" si="17"/>
        <v>0</v>
      </c>
      <c r="BE49" s="282">
        <f t="shared" si="17"/>
        <v>0</v>
      </c>
    </row>
    <row r="50" spans="42:57" ht="16" x14ac:dyDescent="0.2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1011.7674660019052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ref="AY50:BB50" si="18">AY90</f>
        <v>0</v>
      </c>
      <c r="AZ50" s="282">
        <f t="shared" si="18"/>
        <v>0</v>
      </c>
      <c r="BA50" s="282">
        <f t="shared" si="18"/>
        <v>0</v>
      </c>
      <c r="BB50" s="282">
        <f t="shared" si="18"/>
        <v>0</v>
      </c>
      <c r="BC50" s="282">
        <f t="shared" ref="BC50:BE50" si="19">BC90</f>
        <v>0</v>
      </c>
      <c r="BD50" s="282">
        <f t="shared" si="19"/>
        <v>0</v>
      </c>
      <c r="BE50" s="282">
        <f t="shared" si="19"/>
        <v>0</v>
      </c>
    </row>
    <row r="51" spans="42:57" x14ac:dyDescent="0.2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ref="AY51:BB51" si="20">AY91</f>
        <v>0</v>
      </c>
      <c r="AZ51" s="282">
        <f t="shared" si="20"/>
        <v>0</v>
      </c>
      <c r="BA51" s="282">
        <f t="shared" si="20"/>
        <v>0</v>
      </c>
      <c r="BB51" s="282">
        <f t="shared" si="20"/>
        <v>0</v>
      </c>
      <c r="BC51" s="282">
        <f t="shared" ref="BC51:BE51" si="21">BC91</f>
        <v>0</v>
      </c>
      <c r="BD51" s="282">
        <f t="shared" si="21"/>
        <v>0</v>
      </c>
      <c r="BE51" s="282">
        <f t="shared" si="21"/>
        <v>0</v>
      </c>
    </row>
    <row r="52" spans="42:57" ht="16" x14ac:dyDescent="0.2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208.55560337725498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ref="AY52:BB52" si="22">AY92</f>
        <v>0</v>
      </c>
      <c r="AZ52" s="282">
        <f t="shared" si="22"/>
        <v>0</v>
      </c>
      <c r="BA52" s="282">
        <f t="shared" si="22"/>
        <v>0</v>
      </c>
      <c r="BB52" s="282">
        <f t="shared" si="22"/>
        <v>0</v>
      </c>
      <c r="BC52" s="282">
        <f t="shared" ref="BC52:BE52" si="23">BC92</f>
        <v>0</v>
      </c>
      <c r="BD52" s="282">
        <f t="shared" si="23"/>
        <v>0</v>
      </c>
      <c r="BE52" s="282">
        <f t="shared" si="23"/>
        <v>0</v>
      </c>
    </row>
    <row r="53" spans="42:57" x14ac:dyDescent="0.2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ref="AY53:BB53" si="24">AY93</f>
        <v>0</v>
      </c>
      <c r="AZ53" s="282">
        <f t="shared" si="24"/>
        <v>0</v>
      </c>
      <c r="BA53" s="282">
        <f t="shared" si="24"/>
        <v>0</v>
      </c>
      <c r="BB53" s="282">
        <f t="shared" si="24"/>
        <v>0</v>
      </c>
      <c r="BC53" s="282">
        <f t="shared" ref="BC53:BE53" si="25">BC93</f>
        <v>0</v>
      </c>
      <c r="BD53" s="282">
        <f t="shared" si="25"/>
        <v>0</v>
      </c>
      <c r="BE53" s="282">
        <f t="shared" si="25"/>
        <v>0</v>
      </c>
    </row>
    <row r="54" spans="42:57" x14ac:dyDescent="0.2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ref="AY54:BB54" si="26">AY94</f>
        <v>0</v>
      </c>
      <c r="AZ54" s="282">
        <f t="shared" si="26"/>
        <v>0</v>
      </c>
      <c r="BA54" s="282">
        <f t="shared" si="26"/>
        <v>0</v>
      </c>
      <c r="BB54" s="282">
        <f t="shared" si="26"/>
        <v>0</v>
      </c>
      <c r="BC54" s="282">
        <f t="shared" ref="BC54:BE54" si="27">BC94</f>
        <v>0</v>
      </c>
      <c r="BD54" s="282">
        <f t="shared" si="27"/>
        <v>0</v>
      </c>
      <c r="BE54" s="282">
        <f t="shared" si="27"/>
        <v>0</v>
      </c>
    </row>
    <row r="55" spans="42:57" x14ac:dyDescent="0.2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ref="AY55:BB55" si="28">AY95</f>
        <v>0</v>
      </c>
      <c r="AZ55" s="282">
        <f t="shared" si="28"/>
        <v>0</v>
      </c>
      <c r="BA55" s="282">
        <f t="shared" si="28"/>
        <v>0</v>
      </c>
      <c r="BB55" s="282">
        <f t="shared" si="28"/>
        <v>0</v>
      </c>
      <c r="BC55" s="282">
        <f t="shared" ref="BC55:BE55" si="29">BC95</f>
        <v>0</v>
      </c>
      <c r="BD55" s="282">
        <f t="shared" si="29"/>
        <v>0</v>
      </c>
      <c r="BE55" s="282">
        <f t="shared" si="29"/>
        <v>0</v>
      </c>
    </row>
    <row r="56" spans="42:57" ht="16" x14ac:dyDescent="0.2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1011.7674660019052</v>
      </c>
      <c r="AX56" s="282">
        <f t="shared" si="1"/>
        <v>0</v>
      </c>
      <c r="AY56" s="282">
        <f t="shared" ref="AY56:BB56" si="30">AY96</f>
        <v>0</v>
      </c>
      <c r="AZ56" s="282">
        <f t="shared" si="30"/>
        <v>0</v>
      </c>
      <c r="BA56" s="282">
        <f t="shared" si="30"/>
        <v>0</v>
      </c>
      <c r="BB56" s="282">
        <f t="shared" si="30"/>
        <v>0</v>
      </c>
      <c r="BC56" s="282">
        <f t="shared" ref="BC56:BE56" si="31">BC96</f>
        <v>0</v>
      </c>
      <c r="BD56" s="282">
        <f t="shared" si="31"/>
        <v>0</v>
      </c>
      <c r="BE56" s="282">
        <f t="shared" si="31"/>
        <v>0</v>
      </c>
    </row>
    <row r="57" spans="42:57" ht="16" x14ac:dyDescent="0.2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208.55560337725498</v>
      </c>
      <c r="AY57" s="282">
        <f t="shared" ref="AY57:BB57" si="32">AY97</f>
        <v>0</v>
      </c>
      <c r="AZ57" s="282">
        <f t="shared" si="32"/>
        <v>0</v>
      </c>
      <c r="BA57" s="282">
        <f t="shared" si="32"/>
        <v>0</v>
      </c>
      <c r="BB57" s="282">
        <f t="shared" si="32"/>
        <v>0</v>
      </c>
      <c r="BC57" s="282">
        <f t="shared" ref="BC57:BE57" si="33">BC97</f>
        <v>0</v>
      </c>
      <c r="BD57" s="282">
        <f t="shared" si="33"/>
        <v>0</v>
      </c>
      <c r="BE57" s="282">
        <f t="shared" si="33"/>
        <v>0</v>
      </c>
    </row>
    <row r="58" spans="42:57" ht="16" x14ac:dyDescent="0.2">
      <c r="AP58" s="203" t="s">
        <v>538</v>
      </c>
      <c r="AQ58" s="282">
        <f t="shared" si="1"/>
        <v>0</v>
      </c>
      <c r="AR58" s="282">
        <f t="shared" si="1"/>
        <v>0</v>
      </c>
      <c r="AS58" s="282">
        <f t="shared" si="1"/>
        <v>0</v>
      </c>
      <c r="AT58" s="282">
        <f t="shared" si="1"/>
        <v>0</v>
      </c>
      <c r="AU58" s="282">
        <f t="shared" si="1"/>
        <v>0</v>
      </c>
      <c r="AV58" s="282">
        <f t="shared" si="1"/>
        <v>0</v>
      </c>
      <c r="AW58" s="282">
        <f t="shared" si="1"/>
        <v>0</v>
      </c>
      <c r="AX58" s="282">
        <f t="shared" si="1"/>
        <v>0</v>
      </c>
      <c r="AY58" s="282" t="e">
        <f t="shared" ref="AY58:BB58" si="34">AY98</f>
        <v>#REF!</v>
      </c>
      <c r="AZ58" s="282">
        <f t="shared" si="34"/>
        <v>0</v>
      </c>
      <c r="BA58" s="282">
        <f t="shared" si="34"/>
        <v>0</v>
      </c>
      <c r="BB58" s="282">
        <f t="shared" si="34"/>
        <v>0</v>
      </c>
      <c r="BC58" s="282">
        <f t="shared" ref="BC58:BE58" si="35">BC98</f>
        <v>0</v>
      </c>
      <c r="BD58" s="282">
        <f t="shared" si="35"/>
        <v>0</v>
      </c>
      <c r="BE58" s="282">
        <f t="shared" si="35"/>
        <v>0</v>
      </c>
    </row>
    <row r="59" spans="42:57" ht="16" x14ac:dyDescent="0.2">
      <c r="AP59" s="203" t="s">
        <v>544</v>
      </c>
      <c r="AQ59" s="282">
        <f t="shared" si="1"/>
        <v>0</v>
      </c>
      <c r="AR59" s="282">
        <f t="shared" si="1"/>
        <v>0</v>
      </c>
      <c r="AS59" s="282">
        <f t="shared" si="1"/>
        <v>0</v>
      </c>
      <c r="AT59" s="282">
        <f t="shared" si="1"/>
        <v>0</v>
      </c>
      <c r="AU59" s="282">
        <f t="shared" si="1"/>
        <v>0</v>
      </c>
      <c r="AV59" s="282">
        <f t="shared" si="1"/>
        <v>0</v>
      </c>
      <c r="AW59" s="282">
        <f t="shared" si="1"/>
        <v>0</v>
      </c>
      <c r="AX59" s="282">
        <f t="shared" si="1"/>
        <v>0</v>
      </c>
      <c r="AY59" s="282">
        <f t="shared" ref="AY59:BB59" si="36">AY99</f>
        <v>0</v>
      </c>
      <c r="AZ59" s="282">
        <f t="shared" si="36"/>
        <v>0</v>
      </c>
      <c r="BA59" s="282">
        <f t="shared" si="36"/>
        <v>0</v>
      </c>
      <c r="BB59" s="282">
        <f t="shared" si="36"/>
        <v>0</v>
      </c>
      <c r="BC59" s="282">
        <f t="shared" ref="BC59:BE59" si="37">BC99</f>
        <v>0</v>
      </c>
      <c r="BD59" s="282">
        <f t="shared" si="37"/>
        <v>1000.0000000000001</v>
      </c>
      <c r="BE59" s="282">
        <f t="shared" si="37"/>
        <v>0</v>
      </c>
    </row>
    <row r="60" spans="42:57" x14ac:dyDescent="0.2">
      <c r="AP60" s="204" t="s">
        <v>543</v>
      </c>
      <c r="AQ60" s="282">
        <f t="shared" si="1"/>
        <v>0</v>
      </c>
      <c r="AR60" s="282">
        <f t="shared" si="1"/>
        <v>0</v>
      </c>
      <c r="AS60" s="282">
        <f t="shared" si="1"/>
        <v>0</v>
      </c>
      <c r="AT60" s="282">
        <f t="shared" si="1"/>
        <v>0</v>
      </c>
      <c r="AU60" s="282">
        <f t="shared" si="1"/>
        <v>0</v>
      </c>
      <c r="AV60" s="282">
        <f t="shared" si="1"/>
        <v>0</v>
      </c>
      <c r="AW60" s="282">
        <f t="shared" si="1"/>
        <v>0</v>
      </c>
      <c r="AX60" s="282">
        <f t="shared" si="1"/>
        <v>0</v>
      </c>
      <c r="AY60" s="282">
        <f t="shared" ref="AY60:BB60" si="38">AY100</f>
        <v>0</v>
      </c>
      <c r="AZ60" s="282">
        <f t="shared" si="38"/>
        <v>0</v>
      </c>
      <c r="BA60" s="282">
        <f t="shared" si="38"/>
        <v>0</v>
      </c>
      <c r="BB60" s="282">
        <f t="shared" si="38"/>
        <v>0</v>
      </c>
      <c r="BC60" s="282">
        <f t="shared" ref="BC60:BE60" si="39">BC100</f>
        <v>0</v>
      </c>
      <c r="BD60" s="282">
        <f t="shared" si="39"/>
        <v>0</v>
      </c>
      <c r="BE60" s="282">
        <f t="shared" si="39"/>
        <v>0</v>
      </c>
    </row>
    <row r="61" spans="42:57" x14ac:dyDescent="0.2">
      <c r="AP61" s="204" t="s">
        <v>528</v>
      </c>
      <c r="AQ61" s="282">
        <f t="shared" si="1"/>
        <v>0</v>
      </c>
      <c r="AR61" s="282">
        <f t="shared" si="1"/>
        <v>0</v>
      </c>
      <c r="AS61" s="282">
        <f t="shared" si="1"/>
        <v>0</v>
      </c>
      <c r="AT61" s="282">
        <f t="shared" si="1"/>
        <v>0</v>
      </c>
      <c r="AU61" s="282">
        <f t="shared" si="1"/>
        <v>0</v>
      </c>
      <c r="AV61" s="282">
        <f t="shared" si="1"/>
        <v>0</v>
      </c>
      <c r="AW61" s="282">
        <f t="shared" si="1"/>
        <v>0</v>
      </c>
      <c r="AX61" s="282">
        <f t="shared" si="1"/>
        <v>0</v>
      </c>
      <c r="AY61" s="282">
        <f t="shared" ref="AY61:BB61" si="40">AY101</f>
        <v>0</v>
      </c>
      <c r="AZ61" s="282">
        <f t="shared" si="40"/>
        <v>208.55560337725498</v>
      </c>
      <c r="BA61" s="282">
        <f t="shared" si="40"/>
        <v>0</v>
      </c>
      <c r="BB61" s="282">
        <f t="shared" si="40"/>
        <v>0</v>
      </c>
      <c r="BC61" s="282">
        <f t="shared" ref="BC61:BE61" si="41">BC101</f>
        <v>0</v>
      </c>
      <c r="BD61" s="282">
        <f t="shared" si="41"/>
        <v>0</v>
      </c>
      <c r="BE61" s="282">
        <f t="shared" si="41"/>
        <v>0</v>
      </c>
    </row>
    <row r="62" spans="42:57" x14ac:dyDescent="0.2">
      <c r="AP62" s="204" t="s">
        <v>562</v>
      </c>
      <c r="AQ62" s="282">
        <f t="shared" si="1"/>
        <v>0</v>
      </c>
      <c r="AR62" s="282">
        <f t="shared" si="1"/>
        <v>0</v>
      </c>
      <c r="AS62" s="282">
        <f t="shared" si="1"/>
        <v>0</v>
      </c>
      <c r="AT62" s="282">
        <f t="shared" si="1"/>
        <v>0</v>
      </c>
      <c r="AU62" s="282">
        <f t="shared" si="1"/>
        <v>0</v>
      </c>
      <c r="AV62" s="282">
        <f t="shared" si="1"/>
        <v>0</v>
      </c>
      <c r="AW62" s="282">
        <f t="shared" si="1"/>
        <v>0</v>
      </c>
      <c r="AX62" s="282">
        <f t="shared" si="1"/>
        <v>0</v>
      </c>
      <c r="AY62" s="282">
        <f t="shared" ref="AY62:BB62" si="42">AY102</f>
        <v>0</v>
      </c>
      <c r="AZ62" s="282">
        <f t="shared" si="42"/>
        <v>0</v>
      </c>
      <c r="BA62" s="282" t="e">
        <f t="shared" si="42"/>
        <v>#REF!</v>
      </c>
      <c r="BB62" s="282">
        <f t="shared" si="42"/>
        <v>0</v>
      </c>
      <c r="BC62" s="282">
        <f t="shared" ref="BC62:BE62" si="43">BC102</f>
        <v>0</v>
      </c>
      <c r="BD62" s="282">
        <f t="shared" si="43"/>
        <v>0</v>
      </c>
      <c r="BE62" s="282">
        <f t="shared" si="43"/>
        <v>0</v>
      </c>
    </row>
    <row r="63" spans="42:57" x14ac:dyDescent="0.2">
      <c r="AP63" s="204" t="s">
        <v>529</v>
      </c>
      <c r="AQ63" s="282">
        <f t="shared" si="1"/>
        <v>0</v>
      </c>
      <c r="AR63" s="282">
        <f t="shared" si="1"/>
        <v>0</v>
      </c>
      <c r="AS63" s="282">
        <f t="shared" si="1"/>
        <v>0</v>
      </c>
      <c r="AT63" s="282">
        <f t="shared" si="1"/>
        <v>0</v>
      </c>
      <c r="AU63" s="282">
        <f t="shared" si="1"/>
        <v>0</v>
      </c>
      <c r="AV63" s="282">
        <f t="shared" si="1"/>
        <v>0</v>
      </c>
      <c r="AW63" s="282">
        <f t="shared" si="1"/>
        <v>0</v>
      </c>
      <c r="AX63" s="282">
        <f t="shared" si="1"/>
        <v>0</v>
      </c>
      <c r="AY63" s="282">
        <f t="shared" ref="AY63:BB63" si="44">AY103</f>
        <v>0</v>
      </c>
      <c r="AZ63" s="282">
        <f t="shared" si="44"/>
        <v>0</v>
      </c>
      <c r="BA63" s="282">
        <f t="shared" si="44"/>
        <v>0</v>
      </c>
      <c r="BB63" s="282">
        <f t="shared" si="44"/>
        <v>0</v>
      </c>
      <c r="BC63" s="282">
        <f t="shared" ref="BC63:BC69" si="45">BC103</f>
        <v>0</v>
      </c>
      <c r="BD63" s="282">
        <f t="shared" ref="BD63:BE63" si="46">BD103</f>
        <v>111.00813284002646</v>
      </c>
      <c r="BE63" s="282">
        <f t="shared" si="46"/>
        <v>0</v>
      </c>
    </row>
    <row r="64" spans="42:57" x14ac:dyDescent="0.2">
      <c r="AP64" s="204" t="s">
        <v>531</v>
      </c>
      <c r="AQ64" s="282">
        <f t="shared" si="1"/>
        <v>0</v>
      </c>
      <c r="AR64" s="282">
        <f t="shared" si="1"/>
        <v>0</v>
      </c>
      <c r="AS64" s="282">
        <f t="shared" si="1"/>
        <v>0</v>
      </c>
      <c r="AT64" s="282">
        <f t="shared" si="1"/>
        <v>0</v>
      </c>
      <c r="AU64" s="282">
        <f t="shared" si="1"/>
        <v>0</v>
      </c>
      <c r="AV64" s="282">
        <f t="shared" si="1"/>
        <v>0</v>
      </c>
      <c r="AW64" s="282">
        <f t="shared" si="1"/>
        <v>0</v>
      </c>
      <c r="AX64" s="282">
        <f t="shared" si="1"/>
        <v>0</v>
      </c>
      <c r="AY64" s="282">
        <f t="shared" ref="AY64:BB64" si="47">AY104</f>
        <v>0</v>
      </c>
      <c r="AZ64" s="282">
        <f t="shared" si="47"/>
        <v>0</v>
      </c>
      <c r="BA64" s="282">
        <f t="shared" si="47"/>
        <v>0</v>
      </c>
      <c r="BB64" s="282">
        <f t="shared" si="47"/>
        <v>0</v>
      </c>
      <c r="BC64" s="282">
        <f t="shared" si="45"/>
        <v>0</v>
      </c>
      <c r="BD64" s="282">
        <f t="shared" ref="BD64:BE64" si="48">BD104</f>
        <v>0</v>
      </c>
      <c r="BE64" s="282">
        <f t="shared" si="48"/>
        <v>0</v>
      </c>
    </row>
    <row r="65" spans="32:64" x14ac:dyDescent="0.2">
      <c r="AP65" s="204" t="s">
        <v>530</v>
      </c>
      <c r="AQ65" s="282">
        <f t="shared" si="1"/>
        <v>0</v>
      </c>
      <c r="AR65" s="282">
        <f t="shared" si="1"/>
        <v>0</v>
      </c>
      <c r="AS65" s="282">
        <f t="shared" si="1"/>
        <v>0</v>
      </c>
      <c r="AT65" s="282">
        <f t="shared" si="1"/>
        <v>0</v>
      </c>
      <c r="AU65" s="282">
        <f t="shared" si="1"/>
        <v>0</v>
      </c>
      <c r="AV65" s="282">
        <f t="shared" si="1"/>
        <v>0</v>
      </c>
      <c r="AW65" s="282">
        <f t="shared" si="1"/>
        <v>0</v>
      </c>
      <c r="AX65" s="282">
        <f t="shared" si="1"/>
        <v>0</v>
      </c>
      <c r="AY65" s="282">
        <f t="shared" ref="AY65:BB65" si="49">AY105</f>
        <v>0</v>
      </c>
      <c r="AZ65" s="282">
        <f t="shared" si="49"/>
        <v>0</v>
      </c>
      <c r="BA65" s="282">
        <f t="shared" si="49"/>
        <v>0</v>
      </c>
      <c r="BB65" s="282">
        <f t="shared" si="49"/>
        <v>0</v>
      </c>
      <c r="BC65" s="282">
        <f t="shared" si="45"/>
        <v>0</v>
      </c>
      <c r="BD65" s="282">
        <f t="shared" ref="BD65:BE65" si="50">BD105</f>
        <v>0</v>
      </c>
      <c r="BE65" s="282">
        <f t="shared" si="50"/>
        <v>0</v>
      </c>
    </row>
    <row r="66" spans="32:64" x14ac:dyDescent="0.2">
      <c r="AP66" s="204" t="s">
        <v>627</v>
      </c>
      <c r="AQ66" s="282">
        <f t="shared" si="1"/>
        <v>0</v>
      </c>
      <c r="AR66" s="282">
        <f t="shared" si="1"/>
        <v>0</v>
      </c>
      <c r="AS66" s="282">
        <f t="shared" si="1"/>
        <v>0</v>
      </c>
      <c r="AT66" s="282">
        <f t="shared" si="1"/>
        <v>0</v>
      </c>
      <c r="AU66" s="282">
        <f t="shared" si="1"/>
        <v>0</v>
      </c>
      <c r="AV66" s="282">
        <f t="shared" si="1"/>
        <v>0</v>
      </c>
      <c r="AW66" s="282">
        <f t="shared" si="1"/>
        <v>0</v>
      </c>
      <c r="AX66" s="282">
        <f t="shared" ref="AX66:BB66" si="51">AX106</f>
        <v>0</v>
      </c>
      <c r="AY66" s="282">
        <f t="shared" si="51"/>
        <v>0</v>
      </c>
      <c r="AZ66" s="282">
        <f t="shared" si="51"/>
        <v>0</v>
      </c>
      <c r="BA66" s="282">
        <f t="shared" si="51"/>
        <v>0</v>
      </c>
      <c r="BB66" s="282">
        <f t="shared" si="51"/>
        <v>0</v>
      </c>
      <c r="BC66" s="282">
        <f t="shared" si="45"/>
        <v>0</v>
      </c>
      <c r="BD66" s="282">
        <f t="shared" ref="BD66:BE66" si="52">BD106</f>
        <v>198.80764502323905</v>
      </c>
      <c r="BE66" s="282">
        <f t="shared" si="52"/>
        <v>0</v>
      </c>
    </row>
    <row r="67" spans="32:64" ht="16" x14ac:dyDescent="0.2">
      <c r="AP67" s="251" t="s">
        <v>526</v>
      </c>
      <c r="AQ67" s="282">
        <f t="shared" si="1"/>
        <v>0</v>
      </c>
      <c r="AR67" s="282">
        <f t="shared" si="1"/>
        <v>0</v>
      </c>
      <c r="AS67" s="282">
        <f t="shared" si="1"/>
        <v>0</v>
      </c>
      <c r="AT67" s="282">
        <f t="shared" si="1"/>
        <v>0</v>
      </c>
      <c r="AU67" s="282">
        <f t="shared" si="1"/>
        <v>0</v>
      </c>
      <c r="AV67" s="282">
        <f t="shared" si="1"/>
        <v>0</v>
      </c>
      <c r="AW67" s="282">
        <f t="shared" si="1"/>
        <v>0</v>
      </c>
      <c r="AX67" s="282">
        <f t="shared" ref="AX67:BB67" si="53">AX107</f>
        <v>0</v>
      </c>
      <c r="AY67" s="282">
        <f t="shared" si="53"/>
        <v>0</v>
      </c>
      <c r="AZ67" s="282">
        <f t="shared" si="53"/>
        <v>0</v>
      </c>
      <c r="BA67" s="282">
        <f t="shared" si="53"/>
        <v>0</v>
      </c>
      <c r="BB67" s="282" t="e">
        <f t="shared" si="53"/>
        <v>#REF!</v>
      </c>
      <c r="BC67" s="282">
        <f t="shared" si="45"/>
        <v>0</v>
      </c>
      <c r="BD67" s="282">
        <f t="shared" ref="BD67:BE67" si="54">BD107</f>
        <v>0</v>
      </c>
      <c r="BE67" s="282">
        <f t="shared" si="54"/>
        <v>0</v>
      </c>
    </row>
    <row r="68" spans="32:64" x14ac:dyDescent="0.2">
      <c r="AP68" s="204" t="s">
        <v>525</v>
      </c>
      <c r="AQ68" s="282">
        <f t="shared" si="1"/>
        <v>0</v>
      </c>
      <c r="AR68" s="282">
        <f t="shared" si="1"/>
        <v>0</v>
      </c>
      <c r="AS68" s="282">
        <f t="shared" si="1"/>
        <v>0</v>
      </c>
      <c r="AT68" s="282">
        <f t="shared" si="1"/>
        <v>0</v>
      </c>
      <c r="AU68" s="282">
        <f t="shared" si="1"/>
        <v>0</v>
      </c>
      <c r="AV68" s="282">
        <f t="shared" si="1"/>
        <v>0</v>
      </c>
      <c r="AW68" s="282">
        <f t="shared" si="1"/>
        <v>0</v>
      </c>
      <c r="AX68" s="282">
        <f t="shared" ref="AX68:BB68" si="55">AX108</f>
        <v>0</v>
      </c>
      <c r="AY68" s="282">
        <f t="shared" si="55"/>
        <v>0</v>
      </c>
      <c r="AZ68" s="282">
        <f t="shared" si="55"/>
        <v>0</v>
      </c>
      <c r="BA68" s="282">
        <f t="shared" si="55"/>
        <v>0</v>
      </c>
      <c r="BB68" s="282">
        <f t="shared" si="55"/>
        <v>0</v>
      </c>
      <c r="BC68" s="282">
        <f t="shared" si="45"/>
        <v>0</v>
      </c>
      <c r="BD68" s="282">
        <f t="shared" ref="BD68:BE68" si="56">BD108</f>
        <v>0</v>
      </c>
      <c r="BE68" s="282">
        <f t="shared" si="56"/>
        <v>0</v>
      </c>
    </row>
    <row r="69" spans="32:64" x14ac:dyDescent="0.2">
      <c r="AP69" s="202" t="s">
        <v>527</v>
      </c>
      <c r="AQ69" s="282">
        <f t="shared" si="1"/>
        <v>0</v>
      </c>
      <c r="AR69" s="282">
        <f t="shared" si="1"/>
        <v>0</v>
      </c>
      <c r="AS69" s="282">
        <f t="shared" si="1"/>
        <v>0</v>
      </c>
      <c r="AT69" s="282">
        <f t="shared" si="1"/>
        <v>0</v>
      </c>
      <c r="AU69" s="282">
        <f t="shared" si="1"/>
        <v>0</v>
      </c>
      <c r="AV69" s="282">
        <f t="shared" si="1"/>
        <v>0</v>
      </c>
      <c r="AW69" s="282">
        <f t="shared" si="1"/>
        <v>0</v>
      </c>
      <c r="AX69" s="282">
        <f t="shared" ref="AX69:BB69" si="57">AX109</f>
        <v>0</v>
      </c>
      <c r="AY69" s="282">
        <f t="shared" si="57"/>
        <v>0</v>
      </c>
      <c r="AZ69" s="282">
        <f t="shared" si="57"/>
        <v>0</v>
      </c>
      <c r="BA69" s="282">
        <f t="shared" si="57"/>
        <v>0</v>
      </c>
      <c r="BB69" s="282">
        <f t="shared" si="57"/>
        <v>0</v>
      </c>
      <c r="BC69" s="282">
        <f t="shared" si="45"/>
        <v>0</v>
      </c>
      <c r="BD69" s="282">
        <f t="shared" ref="BD69:BE69" si="58">BD109</f>
        <v>0</v>
      </c>
      <c r="BE69" s="282">
        <f t="shared" si="58"/>
        <v>0</v>
      </c>
    </row>
    <row r="70" spans="32:64" x14ac:dyDescent="0.2">
      <c r="AP70" s="204" t="s">
        <v>666</v>
      </c>
      <c r="AQ70" s="282">
        <f>AQ110</f>
        <v>0</v>
      </c>
      <c r="AR70" s="282">
        <f t="shared" ref="AR70:BB70" si="59">AR110</f>
        <v>0</v>
      </c>
      <c r="AS70" s="282">
        <f t="shared" si="59"/>
        <v>0</v>
      </c>
      <c r="AT70" s="282">
        <f t="shared" si="59"/>
        <v>0</v>
      </c>
      <c r="AU70" s="282">
        <f t="shared" si="59"/>
        <v>0</v>
      </c>
      <c r="AV70" s="282">
        <f t="shared" si="59"/>
        <v>0</v>
      </c>
      <c r="AW70" s="282">
        <f t="shared" si="59"/>
        <v>0</v>
      </c>
      <c r="AX70" s="282">
        <f t="shared" si="59"/>
        <v>0</v>
      </c>
      <c r="AY70" s="282">
        <f t="shared" si="59"/>
        <v>0</v>
      </c>
      <c r="AZ70" s="282">
        <f t="shared" si="59"/>
        <v>0</v>
      </c>
      <c r="BA70" s="282">
        <f t="shared" si="59"/>
        <v>0</v>
      </c>
      <c r="BB70" s="282">
        <f t="shared" si="59"/>
        <v>0</v>
      </c>
      <c r="BC70" s="282"/>
      <c r="BD70" s="282">
        <f t="shared" ref="BD70:BE70" si="60">BD110</f>
        <v>0</v>
      </c>
      <c r="BE70" s="282">
        <f t="shared" si="60"/>
        <v>0</v>
      </c>
    </row>
    <row r="71" spans="32:64" x14ac:dyDescent="0.2">
      <c r="AP71" s="204" t="s">
        <v>669</v>
      </c>
      <c r="AQ71" s="282">
        <f t="shared" si="1"/>
        <v>0</v>
      </c>
      <c r="AR71" s="282">
        <f t="shared" si="1"/>
        <v>0</v>
      </c>
      <c r="AS71" s="282">
        <f t="shared" si="1"/>
        <v>0</v>
      </c>
      <c r="AT71" s="282">
        <f t="shared" si="1"/>
        <v>0</v>
      </c>
      <c r="AU71" s="282">
        <f t="shared" si="1"/>
        <v>0</v>
      </c>
      <c r="AV71" s="282">
        <f t="shared" si="1"/>
        <v>0</v>
      </c>
      <c r="AW71" s="282">
        <f t="shared" si="1"/>
        <v>0</v>
      </c>
      <c r="AX71" s="282">
        <f t="shared" ref="AX71:BB71" si="61">AX111</f>
        <v>0</v>
      </c>
      <c r="AY71" s="282">
        <f t="shared" si="61"/>
        <v>0</v>
      </c>
      <c r="AZ71" s="282">
        <f t="shared" si="61"/>
        <v>0</v>
      </c>
      <c r="BA71" s="282">
        <f t="shared" si="61"/>
        <v>6.762841351465859</v>
      </c>
      <c r="BB71" s="282">
        <f t="shared" si="61"/>
        <v>0</v>
      </c>
      <c r="BC71" s="282">
        <f t="shared" ref="BC71" si="62">BC110</f>
        <v>45.085609009772398</v>
      </c>
      <c r="BD71" s="282">
        <f t="shared" ref="BD71:BE71" si="63">BD111</f>
        <v>0</v>
      </c>
      <c r="BE71" s="282">
        <f t="shared" si="63"/>
        <v>31.559926306840676</v>
      </c>
    </row>
    <row r="72" spans="32:64" x14ac:dyDescent="0.2">
      <c r="AP72" s="204" t="s">
        <v>550</v>
      </c>
      <c r="AQ72" s="282">
        <f t="shared" si="1"/>
        <v>0</v>
      </c>
      <c r="AR72" s="282">
        <f t="shared" si="1"/>
        <v>0</v>
      </c>
      <c r="AS72" s="282">
        <f t="shared" si="1"/>
        <v>0</v>
      </c>
      <c r="AT72" s="282">
        <f t="shared" si="1"/>
        <v>0</v>
      </c>
      <c r="AU72" s="282">
        <f t="shared" si="1"/>
        <v>0</v>
      </c>
      <c r="AV72" s="282">
        <f t="shared" si="1"/>
        <v>0</v>
      </c>
      <c r="AW72" s="282">
        <f t="shared" si="1"/>
        <v>0</v>
      </c>
      <c r="AX72" s="282">
        <f t="shared" ref="AX72:BB72" si="64">AX112</f>
        <v>0</v>
      </c>
      <c r="AY72" s="282">
        <f t="shared" si="64"/>
        <v>0</v>
      </c>
      <c r="AZ72" s="282">
        <f t="shared" si="64"/>
        <v>0</v>
      </c>
      <c r="BA72" s="282">
        <f t="shared" si="64"/>
        <v>0</v>
      </c>
      <c r="BB72" s="282">
        <f t="shared" si="64"/>
        <v>0</v>
      </c>
      <c r="BC72" s="282">
        <f t="shared" ref="BC72" si="65">BC111</f>
        <v>0</v>
      </c>
      <c r="BD72" s="282">
        <f t="shared" ref="BD72:BE72" si="66">BD112</f>
        <v>0</v>
      </c>
      <c r="BE72" s="282">
        <f t="shared" si="66"/>
        <v>1309.8157778632656</v>
      </c>
    </row>
    <row r="73" spans="32:64" x14ac:dyDescent="0.2">
      <c r="AP73" s="204" t="s">
        <v>551</v>
      </c>
      <c r="AQ73" s="282">
        <f t="shared" si="1"/>
        <v>0</v>
      </c>
      <c r="AR73" s="282">
        <f t="shared" si="1"/>
        <v>0</v>
      </c>
      <c r="AS73" s="282">
        <f t="shared" si="1"/>
        <v>0</v>
      </c>
      <c r="AT73" s="282">
        <f t="shared" si="1"/>
        <v>0</v>
      </c>
      <c r="AU73" s="282">
        <f t="shared" si="1"/>
        <v>0</v>
      </c>
      <c r="AV73" s="282">
        <f t="shared" si="1"/>
        <v>0</v>
      </c>
      <c r="AW73" s="282">
        <f t="shared" si="1"/>
        <v>0</v>
      </c>
      <c r="AX73" s="282">
        <f t="shared" ref="AX73:BB73" si="67">AX113</f>
        <v>0</v>
      </c>
      <c r="AY73" s="282">
        <f t="shared" si="67"/>
        <v>0</v>
      </c>
      <c r="AZ73" s="282">
        <f t="shared" si="67"/>
        <v>0</v>
      </c>
      <c r="BA73" s="282">
        <f t="shared" si="67"/>
        <v>0</v>
      </c>
      <c r="BB73" s="282">
        <f t="shared" si="67"/>
        <v>0</v>
      </c>
      <c r="BC73" s="282">
        <f t="shared" ref="BC73" si="68">BC112</f>
        <v>0</v>
      </c>
      <c r="BD73" s="282">
        <f t="shared" ref="BD73:BE73" si="69">BD113</f>
        <v>0</v>
      </c>
      <c r="BE73" s="282">
        <f t="shared" si="69"/>
        <v>0</v>
      </c>
    </row>
    <row r="74" spans="32:64" x14ac:dyDescent="0.2">
      <c r="AP74" s="204" t="s">
        <v>552</v>
      </c>
      <c r="AQ74" s="282">
        <f t="shared" si="1"/>
        <v>0</v>
      </c>
      <c r="AR74" s="282">
        <f t="shared" si="1"/>
        <v>0</v>
      </c>
      <c r="AS74" s="282">
        <f t="shared" si="1"/>
        <v>0</v>
      </c>
      <c r="AT74" s="282">
        <f t="shared" si="1"/>
        <v>0</v>
      </c>
      <c r="AU74" s="282">
        <f t="shared" si="1"/>
        <v>0</v>
      </c>
      <c r="AV74" s="282">
        <f t="shared" si="1"/>
        <v>0</v>
      </c>
      <c r="AW74" s="282">
        <f t="shared" si="1"/>
        <v>0</v>
      </c>
      <c r="AX74" s="282">
        <f t="shared" ref="AX74:BB74" si="70">AX114</f>
        <v>0</v>
      </c>
      <c r="AY74" s="282">
        <f t="shared" si="70"/>
        <v>0</v>
      </c>
      <c r="AZ74" s="282">
        <f t="shared" si="70"/>
        <v>0</v>
      </c>
      <c r="BA74" s="282">
        <f t="shared" si="70"/>
        <v>0</v>
      </c>
      <c r="BB74" s="282">
        <f t="shared" si="70"/>
        <v>0</v>
      </c>
      <c r="BC74" s="282">
        <f t="shared" ref="BC74" si="71">BC113</f>
        <v>0</v>
      </c>
      <c r="BD74" s="282">
        <f t="shared" ref="BD74:BE74" si="72">BD114</f>
        <v>0</v>
      </c>
      <c r="BE74" s="282">
        <f t="shared" si="72"/>
        <v>0</v>
      </c>
    </row>
    <row r="75" spans="32:64" x14ac:dyDescent="0.2">
      <c r="AP75" s="204" t="s">
        <v>563</v>
      </c>
      <c r="AQ75" s="282">
        <f t="shared" si="1"/>
        <v>0</v>
      </c>
      <c r="AR75" s="282">
        <f t="shared" si="1"/>
        <v>0</v>
      </c>
      <c r="AS75" s="282">
        <f t="shared" si="1"/>
        <v>0</v>
      </c>
      <c r="AT75" s="282">
        <f t="shared" si="1"/>
        <v>0</v>
      </c>
      <c r="AU75" s="282">
        <f t="shared" si="1"/>
        <v>0</v>
      </c>
      <c r="AV75" s="282">
        <f t="shared" si="1"/>
        <v>0</v>
      </c>
      <c r="AW75" s="282">
        <f t="shared" si="1"/>
        <v>0</v>
      </c>
      <c r="AX75" s="282">
        <f t="shared" ref="AX75:BB75" si="73">AX115</f>
        <v>0</v>
      </c>
      <c r="AY75" s="282">
        <f t="shared" si="73"/>
        <v>0</v>
      </c>
      <c r="AZ75" s="282">
        <f t="shared" si="73"/>
        <v>0</v>
      </c>
      <c r="BA75" s="282">
        <f t="shared" si="73"/>
        <v>0</v>
      </c>
      <c r="BB75" s="282">
        <f t="shared" si="73"/>
        <v>0</v>
      </c>
      <c r="BC75" s="282">
        <f t="shared" ref="BC75" si="74">BC114</f>
        <v>0</v>
      </c>
      <c r="BD75" s="282">
        <f t="shared" ref="BD75:BE75" si="75">BD115</f>
        <v>0</v>
      </c>
      <c r="BE75" s="282">
        <f t="shared" si="75"/>
        <v>0</v>
      </c>
    </row>
    <row r="76" spans="32:64" x14ac:dyDescent="0.2">
      <c r="AP76" s="204"/>
      <c r="AQ76" s="395" t="s">
        <v>578</v>
      </c>
      <c r="AR76" s="395"/>
      <c r="AS76" s="395"/>
      <c r="AT76" s="395"/>
      <c r="AU76" s="395"/>
      <c r="AV76" s="395"/>
      <c r="AW76" s="395"/>
      <c r="AX76" s="395"/>
      <c r="AY76" s="395"/>
      <c r="AZ76" s="395"/>
      <c r="BA76" s="395"/>
      <c r="BB76" s="395"/>
      <c r="BC76" s="395"/>
      <c r="BD76" s="395"/>
      <c r="BE76" s="395"/>
    </row>
    <row r="80" spans="32:64" ht="112" x14ac:dyDescent="0.2">
      <c r="AF80" s="202"/>
      <c r="AG80" s="202"/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 x14ac:dyDescent="0.2">
      <c r="AF81" s="202"/>
      <c r="AG81" s="202"/>
      <c r="AP81" s="202" t="s">
        <v>420</v>
      </c>
      <c r="AQ81" s="228">
        <f>'Ore-&gt;PI'!AN42</f>
        <v>1011.7674660019052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 t="shared" ref="BF81:BF115" si="76">SUM(AQ81:BE81)</f>
        <v>1011.7674660019052</v>
      </c>
      <c r="BJ81" s="202" t="s">
        <v>420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422</v>
      </c>
      <c r="AQ82" s="228"/>
      <c r="AR82" s="228">
        <f>'Ore-&gt;PI'!U126</f>
        <v>208.55560337725498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 t="shared" si="76"/>
        <v>208.55560337725498</v>
      </c>
      <c r="BJ82" s="202" t="s">
        <v>422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423</v>
      </c>
      <c r="AQ83" s="228"/>
      <c r="AR83" s="228"/>
      <c r="AS83" s="228" t="e">
        <f>'Ore-&gt;PI'!U206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si="76"/>
        <v>#REF!</v>
      </c>
      <c r="BJ83" s="202" t="s">
        <v>423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443</v>
      </c>
      <c r="AQ84" s="228">
        <f>'Ore-&gt;PI'!U72</f>
        <v>30.150427560669065</v>
      </c>
      <c r="AR84" s="228">
        <f>'Ore-&gt;PI'!U163</f>
        <v>9.0394269236644703E-2</v>
      </c>
      <c r="AS84" s="228" t="e">
        <f>'Ore-&gt;PI'!U236</f>
        <v>#REF!</v>
      </c>
      <c r="AT84" s="228"/>
      <c r="AU84" s="228"/>
      <c r="AV84" s="228"/>
      <c r="AW84" s="228"/>
      <c r="AX84" s="228"/>
      <c r="AY84" s="228"/>
      <c r="AZ84" s="228">
        <f>'Ore-&gt;PI'!CA140</f>
        <v>356076.147280448</v>
      </c>
      <c r="BA84" s="228" t="e">
        <f>'Ore-&gt;PI'!CA242</f>
        <v>#REF!</v>
      </c>
      <c r="BB84" s="228"/>
      <c r="BC84" s="228"/>
      <c r="BD84" s="228"/>
      <c r="BE84" s="241">
        <f>'Ore-&gt;PI'!EL140</f>
        <v>2432.9315137804706</v>
      </c>
      <c r="BF84" s="250" t="e">
        <f t="shared" si="76"/>
        <v>#REF!</v>
      </c>
      <c r="BJ84" s="202" t="s">
        <v>443</v>
      </c>
      <c r="BK84" s="242"/>
      <c r="BL84" s="242"/>
      <c r="BM84" s="250">
        <f t="shared" ref="BM84:BM88" si="77">SUM(BK84:BL84)</f>
        <v>0</v>
      </c>
    </row>
    <row r="85" spans="32:70" x14ac:dyDescent="0.2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'Ore-&gt;PI'!CA152</f>
        <v>20798.316475388398</v>
      </c>
      <c r="BA85" s="228" t="e">
        <f>'Ore-&gt;PI'!CA254</f>
        <v>#REF!</v>
      </c>
      <c r="BB85" s="228"/>
      <c r="BC85" s="228"/>
      <c r="BD85" s="228"/>
      <c r="BE85" s="228">
        <f>'Ore-&gt;PI'!EL114</f>
        <v>44.774669200794314</v>
      </c>
      <c r="BF85" s="250" t="e">
        <f t="shared" si="76"/>
        <v>#REF!</v>
      </c>
      <c r="BJ85" s="202" t="s">
        <v>473</v>
      </c>
      <c r="BK85" s="242"/>
      <c r="BL85" s="242"/>
      <c r="BM85" s="250">
        <f t="shared" si="77"/>
        <v>0</v>
      </c>
    </row>
    <row r="86" spans="32:70" x14ac:dyDescent="0.2">
      <c r="AF86" s="202"/>
      <c r="AG86" s="202"/>
      <c r="AP86" s="202" t="s">
        <v>572</v>
      </c>
      <c r="AQ86" s="228">
        <f>'Ore-&gt;PI'!U59</f>
        <v>2.0694989883749622</v>
      </c>
      <c r="AR86" s="228">
        <f>'Ore-&gt;PI'!U140</f>
        <v>5.671161105764883E-3</v>
      </c>
      <c r="AS86" s="228" t="e">
        <f>'Ore-&gt;PI'!U222</f>
        <v>#REF!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 t="e">
        <f t="shared" si="76"/>
        <v>#REF!</v>
      </c>
      <c r="BJ86" s="202" t="s">
        <v>572</v>
      </c>
      <c r="BK86" s="242"/>
      <c r="BL86" s="242"/>
      <c r="BM86" s="250">
        <f t="shared" si="77"/>
        <v>0</v>
      </c>
    </row>
    <row r="87" spans="32:70" x14ac:dyDescent="0.2">
      <c r="AF87" s="202"/>
      <c r="AG87" s="202"/>
      <c r="AP87" s="202" t="s">
        <v>573</v>
      </c>
      <c r="AQ87" s="228"/>
      <c r="AR87" s="228">
        <f>'Ore-&gt;PI'!U151</f>
        <v>5.1714158616864253E-4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76"/>
        <v>5.1714158616864253E-4</v>
      </c>
      <c r="BJ87" s="202" t="s">
        <v>573</v>
      </c>
      <c r="BK87" s="242"/>
      <c r="BL87" s="242"/>
      <c r="BM87" s="250">
        <f t="shared" si="77"/>
        <v>0</v>
      </c>
    </row>
    <row r="88" spans="32:70" x14ac:dyDescent="0.2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'Ore-&gt;PI'!EL101</f>
        <v>4.8979947555174279</v>
      </c>
      <c r="BF88" s="250">
        <f t="shared" si="76"/>
        <v>4.8979947555174279</v>
      </c>
      <c r="BJ88" s="202" t="s">
        <v>515</v>
      </c>
      <c r="BK88" s="242"/>
      <c r="BL88" s="242"/>
      <c r="BM88" s="250">
        <f t="shared" si="77"/>
        <v>0</v>
      </c>
    </row>
    <row r="89" spans="32:70" x14ac:dyDescent="0.2">
      <c r="AF89" s="244"/>
      <c r="AG89" s="244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76"/>
        <v>0</v>
      </c>
      <c r="BJ89" s="202" t="s">
        <v>565</v>
      </c>
      <c r="BK89" s="242"/>
      <c r="BL89" s="242"/>
      <c r="BM89" s="250">
        <f t="shared" ref="BM89:BM95" si="78">SUM(BK89:BL89)</f>
        <v>0</v>
      </c>
    </row>
    <row r="90" spans="32:70" ht="16" x14ac:dyDescent="0.2">
      <c r="AF90" s="203"/>
      <c r="AG90" s="203"/>
      <c r="AP90" s="203" t="s">
        <v>547</v>
      </c>
      <c r="AQ90" s="228"/>
      <c r="AR90" s="228"/>
      <c r="AS90" s="228"/>
      <c r="AT90" s="228">
        <f>'Ore-&gt;PI'!AN42</f>
        <v>1011.7674660019052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76"/>
        <v>1011.7674660019052</v>
      </c>
      <c r="BJ90" s="203" t="s">
        <v>547</v>
      </c>
      <c r="BK90" s="242"/>
      <c r="BL90" s="242"/>
      <c r="BM90" s="250">
        <f t="shared" si="78"/>
        <v>0</v>
      </c>
    </row>
    <row r="91" spans="32:70" x14ac:dyDescent="0.2">
      <c r="AF91" s="204"/>
      <c r="AG91" s="204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76"/>
        <v>0</v>
      </c>
      <c r="BJ91" s="202" t="s">
        <v>513</v>
      </c>
      <c r="BK91" s="242"/>
      <c r="BL91" s="242">
        <f>'Ore-&gt;PI'!AN63</f>
        <v>32.219926549044033</v>
      </c>
      <c r="BM91" s="250">
        <f t="shared" si="78"/>
        <v>32.219926549044033</v>
      </c>
    </row>
    <row r="92" spans="32:70" ht="16" x14ac:dyDescent="0.2">
      <c r="AF92" s="204"/>
      <c r="AG92" s="204"/>
      <c r="AP92" s="203" t="s">
        <v>516</v>
      </c>
      <c r="AQ92" s="228"/>
      <c r="AR92" s="228"/>
      <c r="AS92" s="228"/>
      <c r="AT92" s="228"/>
      <c r="AU92" s="228">
        <f>'Ore-&gt;PI'!AO126</f>
        <v>208.55560337725498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76"/>
        <v>208.55560337725498</v>
      </c>
      <c r="BJ92" s="203" t="s">
        <v>516</v>
      </c>
      <c r="BK92" s="242"/>
      <c r="BL92" s="246"/>
      <c r="BM92" s="250">
        <f t="shared" si="78"/>
        <v>0</v>
      </c>
    </row>
    <row r="93" spans="32:70" x14ac:dyDescent="0.2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76"/>
        <v>0</v>
      </c>
      <c r="BJ93" s="202" t="s">
        <v>542</v>
      </c>
      <c r="BK93" s="242"/>
      <c r="BL93" s="242">
        <f>'Ore-&gt;PI'!AO142</f>
        <v>9.658257192857822E-2</v>
      </c>
      <c r="BM93" s="250">
        <f t="shared" si="78"/>
        <v>9.658257192857822E-2</v>
      </c>
    </row>
    <row r="94" spans="32:70" x14ac:dyDescent="0.2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'Ore-&gt;PI'!AO206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76"/>
        <v>#REF!</v>
      </c>
      <c r="BJ94" s="204" t="s">
        <v>534</v>
      </c>
      <c r="BK94" s="242"/>
      <c r="BL94" s="242"/>
      <c r="BM94" s="250">
        <f t="shared" si="78"/>
        <v>0</v>
      </c>
    </row>
    <row r="95" spans="32:70" x14ac:dyDescent="0.2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76"/>
        <v>0</v>
      </c>
      <c r="BJ95" s="202" t="s">
        <v>520</v>
      </c>
      <c r="BK95" s="242"/>
      <c r="BL95" s="242" t="e">
        <f>'Ore-&gt;PI'!AO227</f>
        <v>#REF!</v>
      </c>
      <c r="BM95" s="250" t="e">
        <f t="shared" si="78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'Ore-&gt;PI'!BG42</f>
        <v>1011.7674660019052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76"/>
        <v>1011.7674660019052</v>
      </c>
      <c r="BJ96" s="203" t="s">
        <v>546</v>
      </c>
      <c r="BK96" s="242"/>
      <c r="BL96" s="242"/>
      <c r="BM96" s="250">
        <f t="shared" ref="BM96:BM115" si="79">SUM(BK96:BL96)</f>
        <v>0</v>
      </c>
    </row>
    <row r="97" spans="32:65" ht="16" x14ac:dyDescent="0.2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'Ore-&gt;PI'!BH126</f>
        <v>208.55560337725498</v>
      </c>
      <c r="AY97" s="228"/>
      <c r="AZ97" s="228"/>
      <c r="BA97" s="228"/>
      <c r="BB97" s="228"/>
      <c r="BC97" s="228"/>
      <c r="BD97" s="228"/>
      <c r="BE97" s="228"/>
      <c r="BF97" s="250">
        <f t="shared" si="76"/>
        <v>208.55560337725498</v>
      </c>
      <c r="BJ97" s="203" t="s">
        <v>541</v>
      </c>
      <c r="BK97" s="242"/>
      <c r="BL97" s="242"/>
      <c r="BM97" s="250">
        <f t="shared" si="79"/>
        <v>0</v>
      </c>
    </row>
    <row r="98" spans="32:65" ht="16" x14ac:dyDescent="0.2">
      <c r="AF98" s="251"/>
      <c r="AG98" s="251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'Ore-&gt;PI'!BH206</f>
        <v>#REF!</v>
      </c>
      <c r="AZ98" s="228"/>
      <c r="BA98" s="228"/>
      <c r="BB98" s="228"/>
      <c r="BC98" s="228"/>
      <c r="BD98" s="228"/>
      <c r="BE98" s="228"/>
      <c r="BF98" s="250" t="e">
        <f t="shared" si="76"/>
        <v>#REF!</v>
      </c>
      <c r="BJ98" s="203" t="s">
        <v>538</v>
      </c>
      <c r="BK98" s="242"/>
      <c r="BL98" s="242"/>
      <c r="BM98" s="250">
        <f t="shared" si="79"/>
        <v>0</v>
      </c>
    </row>
    <row r="99" spans="32:65" ht="16" x14ac:dyDescent="0.2">
      <c r="AF99" s="204"/>
      <c r="AG99" s="204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'Ore-&gt;PI'!BZ42</f>
        <v>1000.0000000000001</v>
      </c>
      <c r="BE99" s="228"/>
      <c r="BF99" s="250">
        <f t="shared" si="76"/>
        <v>1000.0000000000001</v>
      </c>
      <c r="BG99" s="25"/>
      <c r="BH99" s="25"/>
      <c r="BJ99" s="203" t="s">
        <v>544</v>
      </c>
      <c r="BK99" s="242"/>
      <c r="BL99" s="242"/>
      <c r="BM99" s="250">
        <f t="shared" si="79"/>
        <v>0</v>
      </c>
    </row>
    <row r="100" spans="32:65" x14ac:dyDescent="0.2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76"/>
        <v>0</v>
      </c>
      <c r="BJ100" s="204" t="s">
        <v>543</v>
      </c>
      <c r="BK100" s="242"/>
      <c r="BL100" s="242">
        <f>Beneficiation_Iron_waste</f>
        <v>11.767466001905108</v>
      </c>
      <c r="BM100" s="250">
        <f t="shared" si="79"/>
        <v>11.767466001905108</v>
      </c>
    </row>
    <row r="101" spans="32:65" x14ac:dyDescent="0.2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'Ore-&gt;PI'!CA126</f>
        <v>208.55560337725498</v>
      </c>
      <c r="BA101" s="228"/>
      <c r="BB101" s="228"/>
      <c r="BC101" s="228"/>
      <c r="BD101" s="228"/>
      <c r="BE101" s="228"/>
      <c r="BF101" s="250">
        <f t="shared" si="76"/>
        <v>208.55560337725498</v>
      </c>
      <c r="BJ101" s="204" t="s">
        <v>528</v>
      </c>
      <c r="BK101" s="242"/>
      <c r="BL101" s="242"/>
      <c r="BM101" s="250">
        <f t="shared" si="79"/>
        <v>0</v>
      </c>
    </row>
    <row r="102" spans="32:65" x14ac:dyDescent="0.2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 t="e">
        <f>'Ore-&gt;PI'!CA206</f>
        <v>#REF!</v>
      </c>
      <c r="BB102" s="228"/>
      <c r="BC102" s="228"/>
      <c r="BD102" s="228"/>
      <c r="BE102" s="228"/>
      <c r="BF102" s="250" t="e">
        <f t="shared" si="76"/>
        <v>#REF!</v>
      </c>
      <c r="BJ102" s="204" t="s">
        <v>562</v>
      </c>
      <c r="BK102" s="242"/>
      <c r="BL102" s="242"/>
      <c r="BM102" s="250">
        <f t="shared" si="79"/>
        <v>0</v>
      </c>
    </row>
    <row r="103" spans="32:65" x14ac:dyDescent="0.2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'Ore-&gt;PI'!CV126</f>
        <v>111.00813284002646</v>
      </c>
      <c r="BE103" s="228"/>
      <c r="BF103" s="250">
        <f t="shared" si="76"/>
        <v>111.00813284002646</v>
      </c>
      <c r="BJ103" s="204" t="s">
        <v>529</v>
      </c>
      <c r="BK103" s="242"/>
      <c r="BL103" s="242"/>
      <c r="BM103" s="250">
        <f t="shared" si="79"/>
        <v>0</v>
      </c>
    </row>
    <row r="104" spans="32:65" x14ac:dyDescent="0.2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76"/>
        <v>0</v>
      </c>
      <c r="BJ104" s="204" t="s">
        <v>531</v>
      </c>
      <c r="BK104" s="242"/>
      <c r="BL104" s="242">
        <f>Kiln_SolidWaste</f>
        <v>4.9847525450981189</v>
      </c>
      <c r="BM104" s="250">
        <f t="shared" si="79"/>
        <v>4.9847525450981189</v>
      </c>
    </row>
    <row r="105" spans="32:65" x14ac:dyDescent="0.2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76"/>
        <v>0</v>
      </c>
      <c r="BJ105" s="204" t="s">
        <v>530</v>
      </c>
      <c r="BK105" s="242"/>
      <c r="BL105" s="242">
        <f>'Ore-&gt;PI'!CV138</f>
        <v>376967.02647382859</v>
      </c>
      <c r="BM105" s="250">
        <f t="shared" si="79"/>
        <v>376967.02647382859</v>
      </c>
    </row>
    <row r="106" spans="32:65" x14ac:dyDescent="0.2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'Ore-&gt;PI'!CV206</f>
        <v>198.80764502323905</v>
      </c>
      <c r="BE106" s="228"/>
      <c r="BF106" s="250">
        <f t="shared" si="76"/>
        <v>198.80764502323905</v>
      </c>
      <c r="BJ106" s="204" t="s">
        <v>627</v>
      </c>
      <c r="BK106" s="242"/>
      <c r="BL106" s="242"/>
      <c r="BM106" s="250">
        <f t="shared" si="79"/>
        <v>0</v>
      </c>
    </row>
    <row r="107" spans="32:65" ht="16" x14ac:dyDescent="0.2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 t="e">
        <f>'Ore-&gt;PI'!CV233</f>
        <v>#REF!</v>
      </c>
      <c r="BC107" s="228"/>
      <c r="BD107" s="228"/>
      <c r="BE107" s="228"/>
      <c r="BF107" s="250" t="e">
        <f t="shared" si="76"/>
        <v>#REF!</v>
      </c>
      <c r="BJ107" s="251" t="s">
        <v>526</v>
      </c>
      <c r="BK107" s="242"/>
      <c r="BL107" s="242"/>
      <c r="BM107" s="250">
        <f t="shared" si="79"/>
        <v>0</v>
      </c>
    </row>
    <row r="108" spans="32:65" x14ac:dyDescent="0.2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76"/>
        <v>0</v>
      </c>
      <c r="BJ108" s="204" t="s">
        <v>525</v>
      </c>
      <c r="BK108" s="242"/>
      <c r="BL108" s="242" t="e">
        <f>Beneficiation_CoalWaste</f>
        <v>#REF!</v>
      </c>
      <c r="BM108" s="250" t="e">
        <f t="shared" si="79"/>
        <v>#REF!</v>
      </c>
    </row>
    <row r="109" spans="32:65" x14ac:dyDescent="0.2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76"/>
        <v>0</v>
      </c>
      <c r="BJ109" s="202" t="s">
        <v>527</v>
      </c>
      <c r="BK109" s="242"/>
      <c r="BL109" s="242" t="e">
        <f>'Ore-&gt;PI'!CV250</f>
        <v>#REF!</v>
      </c>
      <c r="BM109" s="250" t="e">
        <f t="shared" si="79"/>
        <v>#REF!</v>
      </c>
    </row>
    <row r="110" spans="32:65" x14ac:dyDescent="0.2">
      <c r="AF110" s="204"/>
      <c r="AG110" s="204"/>
      <c r="AP110" s="204" t="s">
        <v>523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'Ore-&gt;PI'!$DP$233</f>
        <v>45.085609009772398</v>
      </c>
      <c r="BD110" s="228"/>
      <c r="BE110" s="241"/>
      <c r="BF110" s="250">
        <f t="shared" si="76"/>
        <v>45.085609009772398</v>
      </c>
      <c r="BJ110" s="204" t="s">
        <v>666</v>
      </c>
      <c r="BK110" s="242"/>
      <c r="BL110" s="242"/>
      <c r="BM110" s="250">
        <f t="shared" si="79"/>
        <v>0</v>
      </c>
    </row>
    <row r="111" spans="32:65" x14ac:dyDescent="0.2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'Ore-&gt;PI'!$CA$225</f>
        <v>6.762841351465859</v>
      </c>
      <c r="BB111" s="228"/>
      <c r="BC111" s="228"/>
      <c r="BD111" s="228"/>
      <c r="BE111" s="241">
        <f>'Ore-&gt;PI'!$EL$152</f>
        <v>31.559926306840676</v>
      </c>
      <c r="BF111" s="250">
        <f t="shared" si="76"/>
        <v>38.322767658306532</v>
      </c>
      <c r="BJ111" s="204" t="s">
        <v>669</v>
      </c>
      <c r="BK111" s="242">
        <f>'Ore-&gt;PI'!$FF$233</f>
        <v>6.762841351465859</v>
      </c>
      <c r="BL111" s="242"/>
      <c r="BM111" s="250">
        <f t="shared" si="79"/>
        <v>6.762841351465859</v>
      </c>
    </row>
    <row r="112" spans="32:65" x14ac:dyDescent="0.2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'Ore-&gt;PI'!EL126</f>
        <v>1309.8157778632656</v>
      </c>
      <c r="BF112" s="250">
        <f t="shared" si="76"/>
        <v>1309.8157778632656</v>
      </c>
      <c r="BJ112" s="204" t="s">
        <v>550</v>
      </c>
      <c r="BK112" s="242"/>
      <c r="BL112" s="242"/>
      <c r="BM112" s="250">
        <f t="shared" si="79"/>
        <v>0</v>
      </c>
    </row>
    <row r="113" spans="2:65" x14ac:dyDescent="0.2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76"/>
        <v>0</v>
      </c>
      <c r="BJ113" s="204" t="s">
        <v>551</v>
      </c>
      <c r="BK113" s="242">
        <f>'Ore-&gt;PI'!FL126</f>
        <v>616.23583583508366</v>
      </c>
      <c r="BL113" s="242"/>
      <c r="BM113" s="250">
        <f t="shared" si="79"/>
        <v>616.23583583508366</v>
      </c>
    </row>
    <row r="114" spans="2:65" x14ac:dyDescent="0.2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76"/>
        <v>0</v>
      </c>
      <c r="BJ114" s="204" t="s">
        <v>552</v>
      </c>
      <c r="BK114" s="242"/>
      <c r="BL114" s="242">
        <f>'Ore-&gt;PI'!FL141</f>
        <v>2977.7959132317783</v>
      </c>
      <c r="BM114" s="250">
        <f t="shared" si="79"/>
        <v>2977.7959132317783</v>
      </c>
    </row>
    <row r="115" spans="2:65" x14ac:dyDescent="0.2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76"/>
        <v>0</v>
      </c>
      <c r="BJ115" s="204" t="s">
        <v>563</v>
      </c>
      <c r="BK115" s="242"/>
      <c r="BL115" s="242">
        <f>BF_SolidWaste</f>
        <v>229.94813284002646</v>
      </c>
      <c r="BM115" s="250">
        <f t="shared" si="79"/>
        <v>229.94813284002646</v>
      </c>
    </row>
    <row r="116" spans="2:65" x14ac:dyDescent="0.2">
      <c r="AF116" s="204"/>
      <c r="AG116" s="204"/>
      <c r="AP116" s="204"/>
      <c r="AQ116" s="395" t="s">
        <v>415</v>
      </c>
      <c r="AR116" s="395"/>
      <c r="AS116" s="395"/>
      <c r="AT116" s="395"/>
      <c r="AU116" s="395"/>
      <c r="AV116" s="395"/>
      <c r="AW116" s="395"/>
      <c r="AX116" s="395"/>
      <c r="AY116" s="395"/>
      <c r="AZ116" s="395"/>
      <c r="BA116" s="395"/>
      <c r="BB116" s="395"/>
      <c r="BC116" s="395"/>
      <c r="BD116" s="395"/>
      <c r="BE116" s="395"/>
      <c r="BF116" s="25" t="s">
        <v>465</v>
      </c>
      <c r="BK116" s="395" t="s">
        <v>417</v>
      </c>
      <c r="BL116" s="395"/>
      <c r="BM116" s="25" t="s">
        <v>480</v>
      </c>
    </row>
    <row r="117" spans="2:65" x14ac:dyDescent="0.2">
      <c r="AF117" s="204"/>
      <c r="AG117" s="204"/>
      <c r="AP117" s="204"/>
      <c r="AQ117" s="250">
        <f t="shared" ref="AQ117:BE117" si="80">SUM(AQ81:AQ115)</f>
        <v>1043.9873925509492</v>
      </c>
      <c r="AR117" s="250">
        <f t="shared" si="80"/>
        <v>208.65218594918355</v>
      </c>
      <c r="AS117" s="250" t="e">
        <f t="shared" si="80"/>
        <v>#REF!</v>
      </c>
      <c r="AT117" s="250">
        <f t="shared" si="80"/>
        <v>1011.7674660019052</v>
      </c>
      <c r="AU117" s="250">
        <f t="shared" si="80"/>
        <v>208.55560337725498</v>
      </c>
      <c r="AV117" s="250" t="e">
        <f t="shared" si="80"/>
        <v>#REF!</v>
      </c>
      <c r="AW117" s="250">
        <f t="shared" si="80"/>
        <v>1011.7674660019052</v>
      </c>
      <c r="AX117" s="250">
        <f t="shared" si="80"/>
        <v>208.55560337725498</v>
      </c>
      <c r="AY117" s="250" t="e">
        <f t="shared" si="80"/>
        <v>#REF!</v>
      </c>
      <c r="AZ117" s="250">
        <f t="shared" si="80"/>
        <v>377083.01935921365</v>
      </c>
      <c r="BA117" s="250" t="e">
        <f t="shared" si="80"/>
        <v>#REF!</v>
      </c>
      <c r="BB117" s="250" t="e">
        <f t="shared" si="80"/>
        <v>#REF!</v>
      </c>
      <c r="BC117" s="250">
        <f t="shared" si="80"/>
        <v>45.085609009772398</v>
      </c>
      <c r="BD117" s="250">
        <f t="shared" si="80"/>
        <v>1309.8157778632656</v>
      </c>
      <c r="BE117" s="250">
        <f t="shared" si="80"/>
        <v>3823.9798819068892</v>
      </c>
      <c r="BF117" s="25"/>
      <c r="BK117" s="25"/>
      <c r="BL117" s="25"/>
      <c r="BM117" s="25"/>
    </row>
    <row r="118" spans="2:65" x14ac:dyDescent="0.2">
      <c r="AF118" s="204"/>
      <c r="AG118" s="204"/>
      <c r="AP118" s="204"/>
      <c r="AQ118" s="395" t="s">
        <v>464</v>
      </c>
      <c r="AR118" s="395"/>
      <c r="AS118" s="395"/>
      <c r="AT118" s="395"/>
      <c r="AU118" s="395"/>
      <c r="AV118" s="395"/>
      <c r="AW118" s="395"/>
      <c r="AX118" s="395"/>
      <c r="AY118" s="395"/>
      <c r="AZ118" s="395"/>
      <c r="BA118" s="395"/>
      <c r="BB118" s="395"/>
      <c r="BC118" s="395"/>
      <c r="BD118" s="395"/>
      <c r="BE118" s="395"/>
      <c r="BF118" s="25"/>
      <c r="BK118" s="25"/>
      <c r="BL118" s="25"/>
      <c r="BM118" s="25"/>
    </row>
    <row r="119" spans="2:65" ht="13" customHeight="1" x14ac:dyDescent="0.2">
      <c r="C119" s="396"/>
      <c r="D119" s="396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04"/>
      <c r="AG119" s="204"/>
      <c r="AH119" s="231"/>
      <c r="AI119" s="231"/>
      <c r="AJ119" s="231"/>
      <c r="AK119" s="231"/>
      <c r="AL119" s="231"/>
      <c r="AM119" s="231"/>
      <c r="AN119" s="231"/>
      <c r="AP119" s="204"/>
      <c r="BK119" s="25"/>
      <c r="BL119" s="25"/>
      <c r="BM119" s="25"/>
    </row>
    <row r="120" spans="2:65" ht="236" x14ac:dyDescent="0.2">
      <c r="B120" s="238"/>
      <c r="C120" s="205" t="s">
        <v>420</v>
      </c>
      <c r="D120" s="205" t="s">
        <v>422</v>
      </c>
      <c r="E120" s="205" t="s">
        <v>423</v>
      </c>
      <c r="F120" s="205" t="s">
        <v>443</v>
      </c>
      <c r="G120" s="205" t="s">
        <v>473</v>
      </c>
      <c r="H120" s="205" t="s">
        <v>511</v>
      </c>
      <c r="I120" s="205" t="s">
        <v>572</v>
      </c>
      <c r="J120" s="205" t="s">
        <v>573</v>
      </c>
      <c r="K120" s="205" t="s">
        <v>565</v>
      </c>
      <c r="L120" s="207" t="s">
        <v>547</v>
      </c>
      <c r="M120" s="205" t="s">
        <v>513</v>
      </c>
      <c r="N120" s="207" t="s">
        <v>516</v>
      </c>
      <c r="O120" s="205" t="s">
        <v>542</v>
      </c>
      <c r="P120" s="208" t="s">
        <v>534</v>
      </c>
      <c r="Q120" s="205" t="s">
        <v>520</v>
      </c>
      <c r="R120" s="207" t="s">
        <v>546</v>
      </c>
      <c r="S120" s="207" t="s">
        <v>541</v>
      </c>
      <c r="T120" s="207" t="s">
        <v>538</v>
      </c>
      <c r="U120" s="207" t="s">
        <v>544</v>
      </c>
      <c r="V120" s="208" t="s">
        <v>543</v>
      </c>
      <c r="W120" s="208" t="s">
        <v>528</v>
      </c>
      <c r="X120" s="208" t="s">
        <v>562</v>
      </c>
      <c r="Y120" s="208" t="s">
        <v>529</v>
      </c>
      <c r="Z120" s="208" t="s">
        <v>531</v>
      </c>
      <c r="AA120" s="208" t="s">
        <v>530</v>
      </c>
      <c r="AB120" s="208" t="s">
        <v>627</v>
      </c>
      <c r="AC120" s="230" t="s">
        <v>526</v>
      </c>
      <c r="AD120" s="208" t="s">
        <v>525</v>
      </c>
      <c r="AE120" s="205" t="s">
        <v>527</v>
      </c>
      <c r="AF120" s="208" t="s">
        <v>666</v>
      </c>
      <c r="AG120" s="208" t="s">
        <v>669</v>
      </c>
      <c r="AH120" s="208" t="s">
        <v>550</v>
      </c>
      <c r="AI120" s="208" t="s">
        <v>551</v>
      </c>
      <c r="AJ120" s="208" t="s">
        <v>552</v>
      </c>
      <c r="AK120" s="208" t="s">
        <v>563</v>
      </c>
      <c r="AP120" s="204"/>
      <c r="BK120" s="25"/>
      <c r="BL120" s="25"/>
    </row>
    <row r="121" spans="2:65" x14ac:dyDescent="0.2">
      <c r="B121" s="202" t="s">
        <v>412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>
        <f>'Ore-&gt;PI'!U42</f>
        <v>1011.7674660019052</v>
      </c>
      <c r="M121" s="228">
        <f>'Ore-&gt;PI'!$AN$63</f>
        <v>32.219926549044033</v>
      </c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1043.9873925509492</v>
      </c>
      <c r="BK121" s="25"/>
      <c r="BL121" s="25"/>
    </row>
    <row r="122" spans="2:65" x14ac:dyDescent="0.2">
      <c r="B122" s="202" t="s">
        <v>413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>
        <f>'Ore-&gt;PI'!AO126</f>
        <v>208.55560337725498</v>
      </c>
      <c r="O122" s="228">
        <f>'Ore-&gt;PI'!$AO$142</f>
        <v>9.658257192857822E-2</v>
      </c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>
        <f>SUM(C122:AK122)</f>
        <v>208.65218594918355</v>
      </c>
    </row>
    <row r="123" spans="2:65" x14ac:dyDescent="0.2">
      <c r="B123" s="202" t="s">
        <v>414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 t="e">
        <f>'Ore-&gt;PI'!$AO$206</f>
        <v>#REF!</v>
      </c>
      <c r="Q123" s="228" t="e">
        <f>'Ore-&gt;PI'!$AO$227</f>
        <v>#REF!</v>
      </c>
      <c r="R123" s="228"/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 t="e">
        <f t="shared" ref="AL123:AL135" si="81">SUM(C123:AK123)</f>
        <v>#REF!</v>
      </c>
    </row>
    <row r="124" spans="2:65" x14ac:dyDescent="0.2">
      <c r="B124" s="202" t="s">
        <v>561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>
        <f>'Ore-&gt;PI'!$BG$42</f>
        <v>1011.7674660019052</v>
      </c>
      <c r="S124" s="228"/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81"/>
        <v>1011.7674660019052</v>
      </c>
    </row>
    <row r="125" spans="2:65" x14ac:dyDescent="0.2">
      <c r="B125" s="202" t="s">
        <v>540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>
        <f>'Ore-&gt;PI'!$BH$126</f>
        <v>208.55560337725498</v>
      </c>
      <c r="T125" s="228"/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539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 t="e">
        <f>'Ore-&gt;PI'!$BH$206</f>
        <v>#REF!</v>
      </c>
      <c r="U126" s="228"/>
      <c r="V126" s="228"/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 t="e">
        <f t="shared" si="81"/>
        <v>#REF!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439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>
        <f>'Ore-&gt;PI'!$BZ$42</f>
        <v>1000.0000000000001</v>
      </c>
      <c r="V127" s="228">
        <f>Beneficiation_Iron_waste</f>
        <v>11.767466001905108</v>
      </c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436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>
        <f>'Ore-&gt;PI'!$CA$126</f>
        <v>208.55560337725498</v>
      </c>
      <c r="X128" s="228"/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454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 t="e">
        <f>'Ore-&gt;PI'!$CA$206</f>
        <v>#REF!</v>
      </c>
      <c r="Y129" s="228"/>
      <c r="Z129" s="228"/>
      <c r="AA129" s="228"/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 t="e">
        <f t="shared" si="81"/>
        <v>#REF!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437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>
        <f>'Ore-&gt;PI'!$CV$126</f>
        <v>111.00813284002646</v>
      </c>
      <c r="Z130" s="228">
        <f>Kiln_SolidWaste</f>
        <v>4.9847525450981189</v>
      </c>
      <c r="AA130" s="228">
        <f>'Ore-&gt;PI'!$CV$138</f>
        <v>376967.02647382859</v>
      </c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50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432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>
        <f>'Ore-&gt;PI'!$CV$206</f>
        <v>198.80764502323905</v>
      </c>
      <c r="AC131" s="228" t="e">
        <f>'Ore-&gt;PI'!$CV$233</f>
        <v>#REF!</v>
      </c>
      <c r="AD131" s="228" t="e">
        <f>Beneficiation_CoalWaste</f>
        <v>#REF!</v>
      </c>
      <c r="AE131" s="228" t="e">
        <f>'Ore-&gt;PI'!$CV$250</f>
        <v>#REF!</v>
      </c>
      <c r="AF131" s="228"/>
      <c r="AG131" s="228"/>
      <c r="AH131" s="228"/>
      <c r="AI131" s="228"/>
      <c r="AJ131" s="228"/>
      <c r="AK131" s="228"/>
      <c r="AL131" s="250" t="e">
        <f t="shared" si="81"/>
        <v>#REF!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2" t="s">
        <v>665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>
        <f>'Ore-&gt;PI'!$DP$233</f>
        <v>45.085609009772398</v>
      </c>
      <c r="AG132" s="228"/>
      <c r="AH132" s="228"/>
      <c r="AI132" s="228"/>
      <c r="AJ132" s="228"/>
      <c r="AK132" s="228"/>
      <c r="AL132" s="250">
        <f t="shared" si="81"/>
        <v>45.085609009772398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2" t="s">
        <v>668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28"/>
      <c r="AF133" s="228"/>
      <c r="AG133" s="228">
        <f>'Ore-&gt;PI'!$EK$233</f>
        <v>45.085609009772398</v>
      </c>
      <c r="AH133" s="228"/>
      <c r="AI133" s="228"/>
      <c r="AJ133" s="228"/>
      <c r="AK133" s="228"/>
      <c r="AL133" s="250">
        <f t="shared" si="81"/>
        <v>45.085609009772398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2" t="s">
        <v>81</v>
      </c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28"/>
      <c r="AB134" s="228"/>
      <c r="AC134" s="228"/>
      <c r="AD134" s="228"/>
      <c r="AE134" s="241"/>
      <c r="AF134" s="228"/>
      <c r="AG134" s="228"/>
      <c r="AH134" s="241">
        <f>'Ore-&gt;PI'!$EL$126</f>
        <v>1309.8157778632656</v>
      </c>
      <c r="AI134" s="228"/>
      <c r="AJ134" s="228"/>
      <c r="AK134" s="228"/>
      <c r="AL134" s="250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2" t="s">
        <v>424</v>
      </c>
      <c r="C135" s="228"/>
      <c r="D135" s="228"/>
      <c r="E135" s="228"/>
      <c r="F135" s="241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  <c r="AA135" s="245"/>
      <c r="AB135" s="228"/>
      <c r="AC135" s="228"/>
      <c r="AD135" s="228"/>
      <c r="AE135" s="228"/>
      <c r="AF135" s="228"/>
      <c r="AG135" s="228"/>
      <c r="AH135" s="228"/>
      <c r="AI135" s="228">
        <f>'Ore-&gt;PI'!$FL$126</f>
        <v>616.23583583508366</v>
      </c>
      <c r="AJ135" s="228">
        <f>'Ore-&gt;PI'!$FL$141</f>
        <v>2977.7959132317783</v>
      </c>
      <c r="AK135" s="228">
        <f>BF_SolidWaste</f>
        <v>229.94813284002646</v>
      </c>
      <c r="AL135" s="250">
        <f t="shared" si="81"/>
        <v>3823.9798819068887</v>
      </c>
    </row>
    <row r="136" spans="2:64" x14ac:dyDescent="0.2">
      <c r="B136" s="202"/>
      <c r="C136" s="395" t="s">
        <v>416</v>
      </c>
      <c r="D136" s="395"/>
      <c r="E136" s="395"/>
      <c r="F136" s="395"/>
      <c r="G136" s="395"/>
      <c r="H136" s="395"/>
      <c r="I136" s="395"/>
      <c r="J136" s="395"/>
      <c r="K136" s="395"/>
      <c r="L136" s="395"/>
      <c r="M136" s="395"/>
      <c r="N136" s="395"/>
      <c r="O136" s="395"/>
      <c r="P136" s="395"/>
      <c r="Q136" s="395"/>
      <c r="R136" s="395"/>
      <c r="S136" s="395"/>
      <c r="T136" s="395"/>
      <c r="U136" s="395"/>
      <c r="V136" s="395"/>
      <c r="W136" s="395"/>
      <c r="X136" s="395"/>
      <c r="Y136" s="395"/>
      <c r="Z136" s="395"/>
      <c r="AA136" s="395"/>
      <c r="AB136" s="395"/>
      <c r="AC136" s="395"/>
      <c r="AD136" s="395"/>
      <c r="AE136" s="395"/>
      <c r="AF136" s="395"/>
      <c r="AG136" s="395"/>
      <c r="AH136" s="395"/>
      <c r="AI136" s="395"/>
      <c r="AJ136" s="395"/>
      <c r="AK136" s="395"/>
      <c r="AL136" s="25" t="s">
        <v>461</v>
      </c>
      <c r="AM136" s="25"/>
    </row>
    <row r="137" spans="2:64" x14ac:dyDescent="0.2">
      <c r="B137" s="202"/>
      <c r="C137" s="250">
        <f t="shared" ref="C137:AK137" si="82">SUM(C121:C135)</f>
        <v>0</v>
      </c>
      <c r="D137" s="250">
        <f t="shared" si="82"/>
        <v>0</v>
      </c>
      <c r="E137" s="250">
        <f t="shared" si="82"/>
        <v>0</v>
      </c>
      <c r="F137" s="250">
        <f t="shared" si="82"/>
        <v>0</v>
      </c>
      <c r="G137" s="250">
        <f t="shared" si="82"/>
        <v>0</v>
      </c>
      <c r="H137" s="250">
        <f t="shared" si="82"/>
        <v>0</v>
      </c>
      <c r="I137" s="250">
        <f t="shared" si="82"/>
        <v>0</v>
      </c>
      <c r="J137" s="250">
        <f t="shared" si="82"/>
        <v>0</v>
      </c>
      <c r="K137" s="250">
        <f t="shared" si="82"/>
        <v>0</v>
      </c>
      <c r="L137" s="250">
        <f t="shared" si="82"/>
        <v>1011.7674660019052</v>
      </c>
      <c r="M137" s="250">
        <f t="shared" si="82"/>
        <v>32.219926549044033</v>
      </c>
      <c r="N137" s="250">
        <f t="shared" si="82"/>
        <v>208.55560337725498</v>
      </c>
      <c r="O137" s="250">
        <f t="shared" si="82"/>
        <v>9.658257192857822E-2</v>
      </c>
      <c r="P137" s="250" t="e">
        <f t="shared" si="82"/>
        <v>#REF!</v>
      </c>
      <c r="Q137" s="250" t="e">
        <f t="shared" si="82"/>
        <v>#REF!</v>
      </c>
      <c r="R137" s="250">
        <f t="shared" si="82"/>
        <v>1011.7674660019052</v>
      </c>
      <c r="S137" s="250">
        <f t="shared" si="82"/>
        <v>208.55560337725498</v>
      </c>
      <c r="T137" s="250" t="e">
        <f t="shared" si="82"/>
        <v>#REF!</v>
      </c>
      <c r="U137" s="250">
        <f t="shared" si="82"/>
        <v>1000.0000000000001</v>
      </c>
      <c r="V137" s="250">
        <f t="shared" si="82"/>
        <v>11.767466001905108</v>
      </c>
      <c r="W137" s="250">
        <f t="shared" si="82"/>
        <v>208.55560337725498</v>
      </c>
      <c r="X137" s="250" t="e">
        <f t="shared" si="82"/>
        <v>#REF!</v>
      </c>
      <c r="Y137" s="250">
        <f t="shared" si="82"/>
        <v>111.00813284002646</v>
      </c>
      <c r="Z137" s="250">
        <f t="shared" si="82"/>
        <v>4.9847525450981189</v>
      </c>
      <c r="AA137" s="250">
        <f t="shared" si="82"/>
        <v>376967.02647382859</v>
      </c>
      <c r="AB137" s="250">
        <f t="shared" si="82"/>
        <v>198.80764502323905</v>
      </c>
      <c r="AC137" s="250" t="e">
        <f t="shared" si="82"/>
        <v>#REF!</v>
      </c>
      <c r="AD137" s="250" t="e">
        <f t="shared" si="82"/>
        <v>#REF!</v>
      </c>
      <c r="AE137" s="250" t="e">
        <f t="shared" si="82"/>
        <v>#REF!</v>
      </c>
      <c r="AF137" s="250">
        <f t="shared" si="82"/>
        <v>45.085609009772398</v>
      </c>
      <c r="AG137" s="250">
        <f t="shared" si="82"/>
        <v>45.085609009772398</v>
      </c>
      <c r="AH137" s="250">
        <f t="shared" si="82"/>
        <v>1309.8157778632656</v>
      </c>
      <c r="AI137" s="250">
        <f t="shared" si="82"/>
        <v>616.23583583508366</v>
      </c>
      <c r="AJ137" s="250">
        <f t="shared" si="82"/>
        <v>2977.7959132317783</v>
      </c>
      <c r="AK137" s="250">
        <f t="shared" si="82"/>
        <v>229.94813284002646</v>
      </c>
    </row>
    <row r="138" spans="2:64" x14ac:dyDescent="0.2">
      <c r="B138" s="202"/>
      <c r="C138" s="395" t="s">
        <v>462</v>
      </c>
      <c r="D138" s="395"/>
      <c r="E138" s="395"/>
      <c r="F138" s="395"/>
      <c r="G138" s="395"/>
      <c r="H138" s="395"/>
      <c r="I138" s="395"/>
      <c r="J138" s="395"/>
      <c r="K138" s="395"/>
      <c r="L138" s="395"/>
      <c r="M138" s="395"/>
      <c r="N138" s="395"/>
      <c r="O138" s="395"/>
      <c r="P138" s="395"/>
      <c r="Q138" s="395"/>
      <c r="R138" s="395"/>
      <c r="S138" s="395"/>
      <c r="T138" s="395"/>
      <c r="U138" s="395"/>
      <c r="V138" s="395"/>
      <c r="W138" s="395"/>
      <c r="X138" s="395"/>
      <c r="Y138" s="395"/>
      <c r="Z138" s="395"/>
      <c r="AA138" s="395"/>
      <c r="AB138" s="395"/>
      <c r="AC138" s="395"/>
      <c r="AD138" s="395"/>
      <c r="AE138" s="395"/>
      <c r="AF138" s="395"/>
      <c r="AG138" s="395"/>
      <c r="AH138" s="395"/>
      <c r="AI138" s="395"/>
      <c r="AJ138" s="395"/>
      <c r="AK138" s="395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x14ac:dyDescent="0.2">
      <c r="B148" s="202"/>
    </row>
    <row r="149" spans="2:43" ht="236" x14ac:dyDescent="0.2">
      <c r="B149" s="202"/>
      <c r="C149" s="205" t="s">
        <v>420</v>
      </c>
      <c r="D149" s="205" t="s">
        <v>422</v>
      </c>
      <c r="E149" s="205" t="s">
        <v>423</v>
      </c>
      <c r="F149" s="205" t="s">
        <v>443</v>
      </c>
      <c r="G149" s="205" t="s">
        <v>473</v>
      </c>
      <c r="H149" s="205" t="s">
        <v>511</v>
      </c>
      <c r="I149" s="205" t="s">
        <v>572</v>
      </c>
      <c r="J149" s="205" t="s">
        <v>573</v>
      </c>
      <c r="K149" s="205" t="s">
        <v>565</v>
      </c>
      <c r="L149" s="207" t="s">
        <v>547</v>
      </c>
      <c r="M149" s="205" t="s">
        <v>513</v>
      </c>
      <c r="N149" s="207" t="s">
        <v>516</v>
      </c>
      <c r="O149" s="205" t="s">
        <v>542</v>
      </c>
      <c r="P149" s="208" t="s">
        <v>534</v>
      </c>
      <c r="Q149" s="205" t="s">
        <v>520</v>
      </c>
      <c r="R149" s="207" t="s">
        <v>546</v>
      </c>
      <c r="S149" s="207" t="s">
        <v>541</v>
      </c>
      <c r="T149" s="207" t="s">
        <v>538</v>
      </c>
      <c r="U149" s="207" t="s">
        <v>544</v>
      </c>
      <c r="V149" s="208" t="s">
        <v>543</v>
      </c>
      <c r="W149" s="208" t="s">
        <v>528</v>
      </c>
      <c r="X149" s="208" t="s">
        <v>562</v>
      </c>
      <c r="Y149" s="208" t="s">
        <v>529</v>
      </c>
      <c r="Z149" s="208" t="s">
        <v>531</v>
      </c>
      <c r="AA149" s="208" t="s">
        <v>530</v>
      </c>
      <c r="AB149" s="208" t="s">
        <v>627</v>
      </c>
      <c r="AC149" s="230" t="s">
        <v>526</v>
      </c>
      <c r="AD149" s="208" t="s">
        <v>525</v>
      </c>
      <c r="AE149" s="205" t="s">
        <v>527</v>
      </c>
      <c r="AF149" s="208" t="s">
        <v>666</v>
      </c>
      <c r="AG149" s="208" t="s">
        <v>669</v>
      </c>
      <c r="AH149" s="208" t="s">
        <v>550</v>
      </c>
      <c r="AI149" s="208" t="s">
        <v>551</v>
      </c>
      <c r="AJ149" s="208" t="s">
        <v>552</v>
      </c>
      <c r="AK149" s="208" t="s">
        <v>563</v>
      </c>
      <c r="AL149" s="208"/>
      <c r="AM149" s="208"/>
    </row>
    <row r="150" spans="2:43" x14ac:dyDescent="0.2">
      <c r="B150" s="202" t="s">
        <v>419</v>
      </c>
      <c r="C150" s="242">
        <f>'Ore-&gt;PI'!U42</f>
        <v>1011.7674660019052</v>
      </c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ht="16" x14ac:dyDescent="0.2">
      <c r="B151" s="203" t="s">
        <v>421</v>
      </c>
      <c r="C151" s="242"/>
      <c r="D151" s="242">
        <f>'Ore-&gt;PI'!U126</f>
        <v>208.55560337725498</v>
      </c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4" t="s">
        <v>444</v>
      </c>
      <c r="C152" s="242"/>
      <c r="D152" s="242"/>
      <c r="E152" s="242" t="e">
        <f>'Ore-&gt;PI'!U206</f>
        <v>#REF!</v>
      </c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479</v>
      </c>
      <c r="C153" s="242"/>
      <c r="D153" s="242"/>
      <c r="E153" s="242"/>
      <c r="F153" s="248" t="e">
        <f>'Ore-&gt;PI'!EL140+'Ore-&gt;PI'!CA140+'Ore-&gt;PI'!U163+'Ore-&gt;PI'!U72+'Ore-&gt;PI'!CA242+'Ore-&gt;PI'!U236</f>
        <v>#REF!</v>
      </c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472</v>
      </c>
      <c r="C154" s="242"/>
      <c r="D154" s="242"/>
      <c r="E154" s="242"/>
      <c r="F154" s="242"/>
      <c r="G154" s="242" t="e">
        <f>'Ore-&gt;PI'!EL114+'Ore-&gt;PI'!CA152+'Ore-&gt;PI'!CA254</f>
        <v>#REF!</v>
      </c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</row>
    <row r="155" spans="2:43" x14ac:dyDescent="0.2">
      <c r="B155" s="202" t="s">
        <v>575</v>
      </c>
      <c r="C155" s="242"/>
      <c r="D155" s="242"/>
      <c r="E155" s="242"/>
      <c r="F155" s="242"/>
      <c r="G155" s="242"/>
      <c r="H155" s="242" t="e">
        <f>'Ore-&gt;PI'!U222+'Ore-&gt;PI'!U140+'Ore-&gt;PI'!U59</f>
        <v>#REF!</v>
      </c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574</v>
      </c>
      <c r="C156" s="242"/>
      <c r="D156" s="242"/>
      <c r="E156" s="242"/>
      <c r="F156" s="242"/>
      <c r="G156" s="242"/>
      <c r="H156" s="242"/>
      <c r="I156" s="242">
        <f>'Ore-&gt;PI'!U151</f>
        <v>5.1714158616864253E-4</v>
      </c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514</v>
      </c>
      <c r="C157" s="242"/>
      <c r="D157" s="242"/>
      <c r="E157" s="242"/>
      <c r="F157" s="242"/>
      <c r="G157" s="242"/>
      <c r="H157" s="242"/>
      <c r="I157" s="242"/>
      <c r="J157" s="242">
        <f>'Ore-&gt;PI'!$EL$101</f>
        <v>4.8979947555174279</v>
      </c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  <c r="AQ157" s="230"/>
    </row>
    <row r="158" spans="2:43" x14ac:dyDescent="0.2">
      <c r="B158" s="202" t="s">
        <v>564</v>
      </c>
      <c r="C158" s="242"/>
      <c r="D158" s="242"/>
      <c r="E158" s="242"/>
      <c r="F158" s="242"/>
      <c r="G158" s="242"/>
      <c r="H158" s="242"/>
      <c r="I158" s="242"/>
      <c r="J158" s="242"/>
      <c r="K158" s="242">
        <v>0</v>
      </c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2"/>
      <c r="AG158" s="242"/>
      <c r="AH158" s="242"/>
      <c r="AI158" s="242"/>
      <c r="AJ158" s="242"/>
      <c r="AK158" s="242"/>
    </row>
    <row r="159" spans="2:43" x14ac:dyDescent="0.2">
      <c r="C159" s="395" t="s">
        <v>57</v>
      </c>
      <c r="D159" s="395"/>
      <c r="E159" s="395"/>
      <c r="F159" s="395"/>
      <c r="G159" s="395"/>
      <c r="H159" s="395"/>
      <c r="I159" s="395"/>
      <c r="J159" s="395"/>
      <c r="K159" s="395"/>
      <c r="L159" s="395"/>
      <c r="M159" s="395"/>
      <c r="N159" s="395"/>
      <c r="O159" s="395"/>
      <c r="P159" s="395"/>
      <c r="Q159" s="395"/>
      <c r="R159" s="395"/>
      <c r="S159" s="395"/>
      <c r="T159" s="395"/>
      <c r="U159" s="395"/>
      <c r="V159" s="395"/>
      <c r="W159" s="395"/>
      <c r="X159" s="395"/>
      <c r="Y159" s="395"/>
      <c r="Z159" s="395"/>
      <c r="AA159" s="395"/>
      <c r="AB159" s="395"/>
      <c r="AC159" s="395"/>
      <c r="AD159" s="395"/>
      <c r="AE159" s="395"/>
      <c r="AF159" s="395"/>
      <c r="AG159" s="395"/>
      <c r="AH159" s="395"/>
      <c r="AI159" s="395"/>
      <c r="AJ159" s="395"/>
      <c r="AK159" s="395"/>
      <c r="AL159" s="25"/>
      <c r="AM159" s="25"/>
    </row>
    <row r="160" spans="2:43" x14ac:dyDescent="0.2">
      <c r="C160" s="250">
        <f>SUM(C150:C158)</f>
        <v>1011.7674660019052</v>
      </c>
      <c r="D160" s="250">
        <f t="shared" ref="D160:AK160" si="83">SUM(D150:D158)</f>
        <v>208.55560337725498</v>
      </c>
      <c r="E160" s="250" t="e">
        <f t="shared" si="83"/>
        <v>#REF!</v>
      </c>
      <c r="F160" s="250" t="e">
        <f t="shared" si="83"/>
        <v>#REF!</v>
      </c>
      <c r="G160" s="250" t="e">
        <f t="shared" si="83"/>
        <v>#REF!</v>
      </c>
      <c r="H160" s="250" t="e">
        <f t="shared" si="83"/>
        <v>#REF!</v>
      </c>
      <c r="I160" s="250">
        <f t="shared" si="83"/>
        <v>5.1714158616864253E-4</v>
      </c>
      <c r="J160" s="250">
        <f t="shared" si="83"/>
        <v>4.8979947555174279</v>
      </c>
      <c r="K160" s="250">
        <f t="shared" si="83"/>
        <v>0</v>
      </c>
      <c r="L160" s="250">
        <f t="shared" si="83"/>
        <v>0</v>
      </c>
      <c r="M160" s="250">
        <f t="shared" si="83"/>
        <v>0</v>
      </c>
      <c r="N160" s="250">
        <f t="shared" si="83"/>
        <v>0</v>
      </c>
      <c r="O160" s="250">
        <f t="shared" si="83"/>
        <v>0</v>
      </c>
      <c r="P160" s="250">
        <f t="shared" si="83"/>
        <v>0</v>
      </c>
      <c r="Q160" s="250">
        <f t="shared" si="83"/>
        <v>0</v>
      </c>
      <c r="R160" s="250">
        <f t="shared" si="83"/>
        <v>0</v>
      </c>
      <c r="S160" s="250">
        <f t="shared" si="83"/>
        <v>0</v>
      </c>
      <c r="T160" s="250">
        <f t="shared" si="83"/>
        <v>0</v>
      </c>
      <c r="U160" s="250">
        <f t="shared" si="83"/>
        <v>0</v>
      </c>
      <c r="V160" s="250">
        <f t="shared" si="83"/>
        <v>0</v>
      </c>
      <c r="W160" s="250">
        <f t="shared" si="83"/>
        <v>0</v>
      </c>
      <c r="X160" s="250">
        <f t="shared" si="83"/>
        <v>0</v>
      </c>
      <c r="Y160" s="250">
        <f t="shared" si="83"/>
        <v>0</v>
      </c>
      <c r="Z160" s="250">
        <f t="shared" si="83"/>
        <v>0</v>
      </c>
      <c r="AA160" s="250">
        <f t="shared" si="83"/>
        <v>0</v>
      </c>
      <c r="AB160" s="250">
        <f t="shared" si="83"/>
        <v>0</v>
      </c>
      <c r="AC160" s="250">
        <f t="shared" si="83"/>
        <v>0</v>
      </c>
      <c r="AD160" s="250">
        <f t="shared" si="83"/>
        <v>0</v>
      </c>
      <c r="AE160" s="250">
        <f t="shared" si="83"/>
        <v>0</v>
      </c>
      <c r="AF160" s="250">
        <f t="shared" si="83"/>
        <v>0</v>
      </c>
      <c r="AG160" s="250">
        <f t="shared" si="83"/>
        <v>0</v>
      </c>
      <c r="AH160" s="250">
        <f t="shared" si="83"/>
        <v>0</v>
      </c>
      <c r="AI160" s="250">
        <f t="shared" si="83"/>
        <v>0</v>
      </c>
      <c r="AJ160" s="250">
        <f t="shared" si="83"/>
        <v>0</v>
      </c>
      <c r="AK160" s="250">
        <f t="shared" si="83"/>
        <v>0</v>
      </c>
    </row>
    <row r="161" spans="2:39" x14ac:dyDescent="0.2">
      <c r="C161" s="395" t="s">
        <v>463</v>
      </c>
      <c r="D161" s="395"/>
      <c r="E161" s="395"/>
      <c r="F161" s="395"/>
      <c r="G161" s="395"/>
      <c r="H161" s="395"/>
      <c r="I161" s="395"/>
      <c r="J161" s="395"/>
      <c r="K161" s="395"/>
      <c r="L161" s="395"/>
      <c r="M161" s="395"/>
      <c r="N161" s="395"/>
      <c r="O161" s="395"/>
      <c r="P161" s="395"/>
      <c r="Q161" s="395"/>
      <c r="R161" s="395"/>
      <c r="S161" s="395"/>
      <c r="T161" s="395"/>
      <c r="U161" s="395"/>
      <c r="V161" s="395"/>
      <c r="W161" s="395"/>
      <c r="X161" s="395"/>
      <c r="Y161" s="395"/>
      <c r="Z161" s="395"/>
      <c r="AA161" s="395"/>
      <c r="AB161" s="395"/>
      <c r="AC161" s="395"/>
      <c r="AD161" s="395"/>
      <c r="AE161" s="395"/>
      <c r="AF161" s="395"/>
      <c r="AG161" s="395"/>
      <c r="AH161" s="395"/>
      <c r="AI161" s="395"/>
      <c r="AJ161" s="395"/>
      <c r="AK161" s="395"/>
      <c r="AL161" s="25"/>
      <c r="AM161" s="25"/>
    </row>
    <row r="165" spans="2:39" x14ac:dyDescent="0.2">
      <c r="C165" s="395" t="s">
        <v>460</v>
      </c>
      <c r="D165" s="395"/>
      <c r="E165" s="395"/>
      <c r="F165" s="395"/>
      <c r="G165" s="395"/>
      <c r="H165" s="395"/>
      <c r="I165" s="395"/>
      <c r="J165" s="395"/>
      <c r="K165" s="395"/>
      <c r="L165" s="243"/>
      <c r="M165" s="243"/>
      <c r="N165" s="243"/>
      <c r="O165" s="243"/>
      <c r="P165" s="243"/>
      <c r="Q165" s="243"/>
      <c r="R165" s="243"/>
      <c r="S165" s="243"/>
      <c r="T165" s="243"/>
      <c r="U165" s="25"/>
      <c r="V165" s="25"/>
    </row>
    <row r="168" spans="2:39" x14ac:dyDescent="0.2">
      <c r="B168" s="202" t="s">
        <v>420</v>
      </c>
      <c r="C168" s="250" cm="1">
        <f t="array" ref="C168:C202">TRANSPOSE(C160:AK160)</f>
        <v>1011.7674660019052</v>
      </c>
      <c r="E168" s="250" cm="1">
        <f t="array" ref="E168:E202">TRANSPOSE(C137:AK137)</f>
        <v>0</v>
      </c>
      <c r="G168" s="250">
        <f>BF81</f>
        <v>1011.7674660019052</v>
      </c>
      <c r="I168" s="250" cm="1">
        <f t="array" ref="I168:I202">BM81:BM115</f>
        <v>0</v>
      </c>
      <c r="K168" s="297">
        <f>C168+E168-G168-I168</f>
        <v>0</v>
      </c>
    </row>
    <row r="169" spans="2:39" x14ac:dyDescent="0.2">
      <c r="B169" s="202" t="s">
        <v>422</v>
      </c>
      <c r="C169" s="250">
        <v>208.55560337725498</v>
      </c>
      <c r="E169" s="250">
        <v>0</v>
      </c>
      <c r="G169" s="250">
        <f t="shared" ref="G169:G202" si="84">BF82</f>
        <v>208.55560337725498</v>
      </c>
      <c r="I169" s="250">
        <v>0</v>
      </c>
      <c r="K169" s="297">
        <f>C169+E169-G169-I169</f>
        <v>0</v>
      </c>
    </row>
    <row r="170" spans="2:39" x14ac:dyDescent="0.2">
      <c r="B170" s="202" t="s">
        <v>423</v>
      </c>
      <c r="C170" s="250" t="e">
        <v>#REF!</v>
      </c>
      <c r="E170" s="250">
        <v>0</v>
      </c>
      <c r="G170" s="250" t="e">
        <f t="shared" si="84"/>
        <v>#REF!</v>
      </c>
      <c r="I170" s="250">
        <v>0</v>
      </c>
      <c r="K170" s="297" t="e">
        <f>C170+E170-G170-I170</f>
        <v>#REF!</v>
      </c>
    </row>
    <row r="171" spans="2:39" x14ac:dyDescent="0.2">
      <c r="B171" s="202" t="s">
        <v>443</v>
      </c>
      <c r="C171" s="250" t="e">
        <v>#REF!</v>
      </c>
      <c r="E171" s="250">
        <v>0</v>
      </c>
      <c r="G171" s="250" t="e">
        <f t="shared" si="84"/>
        <v>#REF!</v>
      </c>
      <c r="I171" s="250">
        <v>0</v>
      </c>
      <c r="K171" s="297" t="e">
        <f>ROUND(C171+E171-G171-I171, 10)</f>
        <v>#REF!</v>
      </c>
    </row>
    <row r="172" spans="2:39" x14ac:dyDescent="0.2">
      <c r="B172" s="202" t="s">
        <v>473</v>
      </c>
      <c r="C172" s="250" t="e">
        <v>#REF!</v>
      </c>
      <c r="E172" s="250">
        <v>0</v>
      </c>
      <c r="G172" s="250" t="e">
        <f t="shared" si="84"/>
        <v>#REF!</v>
      </c>
      <c r="I172" s="250">
        <v>0</v>
      </c>
      <c r="K172" s="297" t="e">
        <f t="shared" ref="K172:K187" si="85">C172+E172-G172-I172</f>
        <v>#REF!</v>
      </c>
    </row>
    <row r="173" spans="2:39" x14ac:dyDescent="0.2">
      <c r="B173" s="202" t="s">
        <v>511</v>
      </c>
      <c r="C173" s="250" t="e">
        <v>#REF!</v>
      </c>
      <c r="E173" s="250">
        <v>0</v>
      </c>
      <c r="G173" s="250" t="e">
        <f t="shared" si="84"/>
        <v>#REF!</v>
      </c>
      <c r="I173" s="250">
        <v>0</v>
      </c>
      <c r="K173" s="297" t="e">
        <f t="shared" si="85"/>
        <v>#REF!</v>
      </c>
    </row>
    <row r="174" spans="2:39" x14ac:dyDescent="0.2">
      <c r="B174" s="202" t="s">
        <v>512</v>
      </c>
      <c r="C174" s="250">
        <v>5.1714158616864253E-4</v>
      </c>
      <c r="E174" s="250">
        <v>0</v>
      </c>
      <c r="G174" s="250">
        <f t="shared" si="84"/>
        <v>5.1714158616864253E-4</v>
      </c>
      <c r="I174" s="250">
        <v>0</v>
      </c>
      <c r="K174" s="297">
        <f t="shared" si="85"/>
        <v>0</v>
      </c>
    </row>
    <row r="175" spans="2:39" x14ac:dyDescent="0.2">
      <c r="B175" s="202" t="s">
        <v>515</v>
      </c>
      <c r="C175" s="250">
        <v>4.8979947555174279</v>
      </c>
      <c r="E175" s="250">
        <v>0</v>
      </c>
      <c r="G175" s="250">
        <f t="shared" si="84"/>
        <v>4.8979947555174279</v>
      </c>
      <c r="I175" s="250">
        <v>0</v>
      </c>
      <c r="K175" s="297">
        <f t="shared" si="85"/>
        <v>0</v>
      </c>
    </row>
    <row r="176" spans="2:39" x14ac:dyDescent="0.2">
      <c r="B176" s="202" t="s">
        <v>565</v>
      </c>
      <c r="C176" s="250">
        <v>0</v>
      </c>
      <c r="E176" s="250">
        <v>0</v>
      </c>
      <c r="G176" s="250">
        <f t="shared" si="84"/>
        <v>0</v>
      </c>
      <c r="I176" s="250">
        <v>0</v>
      </c>
      <c r="K176" s="297">
        <f t="shared" si="85"/>
        <v>0</v>
      </c>
    </row>
    <row r="177" spans="2:18" ht="16" x14ac:dyDescent="0.2">
      <c r="B177" s="203" t="s">
        <v>547</v>
      </c>
      <c r="C177" s="250">
        <v>0</v>
      </c>
      <c r="E177" s="250">
        <v>1011.7674660019052</v>
      </c>
      <c r="G177" s="250">
        <f t="shared" si="84"/>
        <v>1011.7674660019052</v>
      </c>
      <c r="I177" s="250">
        <v>0</v>
      </c>
      <c r="K177" s="297">
        <f t="shared" si="85"/>
        <v>0</v>
      </c>
    </row>
    <row r="178" spans="2:18" x14ac:dyDescent="0.2">
      <c r="B178" s="202" t="s">
        <v>513</v>
      </c>
      <c r="C178" s="250">
        <v>0</v>
      </c>
      <c r="E178" s="250">
        <v>32.219926549044033</v>
      </c>
      <c r="G178" s="250">
        <f t="shared" si="84"/>
        <v>0</v>
      </c>
      <c r="I178" s="250">
        <v>32.219926549044033</v>
      </c>
      <c r="K178" s="297">
        <f t="shared" si="85"/>
        <v>0</v>
      </c>
    </row>
    <row r="179" spans="2:18" ht="16" x14ac:dyDescent="0.2">
      <c r="B179" s="203" t="s">
        <v>516</v>
      </c>
      <c r="C179" s="250">
        <v>0</v>
      </c>
      <c r="E179" s="250">
        <v>208.55560337725498</v>
      </c>
      <c r="G179" s="250">
        <f t="shared" si="84"/>
        <v>208.55560337725498</v>
      </c>
      <c r="I179" s="250">
        <v>0</v>
      </c>
      <c r="K179" s="297">
        <f t="shared" si="85"/>
        <v>0</v>
      </c>
    </row>
    <row r="180" spans="2:18" x14ac:dyDescent="0.2">
      <c r="B180" s="202" t="s">
        <v>542</v>
      </c>
      <c r="C180" s="250">
        <v>0</v>
      </c>
      <c r="E180" s="250">
        <v>9.658257192857822E-2</v>
      </c>
      <c r="G180" s="250">
        <f t="shared" si="84"/>
        <v>0</v>
      </c>
      <c r="I180" s="250">
        <v>9.658257192857822E-2</v>
      </c>
      <c r="K180" s="297">
        <f t="shared" si="85"/>
        <v>0</v>
      </c>
    </row>
    <row r="181" spans="2:18" x14ac:dyDescent="0.2">
      <c r="B181" s="204" t="s">
        <v>534</v>
      </c>
      <c r="C181" s="250">
        <v>0</v>
      </c>
      <c r="D181" s="257" t="s">
        <v>467</v>
      </c>
      <c r="E181" s="250" t="e">
        <v>#REF!</v>
      </c>
      <c r="F181" s="169" t="s">
        <v>469</v>
      </c>
      <c r="G181" s="250" t="e">
        <f t="shared" si="84"/>
        <v>#REF!</v>
      </c>
      <c r="H181" s="169" t="s">
        <v>469</v>
      </c>
      <c r="I181" s="250">
        <v>0</v>
      </c>
      <c r="J181" s="257" t="s">
        <v>470</v>
      </c>
      <c r="K181" s="297" t="e">
        <f t="shared" si="85"/>
        <v>#REF!</v>
      </c>
    </row>
    <row r="182" spans="2:18" x14ac:dyDescent="0.2">
      <c r="B182" s="202" t="s">
        <v>520</v>
      </c>
      <c r="C182" s="250">
        <v>0</v>
      </c>
      <c r="E182" s="250" t="e">
        <v>#REF!</v>
      </c>
      <c r="G182" s="250">
        <f t="shared" si="84"/>
        <v>0</v>
      </c>
      <c r="I182" s="250" t="e">
        <v>#REF!</v>
      </c>
      <c r="K182" s="297" t="e">
        <f t="shared" si="85"/>
        <v>#REF!</v>
      </c>
    </row>
    <row r="183" spans="2:18" ht="16" x14ac:dyDescent="0.2">
      <c r="B183" s="203" t="s">
        <v>546</v>
      </c>
      <c r="C183" s="250">
        <v>0</v>
      </c>
      <c r="E183" s="250">
        <v>1011.7674660019052</v>
      </c>
      <c r="G183" s="250">
        <f t="shared" si="84"/>
        <v>1011.7674660019052</v>
      </c>
      <c r="I183" s="250">
        <v>0</v>
      </c>
      <c r="K183" s="297">
        <f t="shared" si="85"/>
        <v>0</v>
      </c>
    </row>
    <row r="184" spans="2:18" ht="16" x14ac:dyDescent="0.2">
      <c r="B184" s="203" t="s">
        <v>541</v>
      </c>
      <c r="C184" s="250">
        <v>0</v>
      </c>
      <c r="E184" s="250">
        <v>208.55560337725498</v>
      </c>
      <c r="G184" s="250">
        <f t="shared" si="84"/>
        <v>208.55560337725498</v>
      </c>
      <c r="I184" s="250">
        <v>0</v>
      </c>
      <c r="K184" s="297">
        <f t="shared" si="85"/>
        <v>0</v>
      </c>
    </row>
    <row r="185" spans="2:18" ht="16" x14ac:dyDescent="0.2">
      <c r="B185" s="203" t="s">
        <v>538</v>
      </c>
      <c r="C185" s="250">
        <v>0</v>
      </c>
      <c r="E185" s="250" t="e">
        <v>#REF!</v>
      </c>
      <c r="G185" s="250" t="e">
        <f t="shared" si="84"/>
        <v>#REF!</v>
      </c>
      <c r="I185" s="250">
        <v>0</v>
      </c>
      <c r="K185" s="297" t="e">
        <f t="shared" si="85"/>
        <v>#REF!</v>
      </c>
    </row>
    <row r="186" spans="2:18" ht="16" x14ac:dyDescent="0.2">
      <c r="B186" s="203" t="s">
        <v>544</v>
      </c>
      <c r="C186" s="250">
        <v>0</v>
      </c>
      <c r="E186" s="250">
        <v>1000.0000000000001</v>
      </c>
      <c r="G186" s="250">
        <f t="shared" si="84"/>
        <v>1000.0000000000001</v>
      </c>
      <c r="I186" s="250">
        <v>0</v>
      </c>
      <c r="K186" s="297">
        <f t="shared" si="85"/>
        <v>0</v>
      </c>
    </row>
    <row r="187" spans="2:18" x14ac:dyDescent="0.2">
      <c r="B187" s="204" t="s">
        <v>543</v>
      </c>
      <c r="C187" s="250">
        <v>0</v>
      </c>
      <c r="E187" s="250">
        <v>11.767466001905108</v>
      </c>
      <c r="G187" s="250">
        <f t="shared" si="84"/>
        <v>0</v>
      </c>
      <c r="I187" s="250">
        <v>11.767466001905108</v>
      </c>
      <c r="K187" s="297">
        <f t="shared" si="85"/>
        <v>0</v>
      </c>
    </row>
    <row r="188" spans="2:18" x14ac:dyDescent="0.2">
      <c r="B188" s="204" t="s">
        <v>528</v>
      </c>
      <c r="C188" s="250">
        <v>0</v>
      </c>
      <c r="E188" s="250">
        <v>208.55560337725498</v>
      </c>
      <c r="G188" s="250">
        <f t="shared" si="84"/>
        <v>208.55560337725498</v>
      </c>
      <c r="I188" s="250">
        <v>0</v>
      </c>
      <c r="K188" s="297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4" t="s">
        <v>562</v>
      </c>
      <c r="C189" s="250">
        <v>0</v>
      </c>
      <c r="E189" s="250" t="e">
        <v>#REF!</v>
      </c>
      <c r="G189" s="250" t="e">
        <f t="shared" si="84"/>
        <v>#REF!</v>
      </c>
      <c r="I189" s="250">
        <v>0</v>
      </c>
      <c r="K189" s="297" t="e">
        <f t="shared" si="86"/>
        <v>#REF!</v>
      </c>
      <c r="N189" s="25"/>
      <c r="P189" s="25"/>
      <c r="Q189" s="25"/>
      <c r="R189" s="25"/>
    </row>
    <row r="190" spans="2:18" x14ac:dyDescent="0.2">
      <c r="B190" s="204" t="s">
        <v>529</v>
      </c>
      <c r="C190" s="250">
        <v>0</v>
      </c>
      <c r="E190" s="250">
        <v>111.00813284002646</v>
      </c>
      <c r="G190" s="250">
        <f t="shared" si="84"/>
        <v>111.00813284002646</v>
      </c>
      <c r="I190" s="250">
        <v>0</v>
      </c>
      <c r="K190" s="297">
        <f t="shared" si="86"/>
        <v>0</v>
      </c>
      <c r="N190" s="25"/>
      <c r="P190" s="25"/>
      <c r="Q190" s="25"/>
      <c r="R190" s="25"/>
    </row>
    <row r="191" spans="2:18" x14ac:dyDescent="0.2">
      <c r="B191" s="204" t="s">
        <v>531</v>
      </c>
      <c r="C191" s="250">
        <v>0</v>
      </c>
      <c r="E191" s="250">
        <v>4.9847525450981189</v>
      </c>
      <c r="G191" s="250">
        <f t="shared" si="84"/>
        <v>0</v>
      </c>
      <c r="I191" s="250">
        <v>4.9847525450981189</v>
      </c>
      <c r="K191" s="297">
        <f t="shared" si="86"/>
        <v>0</v>
      </c>
      <c r="N191" s="25"/>
      <c r="P191" s="25"/>
      <c r="Q191" s="25"/>
      <c r="R191" s="25"/>
    </row>
    <row r="192" spans="2:18" x14ac:dyDescent="0.2">
      <c r="B192" s="204" t="s">
        <v>530</v>
      </c>
      <c r="C192" s="250">
        <v>0</v>
      </c>
      <c r="E192" s="250">
        <v>376967.02647382859</v>
      </c>
      <c r="G192" s="250">
        <f t="shared" si="84"/>
        <v>0</v>
      </c>
      <c r="I192" s="250">
        <v>376967.02647382859</v>
      </c>
      <c r="K192" s="297">
        <f t="shared" si="86"/>
        <v>0</v>
      </c>
      <c r="N192" s="25"/>
      <c r="P192" s="25"/>
      <c r="Q192" s="25"/>
      <c r="R192" s="25"/>
    </row>
    <row r="193" spans="2:19" x14ac:dyDescent="0.2">
      <c r="B193" s="204" t="s">
        <v>627</v>
      </c>
      <c r="C193" s="250">
        <v>0</v>
      </c>
      <c r="E193" s="250">
        <v>198.80764502323905</v>
      </c>
      <c r="G193" s="250">
        <f t="shared" si="84"/>
        <v>198.80764502323905</v>
      </c>
      <c r="I193" s="250">
        <v>0</v>
      </c>
      <c r="K193" s="297">
        <f t="shared" si="86"/>
        <v>0</v>
      </c>
    </row>
    <row r="194" spans="2:19" ht="16" x14ac:dyDescent="0.2">
      <c r="B194" s="251" t="s">
        <v>526</v>
      </c>
      <c r="C194" s="250">
        <v>0</v>
      </c>
      <c r="E194" s="250" t="e">
        <v>#REF!</v>
      </c>
      <c r="G194" s="250" t="e">
        <f t="shared" si="84"/>
        <v>#REF!</v>
      </c>
      <c r="I194" s="250">
        <v>0</v>
      </c>
      <c r="K194" s="297" t="e">
        <f t="shared" si="86"/>
        <v>#REF!</v>
      </c>
    </row>
    <row r="195" spans="2:19" x14ac:dyDescent="0.2">
      <c r="B195" s="204" t="s">
        <v>525</v>
      </c>
      <c r="C195" s="250">
        <v>0</v>
      </c>
      <c r="E195" s="250" t="e">
        <v>#REF!</v>
      </c>
      <c r="G195" s="250">
        <f t="shared" si="84"/>
        <v>0</v>
      </c>
      <c r="I195" s="250" t="e">
        <v>#REF!</v>
      </c>
      <c r="K195" s="297" t="e">
        <f t="shared" ref="K195:K202" si="87">C195+E195-G195-I195</f>
        <v>#REF!</v>
      </c>
      <c r="L195" s="25"/>
    </row>
    <row r="196" spans="2:19" x14ac:dyDescent="0.2">
      <c r="B196" s="202" t="s">
        <v>527</v>
      </c>
      <c r="C196" s="250">
        <v>0</v>
      </c>
      <c r="E196" s="250" t="e">
        <v>#REF!</v>
      </c>
      <c r="G196" s="250">
        <f t="shared" si="84"/>
        <v>0</v>
      </c>
      <c r="I196" s="250" t="e">
        <v>#REF!</v>
      </c>
      <c r="K196" s="297" t="e">
        <f t="shared" si="87"/>
        <v>#REF!</v>
      </c>
    </row>
    <row r="197" spans="2:19" x14ac:dyDescent="0.2">
      <c r="B197" s="204" t="s">
        <v>666</v>
      </c>
      <c r="C197" s="250">
        <v>0</v>
      </c>
      <c r="E197" s="250">
        <v>45.085609009772398</v>
      </c>
      <c r="G197" s="250">
        <f t="shared" si="84"/>
        <v>45.085609009772398</v>
      </c>
      <c r="I197" s="250">
        <v>0</v>
      </c>
      <c r="K197" s="297">
        <f t="shared" si="87"/>
        <v>0</v>
      </c>
    </row>
    <row r="198" spans="2:19" x14ac:dyDescent="0.2">
      <c r="B198" s="204" t="s">
        <v>669</v>
      </c>
      <c r="C198" s="250">
        <v>0</v>
      </c>
      <c r="E198" s="250">
        <v>45.085609009772398</v>
      </c>
      <c r="G198" s="250">
        <f t="shared" si="84"/>
        <v>38.322767658306532</v>
      </c>
      <c r="I198" s="250">
        <v>6.762841351465859</v>
      </c>
      <c r="K198" s="297"/>
    </row>
    <row r="199" spans="2:19" x14ac:dyDescent="0.2">
      <c r="B199" s="204" t="s">
        <v>550</v>
      </c>
      <c r="C199" s="250">
        <v>0</v>
      </c>
      <c r="E199" s="250">
        <v>1309.8157778632656</v>
      </c>
      <c r="G199" s="250">
        <f t="shared" si="84"/>
        <v>1309.8157778632656</v>
      </c>
      <c r="I199" s="250">
        <v>0</v>
      </c>
      <c r="K199" s="297">
        <f t="shared" si="87"/>
        <v>0</v>
      </c>
      <c r="P199" s="243"/>
      <c r="Q199" s="243"/>
      <c r="R199" s="243"/>
      <c r="S199" s="243"/>
    </row>
    <row r="200" spans="2:19" x14ac:dyDescent="0.2">
      <c r="B200" s="204" t="s">
        <v>551</v>
      </c>
      <c r="C200" s="250">
        <v>0</v>
      </c>
      <c r="E200" s="250">
        <v>616.23583583508366</v>
      </c>
      <c r="G200" s="250">
        <f t="shared" si="84"/>
        <v>0</v>
      </c>
      <c r="I200" s="250">
        <v>616.23583583508366</v>
      </c>
      <c r="K200" s="297">
        <f t="shared" si="87"/>
        <v>0</v>
      </c>
    </row>
    <row r="201" spans="2:19" x14ac:dyDescent="0.2">
      <c r="B201" s="204" t="s">
        <v>552</v>
      </c>
      <c r="C201" s="250">
        <v>0</v>
      </c>
      <c r="E201" s="250">
        <v>2977.7959132317783</v>
      </c>
      <c r="G201" s="250">
        <f t="shared" si="84"/>
        <v>0</v>
      </c>
      <c r="I201" s="250">
        <v>2977.7959132317783</v>
      </c>
      <c r="K201" s="297">
        <f t="shared" si="87"/>
        <v>0</v>
      </c>
    </row>
    <row r="202" spans="2:19" x14ac:dyDescent="0.2">
      <c r="B202" s="204" t="s">
        <v>563</v>
      </c>
      <c r="C202" s="250">
        <v>0</v>
      </c>
      <c r="E202" s="250">
        <v>229.94813284002646</v>
      </c>
      <c r="G202" s="250">
        <f t="shared" si="84"/>
        <v>0</v>
      </c>
      <c r="I202" s="250">
        <v>229.94813284002646</v>
      </c>
      <c r="K202" s="297">
        <f t="shared" si="87"/>
        <v>0</v>
      </c>
    </row>
    <row r="203" spans="2:19" ht="17" x14ac:dyDescent="0.2">
      <c r="B203" s="204"/>
      <c r="C203" s="3" t="s">
        <v>466</v>
      </c>
      <c r="E203" s="3" t="s">
        <v>468</v>
      </c>
      <c r="G203" s="25" t="s">
        <v>465</v>
      </c>
      <c r="I203" s="25" t="s">
        <v>39</v>
      </c>
      <c r="K203" s="25" t="e">
        <f>SUM(K168:K202)</f>
        <v>#REF!</v>
      </c>
    </row>
    <row r="204" spans="2:19" x14ac:dyDescent="0.2">
      <c r="B204" s="204"/>
      <c r="G204" s="25"/>
      <c r="I204" s="25"/>
    </row>
    <row r="205" spans="2:19" x14ac:dyDescent="0.2">
      <c r="B205" s="204"/>
    </row>
    <row r="206" spans="2:19" x14ac:dyDescent="0.2">
      <c r="C206" s="395" t="s">
        <v>471</v>
      </c>
      <c r="D206" s="395"/>
      <c r="E206" s="395"/>
      <c r="F206" s="395"/>
      <c r="G206" s="395"/>
      <c r="L206" s="243"/>
      <c r="M206" s="243"/>
    </row>
    <row r="209" spans="2:15" x14ac:dyDescent="0.2">
      <c r="B209" s="202" t="s">
        <v>412</v>
      </c>
      <c r="C209" s="250" cm="1">
        <f t="array" ref="C209:C223">TRANSPOSE((AQ117:BE117))</f>
        <v>1043.9873925509492</v>
      </c>
      <c r="E209" s="250">
        <f>AL121</f>
        <v>1043.9873925509492</v>
      </c>
      <c r="G209" s="297">
        <f>C209-E209</f>
        <v>0</v>
      </c>
    </row>
    <row r="210" spans="2:15" x14ac:dyDescent="0.2">
      <c r="B210" s="202" t="s">
        <v>413</v>
      </c>
      <c r="C210" s="250">
        <v>208.65218594918355</v>
      </c>
      <c r="E210" s="250">
        <f t="shared" ref="E210:E223" si="88">AL122</f>
        <v>208.65218594918355</v>
      </c>
      <c r="G210" s="297">
        <f t="shared" ref="G210:G223" si="89">C210-E210</f>
        <v>0</v>
      </c>
      <c r="N210" s="243"/>
      <c r="O210" s="243"/>
    </row>
    <row r="211" spans="2:15" x14ac:dyDescent="0.2">
      <c r="B211" s="202" t="s">
        <v>414</v>
      </c>
      <c r="C211" s="250" t="e">
        <v>#REF!</v>
      </c>
      <c r="E211" s="250" t="e">
        <f t="shared" si="88"/>
        <v>#REF!</v>
      </c>
      <c r="G211" s="297" t="e">
        <f t="shared" si="89"/>
        <v>#REF!</v>
      </c>
    </row>
    <row r="212" spans="2:15" x14ac:dyDescent="0.2">
      <c r="B212" s="202" t="s">
        <v>561</v>
      </c>
      <c r="C212" s="250">
        <v>1011.7674660019052</v>
      </c>
      <c r="D212" s="252"/>
      <c r="E212" s="250">
        <f t="shared" si="88"/>
        <v>1011.7674660019052</v>
      </c>
      <c r="F212" s="252"/>
      <c r="G212" s="297">
        <f t="shared" si="89"/>
        <v>0</v>
      </c>
    </row>
    <row r="213" spans="2:15" x14ac:dyDescent="0.2">
      <c r="B213" s="202" t="s">
        <v>540</v>
      </c>
      <c r="C213" s="250">
        <v>208.55560337725498</v>
      </c>
      <c r="E213" s="250">
        <f t="shared" si="88"/>
        <v>208.55560337725498</v>
      </c>
      <c r="G213" s="297">
        <f t="shared" si="89"/>
        <v>0</v>
      </c>
      <c r="H213" s="243"/>
      <c r="I213" s="243"/>
      <c r="J213" s="243"/>
      <c r="K213" s="243"/>
    </row>
    <row r="214" spans="2:15" x14ac:dyDescent="0.2">
      <c r="B214" s="202" t="s">
        <v>539</v>
      </c>
      <c r="C214" s="250" t="e">
        <v>#REF!</v>
      </c>
      <c r="E214" s="250" t="e">
        <f t="shared" si="88"/>
        <v>#REF!</v>
      </c>
      <c r="G214" s="297" t="e">
        <f t="shared" si="89"/>
        <v>#REF!</v>
      </c>
    </row>
    <row r="215" spans="2:15" x14ac:dyDescent="0.2">
      <c r="B215" s="202" t="s">
        <v>439</v>
      </c>
      <c r="C215" s="250">
        <v>1011.7674660019052</v>
      </c>
      <c r="E215" s="250">
        <f t="shared" si="88"/>
        <v>1011.7674660019052</v>
      </c>
      <c r="G215" s="297">
        <f t="shared" si="89"/>
        <v>0</v>
      </c>
    </row>
    <row r="216" spans="2:15" x14ac:dyDescent="0.2">
      <c r="B216" s="202" t="s">
        <v>436</v>
      </c>
      <c r="C216" s="250">
        <v>208.55560337725498</v>
      </c>
      <c r="D216" s="169" t="s">
        <v>474</v>
      </c>
      <c r="E216" s="250">
        <f t="shared" si="88"/>
        <v>208.55560337725498</v>
      </c>
      <c r="F216" s="169" t="s">
        <v>470</v>
      </c>
      <c r="G216" s="297">
        <f t="shared" si="89"/>
        <v>0</v>
      </c>
    </row>
    <row r="217" spans="2:15" x14ac:dyDescent="0.2">
      <c r="B217" s="202" t="s">
        <v>454</v>
      </c>
      <c r="C217" s="250" t="e">
        <v>#REF!</v>
      </c>
      <c r="E217" s="250" t="e">
        <f t="shared" si="88"/>
        <v>#REF!</v>
      </c>
      <c r="G217" s="297" t="e">
        <f t="shared" si="89"/>
        <v>#REF!</v>
      </c>
    </row>
    <row r="218" spans="2:15" x14ac:dyDescent="0.2">
      <c r="B218" s="202" t="s">
        <v>437</v>
      </c>
      <c r="C218" s="250">
        <v>377083.01935921365</v>
      </c>
      <c r="E218" s="250">
        <f t="shared" si="88"/>
        <v>377083.01935921371</v>
      </c>
      <c r="G218" s="297">
        <f t="shared" si="89"/>
        <v>0</v>
      </c>
    </row>
    <row r="219" spans="2:15" x14ac:dyDescent="0.2">
      <c r="B219" s="202" t="s">
        <v>432</v>
      </c>
      <c r="C219" s="250" t="e">
        <v>#REF!</v>
      </c>
      <c r="E219" s="250" t="e">
        <f t="shared" si="88"/>
        <v>#REF!</v>
      </c>
      <c r="G219" s="297" t="e">
        <f t="shared" si="89"/>
        <v>#REF!</v>
      </c>
    </row>
    <row r="220" spans="2:15" x14ac:dyDescent="0.2">
      <c r="B220" s="202" t="s">
        <v>665</v>
      </c>
      <c r="C220" s="250" t="e">
        <v>#REF!</v>
      </c>
      <c r="E220" s="250">
        <f t="shared" si="88"/>
        <v>45.085609009772398</v>
      </c>
      <c r="G220" s="297" t="e">
        <f t="shared" si="89"/>
        <v>#REF!</v>
      </c>
    </row>
    <row r="221" spans="2:15" x14ac:dyDescent="0.2">
      <c r="B221" s="202" t="s">
        <v>668</v>
      </c>
      <c r="C221" s="250">
        <v>45.085609009772398</v>
      </c>
      <c r="E221" s="250">
        <f t="shared" si="88"/>
        <v>45.085609009772398</v>
      </c>
      <c r="G221" s="297"/>
    </row>
    <row r="222" spans="2:15" x14ac:dyDescent="0.2">
      <c r="B222" s="202" t="s">
        <v>81</v>
      </c>
      <c r="C222" s="250">
        <v>1309.8157778632656</v>
      </c>
      <c r="E222" s="250">
        <f t="shared" si="88"/>
        <v>1309.8157778632656</v>
      </c>
      <c r="G222" s="297">
        <f t="shared" si="89"/>
        <v>0</v>
      </c>
    </row>
    <row r="223" spans="2:15" x14ac:dyDescent="0.2">
      <c r="B223" s="202" t="s">
        <v>424</v>
      </c>
      <c r="C223" s="250">
        <v>3823.9798819068892</v>
      </c>
      <c r="D223" s="169"/>
      <c r="E223" s="250">
        <f t="shared" si="88"/>
        <v>3823.9798819068887</v>
      </c>
      <c r="G223" s="297">
        <f t="shared" si="89"/>
        <v>0</v>
      </c>
    </row>
    <row r="224" spans="2:15" x14ac:dyDescent="0.2">
      <c r="B224" s="204"/>
      <c r="C224" s="169" t="s">
        <v>464</v>
      </c>
      <c r="D224" s="169"/>
      <c r="E224" s="169" t="s">
        <v>461</v>
      </c>
      <c r="F224" s="169"/>
      <c r="G224" s="169">
        <v>0</v>
      </c>
    </row>
    <row r="225" spans="2:11" x14ac:dyDescent="0.2">
      <c r="B225" s="204"/>
    </row>
    <row r="226" spans="2:11" x14ac:dyDescent="0.2">
      <c r="B226" s="204"/>
    </row>
    <row r="231" spans="2:11" x14ac:dyDescent="0.2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5" t="s">
        <v>660</v>
      </c>
      <c r="AP1" s="258"/>
      <c r="AQ1" s="205" t="s">
        <v>412</v>
      </c>
      <c r="AR1" s="205" t="s">
        <v>413</v>
      </c>
      <c r="AS1" s="205" t="s">
        <v>414</v>
      </c>
      <c r="AT1" s="205" t="s">
        <v>561</v>
      </c>
      <c r="AU1" s="205" t="s">
        <v>540</v>
      </c>
      <c r="AV1" s="205" t="s">
        <v>539</v>
      </c>
      <c r="AW1" s="205" t="s">
        <v>439</v>
      </c>
      <c r="AX1" s="205" t="s">
        <v>436</v>
      </c>
      <c r="AY1" s="205" t="s">
        <v>454</v>
      </c>
      <c r="AZ1" s="205" t="s">
        <v>437</v>
      </c>
      <c r="BA1" s="205" t="s">
        <v>432</v>
      </c>
      <c r="BB1" s="205" t="s">
        <v>665</v>
      </c>
      <c r="BC1" s="205" t="s">
        <v>668</v>
      </c>
      <c r="BD1" s="205" t="s">
        <v>81</v>
      </c>
      <c r="BE1" s="205" t="s">
        <v>424</v>
      </c>
      <c r="BJ1" s="258"/>
      <c r="BK1" s="205" t="s">
        <v>412</v>
      </c>
      <c r="BL1" s="205" t="s">
        <v>413</v>
      </c>
      <c r="BM1" s="205" t="s">
        <v>414</v>
      </c>
      <c r="BN1" s="205" t="s">
        <v>561</v>
      </c>
      <c r="BO1" s="205" t="s">
        <v>540</v>
      </c>
      <c r="BP1" s="205" t="s">
        <v>539</v>
      </c>
      <c r="BQ1" s="205" t="s">
        <v>439</v>
      </c>
      <c r="BR1" s="205" t="s">
        <v>436</v>
      </c>
      <c r="BS1" s="205" t="s">
        <v>454</v>
      </c>
      <c r="BT1" s="205" t="s">
        <v>437</v>
      </c>
      <c r="BU1" s="205" t="s">
        <v>432</v>
      </c>
      <c r="BV1" s="205" t="s">
        <v>665</v>
      </c>
      <c r="BW1" s="205" t="s">
        <v>668</v>
      </c>
      <c r="BX1" s="205" t="s">
        <v>81</v>
      </c>
      <c r="BY1" s="205" t="s">
        <v>424</v>
      </c>
    </row>
    <row r="2" spans="2:77" x14ac:dyDescent="0.2">
      <c r="B2" s="202" t="s">
        <v>420</v>
      </c>
      <c r="C2" s="282">
        <v>1</v>
      </c>
      <c r="AP2" s="202" t="s">
        <v>420</v>
      </c>
      <c r="AQ2" s="282">
        <v>0</v>
      </c>
      <c r="AR2" s="282">
        <v>0</v>
      </c>
      <c r="AS2" s="282">
        <v>0</v>
      </c>
      <c r="AT2" s="282">
        <v>0</v>
      </c>
      <c r="AU2" s="282">
        <v>0</v>
      </c>
      <c r="AV2" s="282">
        <v>0</v>
      </c>
      <c r="AW2" s="282">
        <v>0</v>
      </c>
      <c r="AX2" s="282">
        <v>0</v>
      </c>
      <c r="AY2" s="282">
        <v>0</v>
      </c>
      <c r="AZ2" s="282">
        <v>0</v>
      </c>
      <c r="BA2" s="282">
        <v>0</v>
      </c>
      <c r="BB2" s="282">
        <v>0</v>
      </c>
      <c r="BC2" s="282">
        <v>0</v>
      </c>
      <c r="BD2" s="282">
        <v>0</v>
      </c>
      <c r="BE2" s="282">
        <v>0</v>
      </c>
      <c r="BJ2" s="202" t="s">
        <v>420</v>
      </c>
      <c r="BK2" s="282">
        <v>0</v>
      </c>
      <c r="BL2" s="282">
        <v>0</v>
      </c>
      <c r="BM2" s="282">
        <v>0</v>
      </c>
      <c r="BN2" s="282">
        <v>0</v>
      </c>
      <c r="BO2" s="282">
        <v>0</v>
      </c>
      <c r="BP2" s="282">
        <v>0</v>
      </c>
      <c r="BQ2" s="282">
        <v>0</v>
      </c>
      <c r="BR2" s="282">
        <v>0</v>
      </c>
      <c r="BS2" s="282">
        <v>0</v>
      </c>
      <c r="BT2" s="282">
        <v>0</v>
      </c>
      <c r="BU2" s="282">
        <v>0</v>
      </c>
      <c r="BV2" s="282">
        <v>0</v>
      </c>
      <c r="BW2" s="282">
        <v>0</v>
      </c>
      <c r="BX2" s="282">
        <v>0</v>
      </c>
      <c r="BY2" s="282">
        <v>0</v>
      </c>
    </row>
    <row r="3" spans="2:77" x14ac:dyDescent="0.2">
      <c r="B3" s="202" t="s">
        <v>422</v>
      </c>
      <c r="C3" s="282">
        <v>1</v>
      </c>
      <c r="AP3" s="202" t="s">
        <v>422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2">
        <v>0</v>
      </c>
      <c r="BA3" s="282">
        <v>0</v>
      </c>
      <c r="BB3" s="282">
        <v>0</v>
      </c>
      <c r="BC3" s="282">
        <v>0</v>
      </c>
      <c r="BD3" s="282">
        <v>0</v>
      </c>
      <c r="BE3" s="282">
        <v>0</v>
      </c>
      <c r="BJ3" s="202" t="s">
        <v>422</v>
      </c>
      <c r="BK3" s="282">
        <v>0</v>
      </c>
      <c r="BL3" s="282">
        <v>0</v>
      </c>
      <c r="BM3" s="282">
        <v>0</v>
      </c>
      <c r="BN3" s="282">
        <v>0</v>
      </c>
      <c r="BO3" s="282">
        <v>0</v>
      </c>
      <c r="BP3" s="282">
        <v>0</v>
      </c>
      <c r="BQ3" s="282">
        <v>0</v>
      </c>
      <c r="BR3" s="282">
        <v>0</v>
      </c>
      <c r="BS3" s="282">
        <v>0</v>
      </c>
      <c r="BT3" s="282">
        <v>0</v>
      </c>
      <c r="BU3" s="282">
        <v>0</v>
      </c>
      <c r="BV3" s="282">
        <v>0</v>
      </c>
      <c r="BW3" s="282">
        <v>0</v>
      </c>
      <c r="BX3" s="282">
        <v>0</v>
      </c>
      <c r="BY3" s="282">
        <v>0</v>
      </c>
    </row>
    <row r="4" spans="2:77" x14ac:dyDescent="0.2">
      <c r="B4" s="202" t="s">
        <v>423</v>
      </c>
      <c r="C4" s="282">
        <v>1</v>
      </c>
      <c r="AP4" s="202" t="s">
        <v>423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  <c r="BB4" s="282">
        <v>0</v>
      </c>
      <c r="BC4" s="282">
        <v>0</v>
      </c>
      <c r="BD4" s="282">
        <v>0</v>
      </c>
      <c r="BE4" s="282">
        <v>0</v>
      </c>
      <c r="BJ4" s="202" t="s">
        <v>423</v>
      </c>
      <c r="BK4" s="282">
        <v>0</v>
      </c>
      <c r="BL4" s="282">
        <v>0</v>
      </c>
      <c r="BM4" s="282">
        <v>0</v>
      </c>
      <c r="BN4" s="282">
        <v>0</v>
      </c>
      <c r="BO4" s="282">
        <v>0</v>
      </c>
      <c r="BP4" s="282">
        <v>0</v>
      </c>
      <c r="BQ4" s="282">
        <v>0</v>
      </c>
      <c r="BR4" s="282">
        <v>0</v>
      </c>
      <c r="BS4" s="282">
        <v>0</v>
      </c>
      <c r="BT4" s="282">
        <v>0</v>
      </c>
      <c r="BU4" s="282">
        <v>0</v>
      </c>
      <c r="BV4" s="282">
        <v>0</v>
      </c>
      <c r="BW4" s="282">
        <v>0</v>
      </c>
      <c r="BX4" s="282">
        <v>0</v>
      </c>
      <c r="BY4" s="282">
        <v>0</v>
      </c>
    </row>
    <row r="5" spans="2:77" x14ac:dyDescent="0.2">
      <c r="B5" s="202" t="s">
        <v>443</v>
      </c>
      <c r="C5" s="282">
        <v>1</v>
      </c>
      <c r="AP5" s="202" t="s">
        <v>443</v>
      </c>
      <c r="AQ5" s="282">
        <v>0</v>
      </c>
      <c r="AR5" s="282">
        <v>0</v>
      </c>
      <c r="AS5" s="282">
        <v>0</v>
      </c>
      <c r="AT5" s="282">
        <v>0</v>
      </c>
      <c r="AU5" s="282">
        <v>0</v>
      </c>
      <c r="AV5" s="282">
        <v>0</v>
      </c>
      <c r="AW5" s="282">
        <v>0</v>
      </c>
      <c r="AX5" s="282">
        <v>0</v>
      </c>
      <c r="AY5" s="282">
        <v>0</v>
      </c>
      <c r="AZ5" s="282">
        <v>0</v>
      </c>
      <c r="BA5" s="282">
        <v>0</v>
      </c>
      <c r="BB5" s="282">
        <v>0</v>
      </c>
      <c r="BC5" s="282">
        <v>0</v>
      </c>
      <c r="BD5" s="282">
        <v>0</v>
      </c>
      <c r="BE5" s="282">
        <v>0</v>
      </c>
      <c r="BJ5" s="202" t="s">
        <v>443</v>
      </c>
      <c r="BK5" s="282">
        <v>0</v>
      </c>
      <c r="BL5" s="282">
        <v>0</v>
      </c>
      <c r="BM5" s="282">
        <v>0</v>
      </c>
      <c r="BN5" s="282">
        <v>0</v>
      </c>
      <c r="BO5" s="282">
        <v>0</v>
      </c>
      <c r="BP5" s="282">
        <v>0</v>
      </c>
      <c r="BQ5" s="282">
        <v>0</v>
      </c>
      <c r="BR5" s="282">
        <v>0</v>
      </c>
      <c r="BS5" s="282">
        <v>0</v>
      </c>
      <c r="BT5" s="282">
        <v>0</v>
      </c>
      <c r="BU5" s="282">
        <v>0</v>
      </c>
      <c r="BV5" s="282">
        <v>0</v>
      </c>
      <c r="BW5" s="282">
        <v>0</v>
      </c>
      <c r="BX5" s="282">
        <v>0</v>
      </c>
      <c r="BY5" s="282">
        <v>0</v>
      </c>
    </row>
    <row r="6" spans="2:77" x14ac:dyDescent="0.2">
      <c r="B6" s="202" t="s">
        <v>473</v>
      </c>
      <c r="C6" s="282">
        <v>1</v>
      </c>
      <c r="AP6" s="202" t="s">
        <v>473</v>
      </c>
      <c r="AQ6" s="282">
        <v>0</v>
      </c>
      <c r="AR6" s="282">
        <v>0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2">
        <v>0</v>
      </c>
      <c r="BA6" s="282">
        <v>0</v>
      </c>
      <c r="BB6" s="282">
        <v>0</v>
      </c>
      <c r="BC6" s="282">
        <v>0</v>
      </c>
      <c r="BD6" s="282">
        <v>0</v>
      </c>
      <c r="BE6" s="282">
        <v>0</v>
      </c>
      <c r="BJ6" s="202" t="s">
        <v>473</v>
      </c>
      <c r="BK6" s="282">
        <v>0</v>
      </c>
      <c r="BL6" s="282">
        <v>0</v>
      </c>
      <c r="BM6" s="282">
        <v>0</v>
      </c>
      <c r="BN6" s="282">
        <v>0</v>
      </c>
      <c r="BO6" s="282">
        <v>0</v>
      </c>
      <c r="BP6" s="282">
        <v>0</v>
      </c>
      <c r="BQ6" s="282">
        <v>0</v>
      </c>
      <c r="BR6" s="282">
        <v>0</v>
      </c>
      <c r="BS6" s="282">
        <v>0</v>
      </c>
      <c r="BT6" s="282">
        <v>0</v>
      </c>
      <c r="BU6" s="282">
        <v>0</v>
      </c>
      <c r="BV6" s="282">
        <v>0</v>
      </c>
      <c r="BW6" s="282">
        <v>0</v>
      </c>
      <c r="BX6" s="282">
        <v>0</v>
      </c>
      <c r="BY6" s="282">
        <v>0</v>
      </c>
    </row>
    <row r="7" spans="2:77" x14ac:dyDescent="0.2">
      <c r="B7" s="202" t="s">
        <v>572</v>
      </c>
      <c r="C7" s="282">
        <v>1</v>
      </c>
      <c r="AP7" s="202" t="s">
        <v>572</v>
      </c>
      <c r="AQ7" s="282">
        <v>0</v>
      </c>
      <c r="AR7" s="282">
        <v>0</v>
      </c>
      <c r="AS7" s="282">
        <v>0</v>
      </c>
      <c r="AT7" s="282">
        <v>0</v>
      </c>
      <c r="AU7" s="282">
        <v>0</v>
      </c>
      <c r="AV7" s="282">
        <v>0</v>
      </c>
      <c r="AW7" s="282">
        <v>0</v>
      </c>
      <c r="AX7" s="282">
        <v>0</v>
      </c>
      <c r="AY7" s="282">
        <v>0</v>
      </c>
      <c r="AZ7" s="282">
        <v>0</v>
      </c>
      <c r="BA7" s="282">
        <v>0</v>
      </c>
      <c r="BB7" s="282">
        <v>0</v>
      </c>
      <c r="BC7" s="282">
        <v>0</v>
      </c>
      <c r="BD7" s="282">
        <v>0</v>
      </c>
      <c r="BE7" s="282">
        <v>0</v>
      </c>
      <c r="BJ7" s="202" t="s">
        <v>572</v>
      </c>
      <c r="BK7" s="282">
        <v>0</v>
      </c>
      <c r="BL7" s="282">
        <v>0</v>
      </c>
      <c r="BM7" s="282">
        <v>0</v>
      </c>
      <c r="BN7" s="282">
        <v>0</v>
      </c>
      <c r="BO7" s="282">
        <v>0</v>
      </c>
      <c r="BP7" s="282">
        <v>0</v>
      </c>
      <c r="BQ7" s="282">
        <v>0</v>
      </c>
      <c r="BR7" s="282">
        <v>0</v>
      </c>
      <c r="BS7" s="282">
        <v>0</v>
      </c>
      <c r="BT7" s="282">
        <v>0</v>
      </c>
      <c r="BU7" s="282">
        <v>0</v>
      </c>
      <c r="BV7" s="282">
        <v>0</v>
      </c>
      <c r="BW7" s="282">
        <v>0</v>
      </c>
      <c r="BX7" s="282">
        <v>0</v>
      </c>
      <c r="BY7" s="282">
        <v>0</v>
      </c>
    </row>
    <row r="8" spans="2:77" x14ac:dyDescent="0.2">
      <c r="B8" s="202" t="s">
        <v>573</v>
      </c>
      <c r="C8" s="282">
        <v>1</v>
      </c>
      <c r="AP8" s="202" t="s">
        <v>573</v>
      </c>
      <c r="AQ8" s="282">
        <v>0</v>
      </c>
      <c r="AR8" s="282">
        <v>0</v>
      </c>
      <c r="AS8" s="282">
        <v>0</v>
      </c>
      <c r="AT8" s="282">
        <v>0</v>
      </c>
      <c r="AU8" s="282">
        <v>0</v>
      </c>
      <c r="AV8" s="282">
        <v>0</v>
      </c>
      <c r="AW8" s="282">
        <v>0</v>
      </c>
      <c r="AX8" s="282">
        <v>0</v>
      </c>
      <c r="AY8" s="282">
        <v>0</v>
      </c>
      <c r="AZ8" s="282">
        <v>0</v>
      </c>
      <c r="BA8" s="282">
        <v>0</v>
      </c>
      <c r="BB8" s="282">
        <v>0</v>
      </c>
      <c r="BC8" s="282">
        <v>0</v>
      </c>
      <c r="BD8" s="282">
        <v>0</v>
      </c>
      <c r="BE8" s="282">
        <v>0</v>
      </c>
      <c r="BJ8" s="202" t="s">
        <v>573</v>
      </c>
      <c r="BK8" s="282">
        <v>0</v>
      </c>
      <c r="BL8" s="282">
        <v>0</v>
      </c>
      <c r="BM8" s="282">
        <v>0</v>
      </c>
      <c r="BN8" s="282">
        <v>0</v>
      </c>
      <c r="BO8" s="282">
        <v>0</v>
      </c>
      <c r="BP8" s="282">
        <v>0</v>
      </c>
      <c r="BQ8" s="282">
        <v>0</v>
      </c>
      <c r="BR8" s="282">
        <v>0</v>
      </c>
      <c r="BS8" s="282">
        <v>0</v>
      </c>
      <c r="BT8" s="282">
        <v>0</v>
      </c>
      <c r="BU8" s="282">
        <v>0</v>
      </c>
      <c r="BV8" s="282">
        <v>0</v>
      </c>
      <c r="BW8" s="282">
        <v>0</v>
      </c>
      <c r="BX8" s="282">
        <v>0</v>
      </c>
      <c r="BY8" s="282">
        <v>0</v>
      </c>
    </row>
    <row r="9" spans="2:77" x14ac:dyDescent="0.2">
      <c r="B9" s="202" t="s">
        <v>515</v>
      </c>
      <c r="C9" s="282">
        <v>1</v>
      </c>
      <c r="AP9" s="202" t="s">
        <v>515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J9" s="202" t="s">
        <v>515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U9" s="282">
        <v>0</v>
      </c>
      <c r="BV9" s="282">
        <v>0</v>
      </c>
      <c r="BW9" s="282">
        <v>0</v>
      </c>
      <c r="BX9" s="282">
        <v>0</v>
      </c>
      <c r="BY9" s="282">
        <v>0</v>
      </c>
    </row>
    <row r="10" spans="2:77" x14ac:dyDescent="0.2">
      <c r="B10" s="202" t="s">
        <v>565</v>
      </c>
      <c r="C10" s="282">
        <v>1</v>
      </c>
      <c r="AP10" s="202" t="s">
        <v>565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J10" s="202" t="s">
        <v>565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U10" s="282">
        <v>0</v>
      </c>
      <c r="BV10" s="282">
        <v>0</v>
      </c>
      <c r="BW10" s="282">
        <v>0</v>
      </c>
      <c r="BX10" s="282">
        <v>0</v>
      </c>
      <c r="BY10" s="282">
        <v>0</v>
      </c>
    </row>
    <row r="11" spans="2:77" ht="16" x14ac:dyDescent="0.2">
      <c r="B11" s="203" t="s">
        <v>547</v>
      </c>
      <c r="C11" s="282">
        <v>1</v>
      </c>
      <c r="AP11" s="203" t="s">
        <v>547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J11" s="203" t="s">
        <v>547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U11" s="282">
        <v>0</v>
      </c>
      <c r="BV11" s="282">
        <v>0</v>
      </c>
      <c r="BW11" s="282">
        <v>0</v>
      </c>
      <c r="BX11" s="282">
        <v>0</v>
      </c>
      <c r="BY11" s="282">
        <v>0</v>
      </c>
    </row>
    <row r="12" spans="2:77" x14ac:dyDescent="0.2">
      <c r="B12" s="202" t="s">
        <v>513</v>
      </c>
      <c r="C12" s="282">
        <v>1</v>
      </c>
      <c r="AP12" s="202" t="s">
        <v>513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J12" s="202" t="s">
        <v>513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U12" s="282">
        <v>0</v>
      </c>
      <c r="BV12" s="282">
        <v>0</v>
      </c>
      <c r="BW12" s="282">
        <v>0</v>
      </c>
      <c r="BX12" s="282">
        <v>0</v>
      </c>
      <c r="BY12" s="282">
        <v>0</v>
      </c>
    </row>
    <row r="13" spans="2:77" ht="16" x14ac:dyDescent="0.2">
      <c r="B13" s="203" t="s">
        <v>516</v>
      </c>
      <c r="C13" s="282">
        <v>1</v>
      </c>
      <c r="AP13" s="203" t="s">
        <v>516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>
        <v>0</v>
      </c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J13" s="203" t="s">
        <v>516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U13" s="282">
        <v>0</v>
      </c>
      <c r="BV13" s="282">
        <v>0</v>
      </c>
      <c r="BW13" s="282">
        <v>0</v>
      </c>
      <c r="BX13" s="282">
        <v>0</v>
      </c>
      <c r="BY13" s="282">
        <v>0</v>
      </c>
    </row>
    <row r="14" spans="2:77" x14ac:dyDescent="0.2">
      <c r="B14" s="202" t="s">
        <v>542</v>
      </c>
      <c r="C14" s="282">
        <v>1</v>
      </c>
      <c r="AP14" s="202" t="s">
        <v>542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J14" s="202" t="s">
        <v>542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U14" s="282">
        <v>0</v>
      </c>
      <c r="BV14" s="282">
        <v>0</v>
      </c>
      <c r="BW14" s="282">
        <v>0</v>
      </c>
      <c r="BX14" s="282">
        <v>0</v>
      </c>
      <c r="BY14" s="282">
        <v>0</v>
      </c>
    </row>
    <row r="15" spans="2:77" x14ac:dyDescent="0.2">
      <c r="B15" s="204" t="s">
        <v>534</v>
      </c>
      <c r="C15" s="282">
        <v>1</v>
      </c>
      <c r="AP15" s="204" t="s">
        <v>534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J15" s="204" t="s">
        <v>534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U15" s="282">
        <v>0</v>
      </c>
      <c r="BV15" s="282">
        <v>0</v>
      </c>
      <c r="BW15" s="282">
        <v>0</v>
      </c>
      <c r="BX15" s="282">
        <v>0</v>
      </c>
      <c r="BY15" s="282">
        <v>0</v>
      </c>
    </row>
    <row r="16" spans="2:77" x14ac:dyDescent="0.2">
      <c r="B16" s="202" t="s">
        <v>520</v>
      </c>
      <c r="C16" s="282">
        <v>1</v>
      </c>
      <c r="AP16" s="202" t="s">
        <v>520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J16" s="202" t="s">
        <v>520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U16" s="282">
        <v>0</v>
      </c>
      <c r="BV16" s="282">
        <v>0</v>
      </c>
      <c r="BW16" s="282">
        <v>0</v>
      </c>
      <c r="BX16" s="282">
        <v>0</v>
      </c>
      <c r="BY16" s="282">
        <v>0</v>
      </c>
    </row>
    <row r="17" spans="2:77" ht="16" x14ac:dyDescent="0.2">
      <c r="B17" s="203" t="s">
        <v>546</v>
      </c>
      <c r="C17" s="282">
        <v>1</v>
      </c>
      <c r="AP17" s="203" t="s">
        <v>546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J17" s="203" t="s">
        <v>546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U17" s="282">
        <v>0</v>
      </c>
      <c r="BV17" s="282">
        <v>0</v>
      </c>
      <c r="BW17" s="282">
        <v>0</v>
      </c>
      <c r="BX17" s="282">
        <v>0</v>
      </c>
      <c r="BY17" s="282">
        <v>0</v>
      </c>
    </row>
    <row r="18" spans="2:77" ht="16" x14ac:dyDescent="0.2">
      <c r="B18" s="203" t="s">
        <v>541</v>
      </c>
      <c r="C18" s="282">
        <v>1</v>
      </c>
      <c r="AP18" s="203" t="s">
        <v>541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J18" s="203" t="s">
        <v>541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U18" s="282">
        <v>0</v>
      </c>
      <c r="BV18" s="282">
        <v>0</v>
      </c>
      <c r="BW18" s="282">
        <v>0</v>
      </c>
      <c r="BX18" s="282">
        <v>0</v>
      </c>
      <c r="BY18" s="282">
        <v>0</v>
      </c>
    </row>
    <row r="19" spans="2:77" ht="16" x14ac:dyDescent="0.2">
      <c r="B19" s="203" t="s">
        <v>538</v>
      </c>
      <c r="C19" s="282">
        <v>1</v>
      </c>
      <c r="AP19" s="203" t="s">
        <v>538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J19" s="203" t="s">
        <v>538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U19" s="282">
        <v>0</v>
      </c>
      <c r="BV19" s="282">
        <v>0</v>
      </c>
      <c r="BW19" s="282">
        <v>0</v>
      </c>
      <c r="BX19" s="282">
        <v>0</v>
      </c>
      <c r="BY19" s="282">
        <v>0</v>
      </c>
    </row>
    <row r="20" spans="2:77" ht="16" x14ac:dyDescent="0.2">
      <c r="B20" s="203" t="s">
        <v>544</v>
      </c>
      <c r="C20" s="282">
        <v>1</v>
      </c>
      <c r="AP20" s="203" t="s">
        <v>544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J20" s="203" t="s">
        <v>544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U20" s="282">
        <v>0</v>
      </c>
      <c r="BV20" s="282">
        <v>0</v>
      </c>
      <c r="BW20" s="282">
        <v>0</v>
      </c>
      <c r="BX20" s="282">
        <v>0</v>
      </c>
      <c r="BY20" s="282">
        <v>0</v>
      </c>
    </row>
    <row r="21" spans="2:77" x14ac:dyDescent="0.2">
      <c r="B21" s="204" t="s">
        <v>543</v>
      </c>
      <c r="C21" s="282">
        <v>1</v>
      </c>
      <c r="AP21" s="204" t="s">
        <v>543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J21" s="204" t="s">
        <v>543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U21" s="282">
        <v>0</v>
      </c>
      <c r="BV21" s="282">
        <v>0</v>
      </c>
      <c r="BW21" s="282">
        <v>0</v>
      </c>
      <c r="BX21" s="282">
        <v>0</v>
      </c>
      <c r="BY21" s="282">
        <v>0</v>
      </c>
    </row>
    <row r="22" spans="2:77" x14ac:dyDescent="0.2">
      <c r="B22" s="204" t="s">
        <v>528</v>
      </c>
      <c r="C22" s="282">
        <v>1</v>
      </c>
      <c r="AP22" s="204" t="s">
        <v>528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J22" s="204" t="s">
        <v>528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U22" s="282">
        <v>0</v>
      </c>
      <c r="BV22" s="282">
        <v>0</v>
      </c>
      <c r="BW22" s="282">
        <v>0</v>
      </c>
      <c r="BX22" s="282">
        <v>0</v>
      </c>
      <c r="BY22" s="282">
        <v>0</v>
      </c>
    </row>
    <row r="23" spans="2:77" x14ac:dyDescent="0.2">
      <c r="B23" s="204" t="s">
        <v>562</v>
      </c>
      <c r="C23" s="282">
        <v>1</v>
      </c>
      <c r="AP23" s="204" t="s">
        <v>562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J23" s="204" t="s">
        <v>562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U23" s="282">
        <v>0</v>
      </c>
      <c r="BV23" s="282">
        <v>0</v>
      </c>
      <c r="BW23" s="282">
        <v>0</v>
      </c>
      <c r="BX23" s="282">
        <v>0</v>
      </c>
      <c r="BY23" s="282">
        <v>0</v>
      </c>
    </row>
    <row r="24" spans="2:77" x14ac:dyDescent="0.2">
      <c r="B24" s="204" t="s">
        <v>529</v>
      </c>
      <c r="C24" s="282">
        <v>1</v>
      </c>
      <c r="AP24" s="204" t="s">
        <v>529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J24" s="204" t="s">
        <v>529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U24" s="282">
        <v>0</v>
      </c>
      <c r="BV24" s="282">
        <v>0</v>
      </c>
      <c r="BW24" s="282">
        <v>0</v>
      </c>
      <c r="BX24" s="282">
        <v>0</v>
      </c>
      <c r="BY24" s="282">
        <v>0</v>
      </c>
    </row>
    <row r="25" spans="2:77" x14ac:dyDescent="0.2">
      <c r="B25" s="204" t="s">
        <v>531</v>
      </c>
      <c r="C25" s="282">
        <v>1</v>
      </c>
      <c r="AP25" s="204" t="s">
        <v>531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J25" s="204" t="s">
        <v>531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U25" s="282">
        <v>0</v>
      </c>
      <c r="BV25" s="282">
        <v>0</v>
      </c>
      <c r="BW25" s="282">
        <v>0</v>
      </c>
      <c r="BX25" s="282">
        <v>0</v>
      </c>
      <c r="BY25" s="282">
        <v>0</v>
      </c>
    </row>
    <row r="26" spans="2:77" x14ac:dyDescent="0.2">
      <c r="B26" s="204" t="s">
        <v>530</v>
      </c>
      <c r="C26" s="282">
        <v>1</v>
      </c>
      <c r="AP26" s="204" t="s">
        <v>530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J26" s="204" t="s">
        <v>530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U26" s="282">
        <v>0</v>
      </c>
      <c r="BV26" s="282">
        <v>0</v>
      </c>
      <c r="BW26" s="282">
        <v>0</v>
      </c>
      <c r="BX26" s="282">
        <v>0</v>
      </c>
      <c r="BY26" s="282">
        <v>0</v>
      </c>
    </row>
    <row r="27" spans="2:77" x14ac:dyDescent="0.2">
      <c r="B27" s="204" t="s">
        <v>627</v>
      </c>
      <c r="C27" s="282">
        <v>1</v>
      </c>
      <c r="AP27" s="204" t="s">
        <v>627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J27" s="204" t="s">
        <v>627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U27" s="282">
        <v>0</v>
      </c>
      <c r="BV27" s="282">
        <v>0</v>
      </c>
      <c r="BW27" s="282">
        <v>0</v>
      </c>
      <c r="BX27" s="282">
        <v>0</v>
      </c>
      <c r="BY27" s="282">
        <v>0</v>
      </c>
    </row>
    <row r="28" spans="2:77" ht="16" x14ac:dyDescent="0.2">
      <c r="B28" s="251" t="s">
        <v>526</v>
      </c>
      <c r="C28" s="282">
        <v>1</v>
      </c>
      <c r="AP28" s="251" t="s">
        <v>526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J28" s="251" t="s">
        <v>526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U28" s="282">
        <v>0</v>
      </c>
      <c r="BV28" s="282">
        <v>0</v>
      </c>
      <c r="BW28" s="282">
        <v>0</v>
      </c>
      <c r="BX28" s="282">
        <v>0</v>
      </c>
      <c r="BY28" s="282">
        <v>0</v>
      </c>
    </row>
    <row r="29" spans="2:77" x14ac:dyDescent="0.2">
      <c r="B29" s="204" t="s">
        <v>525</v>
      </c>
      <c r="C29" s="282">
        <v>1</v>
      </c>
      <c r="AP29" s="204" t="s">
        <v>525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J29" s="204" t="s">
        <v>525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U29" s="282">
        <v>0</v>
      </c>
      <c r="BV29" s="282">
        <v>0</v>
      </c>
      <c r="BW29" s="282">
        <v>0</v>
      </c>
      <c r="BX29" s="282">
        <v>0</v>
      </c>
      <c r="BY29" s="282">
        <v>0</v>
      </c>
    </row>
    <row r="30" spans="2:77" x14ac:dyDescent="0.2">
      <c r="B30" s="202" t="s">
        <v>527</v>
      </c>
      <c r="C30" s="282">
        <v>1</v>
      </c>
      <c r="AP30" s="202" t="s">
        <v>527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J30" s="202" t="s">
        <v>527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U30" s="282">
        <v>0</v>
      </c>
      <c r="BV30" s="282">
        <v>0</v>
      </c>
      <c r="BW30" s="282">
        <v>0</v>
      </c>
      <c r="BX30" s="282">
        <v>0</v>
      </c>
      <c r="BY30" s="282">
        <v>0</v>
      </c>
    </row>
    <row r="31" spans="2:77" x14ac:dyDescent="0.2">
      <c r="B31" s="204" t="s">
        <v>523</v>
      </c>
      <c r="C31" s="282">
        <v>1</v>
      </c>
      <c r="AP31" s="204" t="s">
        <v>666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J31" s="204" t="s">
        <v>666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U31" s="282">
        <v>0</v>
      </c>
      <c r="BV31" s="282">
        <v>0</v>
      </c>
      <c r="BW31" s="282">
        <v>0</v>
      </c>
      <c r="BX31" s="282">
        <v>0</v>
      </c>
      <c r="BY31" s="282">
        <v>0</v>
      </c>
    </row>
    <row r="32" spans="2:77" x14ac:dyDescent="0.2">
      <c r="B32" s="204"/>
      <c r="C32" s="282"/>
      <c r="AP32" s="204" t="s">
        <v>669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J32" s="204" t="s">
        <v>669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U32" s="282">
        <v>0</v>
      </c>
      <c r="BV32" s="282">
        <v>0</v>
      </c>
      <c r="BW32" s="282">
        <v>0</v>
      </c>
      <c r="BX32" s="282">
        <v>0</v>
      </c>
      <c r="BY32" s="282">
        <v>0</v>
      </c>
    </row>
    <row r="33" spans="2:77" x14ac:dyDescent="0.2">
      <c r="B33" s="204" t="s">
        <v>550</v>
      </c>
      <c r="C33" s="282">
        <v>1</v>
      </c>
      <c r="AP33" s="204" t="s">
        <v>550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J33" s="204" t="s">
        <v>550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U33" s="282">
        <v>0</v>
      </c>
      <c r="BV33" s="282">
        <v>0</v>
      </c>
      <c r="BW33" s="282">
        <v>0</v>
      </c>
      <c r="BX33" s="282">
        <v>0</v>
      </c>
      <c r="BY33" s="282">
        <v>0</v>
      </c>
    </row>
    <row r="34" spans="2:77" x14ac:dyDescent="0.2">
      <c r="B34" s="204" t="s">
        <v>551</v>
      </c>
      <c r="C34" s="282">
        <v>1</v>
      </c>
      <c r="AP34" s="204" t="s">
        <v>551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J34" s="204" t="s">
        <v>551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U34" s="282">
        <v>0</v>
      </c>
      <c r="BV34" s="282">
        <v>0</v>
      </c>
      <c r="BW34" s="282">
        <v>0</v>
      </c>
      <c r="BX34" s="282">
        <v>0</v>
      </c>
      <c r="BY34" s="282">
        <v>0</v>
      </c>
    </row>
    <row r="35" spans="2:77" x14ac:dyDescent="0.2">
      <c r="B35" s="204" t="s">
        <v>552</v>
      </c>
      <c r="C35" s="282">
        <v>1</v>
      </c>
      <c r="AP35" s="204" t="s">
        <v>552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J35" s="204" t="s">
        <v>552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U35" s="282">
        <v>0</v>
      </c>
      <c r="BV35" s="282">
        <v>0</v>
      </c>
      <c r="BW35" s="282">
        <v>0</v>
      </c>
      <c r="BX35" s="282">
        <v>0</v>
      </c>
      <c r="BY35" s="282">
        <v>0</v>
      </c>
    </row>
    <row r="36" spans="2:77" x14ac:dyDescent="0.2">
      <c r="B36" s="204" t="s">
        <v>563</v>
      </c>
      <c r="C36" s="282">
        <v>1</v>
      </c>
      <c r="AP36" s="204" t="s">
        <v>563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J36" s="204" t="s">
        <v>563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U36" s="282">
        <v>0</v>
      </c>
      <c r="BV36" s="282">
        <v>0</v>
      </c>
      <c r="BW36" s="282">
        <v>0</v>
      </c>
      <c r="BX36" s="282">
        <v>0</v>
      </c>
      <c r="BY36" s="282">
        <v>0</v>
      </c>
    </row>
    <row r="37" spans="2:77" x14ac:dyDescent="0.2">
      <c r="C37" s="169" t="s">
        <v>579</v>
      </c>
      <c r="AP37" s="204"/>
      <c r="AQ37" s="395" t="s">
        <v>576</v>
      </c>
      <c r="AR37" s="395"/>
      <c r="AS37" s="395"/>
      <c r="AT37" s="395"/>
      <c r="AU37" s="395"/>
      <c r="AV37" s="395"/>
      <c r="AW37" s="395"/>
      <c r="AX37" s="395"/>
      <c r="AY37" s="395"/>
      <c r="AZ37" s="395"/>
      <c r="BA37" s="395"/>
      <c r="BB37" s="395"/>
      <c r="BC37" s="395"/>
      <c r="BD37" s="395"/>
      <c r="BE37" s="395"/>
      <c r="BJ37" s="204"/>
      <c r="BK37" s="395" t="s">
        <v>577</v>
      </c>
      <c r="BL37" s="395"/>
      <c r="BM37" s="395"/>
      <c r="BN37" s="395"/>
      <c r="BO37" s="395"/>
      <c r="BP37" s="395"/>
      <c r="BQ37" s="395"/>
      <c r="BR37" s="395"/>
      <c r="BS37" s="395"/>
      <c r="BT37" s="395"/>
      <c r="BU37" s="395"/>
      <c r="BV37" s="395"/>
      <c r="BW37" s="395"/>
      <c r="BX37" s="395"/>
      <c r="BY37" s="395"/>
    </row>
    <row r="38" spans="2:77" x14ac:dyDescent="0.2">
      <c r="AP38" s="204"/>
      <c r="BJ38" s="204"/>
    </row>
    <row r="39" spans="2:77" x14ac:dyDescent="0.2">
      <c r="AP39" s="204"/>
    </row>
    <row r="40" spans="2:77" ht="112" x14ac:dyDescent="0.2">
      <c r="AP40" s="258"/>
      <c r="AQ40" s="205" t="s">
        <v>412</v>
      </c>
      <c r="AR40" s="205" t="s">
        <v>413</v>
      </c>
      <c r="AS40" s="205" t="s">
        <v>414</v>
      </c>
      <c r="AT40" s="205" t="s">
        <v>561</v>
      </c>
      <c r="AU40" s="205" t="s">
        <v>540</v>
      </c>
      <c r="AV40" s="205" t="s">
        <v>539</v>
      </c>
      <c r="AW40" s="205" t="s">
        <v>439</v>
      </c>
      <c r="AX40" s="205" t="s">
        <v>436</v>
      </c>
      <c r="AY40" s="205" t="s">
        <v>454</v>
      </c>
      <c r="AZ40" s="205" t="s">
        <v>437</v>
      </c>
      <c r="BA40" s="205" t="s">
        <v>432</v>
      </c>
      <c r="BB40" s="205" t="s">
        <v>665</v>
      </c>
      <c r="BC40" s="205" t="s">
        <v>668</v>
      </c>
      <c r="BD40" s="205" t="s">
        <v>81</v>
      </c>
      <c r="BE40" s="205" t="s">
        <v>424</v>
      </c>
    </row>
    <row r="41" spans="2:77" x14ac:dyDescent="0.2">
      <c r="AP41" s="202" t="s">
        <v>420</v>
      </c>
      <c r="AQ41" s="282">
        <f>AQ81</f>
        <v>-6442.5099571670216</v>
      </c>
      <c r="AR41" s="282">
        <f t="shared" ref="AR41:BE41" si="0">AR81</f>
        <v>0</v>
      </c>
      <c r="AS41" s="282">
        <f t="shared" si="0"/>
        <v>0</v>
      </c>
      <c r="AT41" s="282">
        <f t="shared" si="0"/>
        <v>0</v>
      </c>
      <c r="AU41" s="282">
        <f t="shared" si="0"/>
        <v>0</v>
      </c>
      <c r="AV41" s="282">
        <f t="shared" si="0"/>
        <v>0</v>
      </c>
      <c r="AW41" s="282">
        <f t="shared" si="0"/>
        <v>0</v>
      </c>
      <c r="AX41" s="282">
        <f t="shared" si="0"/>
        <v>0</v>
      </c>
      <c r="AY41" s="282">
        <f t="shared" si="0"/>
        <v>0</v>
      </c>
      <c r="AZ41" s="282">
        <f t="shared" si="0"/>
        <v>0</v>
      </c>
      <c r="BA41" s="282">
        <f t="shared" si="0"/>
        <v>0</v>
      </c>
      <c r="BB41" s="282">
        <f t="shared" si="0"/>
        <v>0</v>
      </c>
      <c r="BC41" s="282">
        <f t="shared" si="0"/>
        <v>0</v>
      </c>
      <c r="BD41" s="282">
        <f t="shared" si="0"/>
        <v>0</v>
      </c>
      <c r="BE41" s="282">
        <f t="shared" si="0"/>
        <v>0</v>
      </c>
    </row>
    <row r="42" spans="2:77" x14ac:dyDescent="0.2">
      <c r="AP42" s="202" t="s">
        <v>422</v>
      </c>
      <c r="AQ42" s="282">
        <f t="shared" ref="AQ42:BE75" si="1">AQ82</f>
        <v>0</v>
      </c>
      <c r="AR42" s="282">
        <f t="shared" si="1"/>
        <v>-12112.03618380849</v>
      </c>
      <c r="AS42" s="282">
        <f t="shared" si="1"/>
        <v>0</v>
      </c>
      <c r="AT42" s="282">
        <f t="shared" si="1"/>
        <v>0</v>
      </c>
      <c r="AU42" s="282">
        <f t="shared" si="1"/>
        <v>0</v>
      </c>
      <c r="AV42" s="282">
        <f t="shared" si="1"/>
        <v>0</v>
      </c>
      <c r="AW42" s="282">
        <f t="shared" si="1"/>
        <v>0</v>
      </c>
      <c r="AX42" s="282">
        <f t="shared" si="1"/>
        <v>0</v>
      </c>
      <c r="AY42" s="282">
        <f t="shared" si="1"/>
        <v>0</v>
      </c>
      <c r="AZ42" s="282">
        <f t="shared" si="1"/>
        <v>0</v>
      </c>
      <c r="BA42" s="282">
        <f t="shared" si="1"/>
        <v>0</v>
      </c>
      <c r="BB42" s="282">
        <f t="shared" si="1"/>
        <v>0</v>
      </c>
      <c r="BC42" s="282">
        <f t="shared" si="1"/>
        <v>0</v>
      </c>
      <c r="BD42" s="282">
        <f t="shared" si="1"/>
        <v>0</v>
      </c>
      <c r="BE42" s="282">
        <f t="shared" si="1"/>
        <v>0</v>
      </c>
    </row>
    <row r="43" spans="2:77" x14ac:dyDescent="0.2">
      <c r="AP43" s="202" t="s">
        <v>423</v>
      </c>
      <c r="AQ43" s="282">
        <f t="shared" si="1"/>
        <v>0</v>
      </c>
      <c r="AR43" s="282">
        <f t="shared" si="1"/>
        <v>0</v>
      </c>
      <c r="AS43" s="282" t="e">
        <f t="shared" si="1"/>
        <v>#REF!</v>
      </c>
      <c r="AT43" s="282">
        <f t="shared" si="1"/>
        <v>0</v>
      </c>
      <c r="AU43" s="282">
        <f t="shared" si="1"/>
        <v>0</v>
      </c>
      <c r="AV43" s="282">
        <f t="shared" si="1"/>
        <v>0</v>
      </c>
      <c r="AW43" s="282">
        <f t="shared" si="1"/>
        <v>0</v>
      </c>
      <c r="AX43" s="282">
        <f t="shared" si="1"/>
        <v>0</v>
      </c>
      <c r="AY43" s="282">
        <f t="shared" si="1"/>
        <v>0</v>
      </c>
      <c r="AZ43" s="282">
        <f t="shared" si="1"/>
        <v>0</v>
      </c>
      <c r="BA43" s="282">
        <f t="shared" si="1"/>
        <v>0</v>
      </c>
      <c r="BB43" s="282">
        <f t="shared" si="1"/>
        <v>0</v>
      </c>
      <c r="BC43" s="282">
        <f t="shared" si="1"/>
        <v>0</v>
      </c>
      <c r="BD43" s="282">
        <f t="shared" si="1"/>
        <v>0</v>
      </c>
      <c r="BE43" s="282">
        <f t="shared" si="1"/>
        <v>0</v>
      </c>
    </row>
    <row r="44" spans="2:77" x14ac:dyDescent="0.2">
      <c r="AP44" s="202" t="s">
        <v>443</v>
      </c>
      <c r="AQ44" s="282">
        <f t="shared" si="1"/>
        <v>0</v>
      </c>
      <c r="AR44" s="282">
        <f t="shared" si="1"/>
        <v>0</v>
      </c>
      <c r="AS44" s="282">
        <f t="shared" si="1"/>
        <v>0</v>
      </c>
      <c r="AT44" s="282">
        <f t="shared" si="1"/>
        <v>0</v>
      </c>
      <c r="AU44" s="282">
        <f t="shared" si="1"/>
        <v>0</v>
      </c>
      <c r="AV44" s="282">
        <f t="shared" si="1"/>
        <v>0</v>
      </c>
      <c r="AW44" s="282">
        <f t="shared" si="1"/>
        <v>0</v>
      </c>
      <c r="AX44" s="282">
        <f t="shared" si="1"/>
        <v>0</v>
      </c>
      <c r="AY44" s="282">
        <f t="shared" si="1"/>
        <v>0</v>
      </c>
      <c r="AZ44" s="282">
        <f t="shared" si="1"/>
        <v>0</v>
      </c>
      <c r="BA44" s="282">
        <f t="shared" si="1"/>
        <v>0</v>
      </c>
      <c r="BB44" s="282">
        <f t="shared" si="1"/>
        <v>0</v>
      </c>
      <c r="BC44" s="282">
        <f t="shared" si="1"/>
        <v>0</v>
      </c>
      <c r="BD44" s="282">
        <f t="shared" si="1"/>
        <v>0</v>
      </c>
      <c r="BE44" s="282">
        <f t="shared" si="1"/>
        <v>0</v>
      </c>
    </row>
    <row r="45" spans="2:77" x14ac:dyDescent="0.2">
      <c r="AP45" s="202" t="s">
        <v>473</v>
      </c>
      <c r="AQ45" s="282">
        <f t="shared" si="1"/>
        <v>0</v>
      </c>
      <c r="AR45" s="282">
        <f t="shared" si="1"/>
        <v>0</v>
      </c>
      <c r="AS45" s="282">
        <f t="shared" si="1"/>
        <v>0</v>
      </c>
      <c r="AT45" s="282">
        <f t="shared" si="1"/>
        <v>0</v>
      </c>
      <c r="AU45" s="282">
        <f t="shared" si="1"/>
        <v>0</v>
      </c>
      <c r="AV45" s="282">
        <f t="shared" si="1"/>
        <v>0</v>
      </c>
      <c r="AW45" s="282">
        <f t="shared" si="1"/>
        <v>0</v>
      </c>
      <c r="AX45" s="282">
        <f t="shared" si="1"/>
        <v>0</v>
      </c>
      <c r="AY45" s="282">
        <f t="shared" si="1"/>
        <v>0</v>
      </c>
      <c r="AZ45" s="282">
        <f t="shared" si="1"/>
        <v>1.604276E-2</v>
      </c>
      <c r="BA45" s="282">
        <f t="shared" si="1"/>
        <v>1.604276E-2</v>
      </c>
      <c r="BB45" s="282">
        <f t="shared" si="1"/>
        <v>0</v>
      </c>
      <c r="BC45" s="282">
        <f t="shared" si="1"/>
        <v>0</v>
      </c>
      <c r="BD45" s="282">
        <f t="shared" si="1"/>
        <v>0</v>
      </c>
      <c r="BE45" s="282">
        <f t="shared" si="1"/>
        <v>1.604276E-2</v>
      </c>
    </row>
    <row r="46" spans="2:77" x14ac:dyDescent="0.2">
      <c r="AP46" s="202" t="s">
        <v>572</v>
      </c>
      <c r="AQ46" s="282">
        <f t="shared" si="1"/>
        <v>42600</v>
      </c>
      <c r="AR46" s="282">
        <f t="shared" si="1"/>
        <v>42600</v>
      </c>
      <c r="AS46" s="282">
        <f t="shared" si="1"/>
        <v>42600</v>
      </c>
      <c r="AT46" s="282">
        <f t="shared" si="1"/>
        <v>0</v>
      </c>
      <c r="AU46" s="282">
        <f t="shared" si="1"/>
        <v>0</v>
      </c>
      <c r="AV46" s="282">
        <f t="shared" si="1"/>
        <v>0</v>
      </c>
      <c r="AW46" s="282">
        <f t="shared" si="1"/>
        <v>0</v>
      </c>
      <c r="AX46" s="282">
        <f t="shared" si="1"/>
        <v>0</v>
      </c>
      <c r="AY46" s="282">
        <f t="shared" si="1"/>
        <v>0</v>
      </c>
      <c r="AZ46" s="282">
        <f t="shared" si="1"/>
        <v>0</v>
      </c>
      <c r="BA46" s="282">
        <f t="shared" si="1"/>
        <v>0</v>
      </c>
      <c r="BB46" s="282">
        <f t="shared" si="1"/>
        <v>0</v>
      </c>
      <c r="BC46" s="282">
        <f t="shared" si="1"/>
        <v>0</v>
      </c>
      <c r="BD46" s="282">
        <f t="shared" si="1"/>
        <v>0</v>
      </c>
      <c r="BE46" s="282">
        <f t="shared" si="1"/>
        <v>0</v>
      </c>
    </row>
    <row r="47" spans="2:77" x14ac:dyDescent="0.2">
      <c r="AP47" s="202" t="s">
        <v>573</v>
      </c>
      <c r="AQ47" s="282">
        <f t="shared" si="1"/>
        <v>0</v>
      </c>
      <c r="AR47" s="282">
        <f t="shared" si="1"/>
        <v>-2189.4247196818515</v>
      </c>
      <c r="AS47" s="282">
        <f t="shared" si="1"/>
        <v>0</v>
      </c>
      <c r="AT47" s="282">
        <f t="shared" si="1"/>
        <v>0</v>
      </c>
      <c r="AU47" s="282">
        <f t="shared" si="1"/>
        <v>0</v>
      </c>
      <c r="AV47" s="282">
        <f t="shared" si="1"/>
        <v>0</v>
      </c>
      <c r="AW47" s="282">
        <f t="shared" si="1"/>
        <v>0</v>
      </c>
      <c r="AX47" s="282">
        <f t="shared" si="1"/>
        <v>0</v>
      </c>
      <c r="AY47" s="282">
        <f t="shared" si="1"/>
        <v>0</v>
      </c>
      <c r="AZ47" s="282">
        <f t="shared" si="1"/>
        <v>0</v>
      </c>
      <c r="BA47" s="282">
        <f t="shared" si="1"/>
        <v>0</v>
      </c>
      <c r="BB47" s="282">
        <f t="shared" si="1"/>
        <v>0</v>
      </c>
      <c r="BC47" s="282">
        <f t="shared" si="1"/>
        <v>0</v>
      </c>
      <c r="BD47" s="282">
        <f t="shared" si="1"/>
        <v>0</v>
      </c>
      <c r="BE47" s="282">
        <f t="shared" si="1"/>
        <v>0</v>
      </c>
    </row>
    <row r="48" spans="2:77" x14ac:dyDescent="0.2">
      <c r="AP48" s="202" t="s">
        <v>515</v>
      </c>
      <c r="AQ48" s="282">
        <f t="shared" si="1"/>
        <v>0</v>
      </c>
      <c r="AR48" s="282">
        <f t="shared" si="1"/>
        <v>0</v>
      </c>
      <c r="AS48" s="282">
        <f t="shared" si="1"/>
        <v>0</v>
      </c>
      <c r="AT48" s="282">
        <f t="shared" si="1"/>
        <v>0</v>
      </c>
      <c r="AU48" s="282">
        <f t="shared" si="1"/>
        <v>0</v>
      </c>
      <c r="AV48" s="282">
        <f t="shared" si="1"/>
        <v>0</v>
      </c>
      <c r="AW48" s="282">
        <f t="shared" si="1"/>
        <v>0</v>
      </c>
      <c r="AX48" s="282">
        <f t="shared" si="1"/>
        <v>0</v>
      </c>
      <c r="AY48" s="282">
        <f t="shared" si="1"/>
        <v>0</v>
      </c>
      <c r="AZ48" s="282">
        <f t="shared" si="1"/>
        <v>0</v>
      </c>
      <c r="BA48" s="282">
        <f t="shared" si="1"/>
        <v>0</v>
      </c>
      <c r="BB48" s="282">
        <f t="shared" si="1"/>
        <v>0</v>
      </c>
      <c r="BC48" s="282">
        <f t="shared" si="1"/>
        <v>0</v>
      </c>
      <c r="BD48" s="282">
        <f t="shared" si="1"/>
        <v>0</v>
      </c>
      <c r="BE48" s="282">
        <f t="shared" si="1"/>
        <v>39500</v>
      </c>
    </row>
    <row r="49" spans="42:57" x14ac:dyDescent="0.2">
      <c r="AP49" s="202" t="s">
        <v>565</v>
      </c>
      <c r="AQ49" s="282">
        <f t="shared" si="1"/>
        <v>0</v>
      </c>
      <c r="AR49" s="282">
        <f t="shared" si="1"/>
        <v>0</v>
      </c>
      <c r="AS49" s="282">
        <f t="shared" si="1"/>
        <v>0</v>
      </c>
      <c r="AT49" s="282">
        <f t="shared" si="1"/>
        <v>0</v>
      </c>
      <c r="AU49" s="282">
        <f t="shared" si="1"/>
        <v>0</v>
      </c>
      <c r="AV49" s="282">
        <f t="shared" si="1"/>
        <v>0</v>
      </c>
      <c r="AW49" s="282">
        <f t="shared" si="1"/>
        <v>0</v>
      </c>
      <c r="AX49" s="282">
        <f t="shared" si="1"/>
        <v>0</v>
      </c>
      <c r="AY49" s="282">
        <f t="shared" si="1"/>
        <v>0</v>
      </c>
      <c r="AZ49" s="282">
        <f t="shared" si="1"/>
        <v>0</v>
      </c>
      <c r="BA49" s="282">
        <f t="shared" si="1"/>
        <v>0</v>
      </c>
      <c r="BB49" s="282">
        <f t="shared" si="1"/>
        <v>0</v>
      </c>
      <c r="BC49" s="282">
        <f t="shared" si="1"/>
        <v>0</v>
      </c>
      <c r="BD49" s="282">
        <f t="shared" si="1"/>
        <v>0</v>
      </c>
      <c r="BE49" s="282">
        <f t="shared" si="1"/>
        <v>0</v>
      </c>
    </row>
    <row r="50" spans="42:57" ht="16" x14ac:dyDescent="0.2">
      <c r="AP50" s="203" t="s">
        <v>547</v>
      </c>
      <c r="AQ50" s="282">
        <f t="shared" si="1"/>
        <v>0</v>
      </c>
      <c r="AR50" s="282">
        <f t="shared" si="1"/>
        <v>0</v>
      </c>
      <c r="AS50" s="282">
        <f t="shared" si="1"/>
        <v>0</v>
      </c>
      <c r="AT50" s="282">
        <f t="shared" si="1"/>
        <v>-6442.5099571670216</v>
      </c>
      <c r="AU50" s="282">
        <f t="shared" si="1"/>
        <v>0</v>
      </c>
      <c r="AV50" s="282">
        <f t="shared" si="1"/>
        <v>0</v>
      </c>
      <c r="AW50" s="282">
        <f t="shared" si="1"/>
        <v>0</v>
      </c>
      <c r="AX50" s="282">
        <f t="shared" si="1"/>
        <v>0</v>
      </c>
      <c r="AY50" s="282">
        <f t="shared" si="1"/>
        <v>0</v>
      </c>
      <c r="AZ50" s="282">
        <f t="shared" si="1"/>
        <v>0</v>
      </c>
      <c r="BA50" s="282">
        <f t="shared" si="1"/>
        <v>0</v>
      </c>
      <c r="BB50" s="282">
        <f t="shared" si="1"/>
        <v>0</v>
      </c>
      <c r="BC50" s="282">
        <f t="shared" si="1"/>
        <v>0</v>
      </c>
      <c r="BD50" s="282">
        <f t="shared" si="1"/>
        <v>0</v>
      </c>
      <c r="BE50" s="282">
        <f t="shared" si="1"/>
        <v>0</v>
      </c>
    </row>
    <row r="51" spans="42:57" x14ac:dyDescent="0.2">
      <c r="AP51" s="202" t="s">
        <v>513</v>
      </c>
      <c r="AQ51" s="282">
        <f t="shared" si="1"/>
        <v>0</v>
      </c>
      <c r="AR51" s="282">
        <f t="shared" si="1"/>
        <v>0</v>
      </c>
      <c r="AS51" s="282">
        <f t="shared" si="1"/>
        <v>0</v>
      </c>
      <c r="AT51" s="282">
        <f t="shared" si="1"/>
        <v>0</v>
      </c>
      <c r="AU51" s="282">
        <f t="shared" si="1"/>
        <v>0</v>
      </c>
      <c r="AV51" s="282">
        <f t="shared" si="1"/>
        <v>0</v>
      </c>
      <c r="AW51" s="282">
        <f t="shared" si="1"/>
        <v>0</v>
      </c>
      <c r="AX51" s="282">
        <f t="shared" si="1"/>
        <v>0</v>
      </c>
      <c r="AY51" s="282">
        <f t="shared" si="1"/>
        <v>0</v>
      </c>
      <c r="AZ51" s="282">
        <f t="shared" si="1"/>
        <v>0</v>
      </c>
      <c r="BA51" s="282">
        <f t="shared" si="1"/>
        <v>0</v>
      </c>
      <c r="BB51" s="282">
        <f t="shared" si="1"/>
        <v>0</v>
      </c>
      <c r="BC51" s="282">
        <f t="shared" si="1"/>
        <v>0</v>
      </c>
      <c r="BD51" s="282">
        <f t="shared" si="1"/>
        <v>0</v>
      </c>
      <c r="BE51" s="282">
        <f t="shared" si="1"/>
        <v>0</v>
      </c>
    </row>
    <row r="52" spans="42:57" ht="16" x14ac:dyDescent="0.2">
      <c r="AP52" s="203" t="s">
        <v>516</v>
      </c>
      <c r="AQ52" s="282">
        <f t="shared" si="1"/>
        <v>0</v>
      </c>
      <c r="AR52" s="282">
        <f t="shared" si="1"/>
        <v>0</v>
      </c>
      <c r="AS52" s="282">
        <f t="shared" si="1"/>
        <v>0</v>
      </c>
      <c r="AT52" s="282">
        <f t="shared" si="1"/>
        <v>0</v>
      </c>
      <c r="AU52" s="282">
        <f t="shared" si="1"/>
        <v>-12112.03618380849</v>
      </c>
      <c r="AV52" s="282">
        <f t="shared" si="1"/>
        <v>0</v>
      </c>
      <c r="AW52" s="282">
        <f t="shared" si="1"/>
        <v>0</v>
      </c>
      <c r="AX52" s="282">
        <f t="shared" si="1"/>
        <v>0</v>
      </c>
      <c r="AY52" s="282">
        <f t="shared" si="1"/>
        <v>0</v>
      </c>
      <c r="AZ52" s="282">
        <f t="shared" si="1"/>
        <v>0</v>
      </c>
      <c r="BA52" s="282">
        <f t="shared" si="1"/>
        <v>0</v>
      </c>
      <c r="BB52" s="282">
        <f t="shared" si="1"/>
        <v>0</v>
      </c>
      <c r="BC52" s="282">
        <f t="shared" si="1"/>
        <v>0</v>
      </c>
      <c r="BD52" s="282">
        <f t="shared" si="1"/>
        <v>0</v>
      </c>
      <c r="BE52" s="282">
        <f t="shared" si="1"/>
        <v>0</v>
      </c>
    </row>
    <row r="53" spans="42:57" x14ac:dyDescent="0.2">
      <c r="AP53" s="202" t="s">
        <v>542</v>
      </c>
      <c r="AQ53" s="282">
        <f t="shared" si="1"/>
        <v>0</v>
      </c>
      <c r="AR53" s="282">
        <f t="shared" si="1"/>
        <v>0</v>
      </c>
      <c r="AS53" s="282">
        <f t="shared" si="1"/>
        <v>0</v>
      </c>
      <c r="AT53" s="282">
        <f t="shared" si="1"/>
        <v>0</v>
      </c>
      <c r="AU53" s="282">
        <f t="shared" si="1"/>
        <v>0</v>
      </c>
      <c r="AV53" s="282">
        <f t="shared" si="1"/>
        <v>0</v>
      </c>
      <c r="AW53" s="282">
        <f t="shared" si="1"/>
        <v>0</v>
      </c>
      <c r="AX53" s="282">
        <f t="shared" si="1"/>
        <v>0</v>
      </c>
      <c r="AY53" s="282">
        <f t="shared" si="1"/>
        <v>0</v>
      </c>
      <c r="AZ53" s="282">
        <f t="shared" si="1"/>
        <v>0</v>
      </c>
      <c r="BA53" s="282">
        <f t="shared" si="1"/>
        <v>0</v>
      </c>
      <c r="BB53" s="282">
        <f t="shared" si="1"/>
        <v>0</v>
      </c>
      <c r="BC53" s="282">
        <f t="shared" si="1"/>
        <v>0</v>
      </c>
      <c r="BD53" s="282">
        <f t="shared" si="1"/>
        <v>0</v>
      </c>
      <c r="BE53" s="282">
        <f t="shared" si="1"/>
        <v>0</v>
      </c>
    </row>
    <row r="54" spans="42:57" x14ac:dyDescent="0.2">
      <c r="AP54" s="204" t="s">
        <v>534</v>
      </c>
      <c r="AQ54" s="282">
        <f t="shared" si="1"/>
        <v>0</v>
      </c>
      <c r="AR54" s="282">
        <f t="shared" si="1"/>
        <v>0</v>
      </c>
      <c r="AS54" s="282">
        <f t="shared" si="1"/>
        <v>0</v>
      </c>
      <c r="AT54" s="282">
        <f t="shared" si="1"/>
        <v>0</v>
      </c>
      <c r="AU54" s="282">
        <f t="shared" si="1"/>
        <v>0</v>
      </c>
      <c r="AV54" s="282" t="e">
        <f t="shared" si="1"/>
        <v>#REF!</v>
      </c>
      <c r="AW54" s="282">
        <f t="shared" si="1"/>
        <v>0</v>
      </c>
      <c r="AX54" s="282">
        <f t="shared" si="1"/>
        <v>0</v>
      </c>
      <c r="AY54" s="282">
        <f t="shared" si="1"/>
        <v>0</v>
      </c>
      <c r="AZ54" s="282">
        <f t="shared" si="1"/>
        <v>0</v>
      </c>
      <c r="BA54" s="282">
        <f t="shared" si="1"/>
        <v>0</v>
      </c>
      <c r="BB54" s="282">
        <f t="shared" si="1"/>
        <v>0</v>
      </c>
      <c r="BC54" s="282">
        <f t="shared" si="1"/>
        <v>0</v>
      </c>
      <c r="BD54" s="282">
        <f t="shared" si="1"/>
        <v>0</v>
      </c>
      <c r="BE54" s="282">
        <f t="shared" si="1"/>
        <v>0</v>
      </c>
    </row>
    <row r="55" spans="42:57" x14ac:dyDescent="0.2">
      <c r="AP55" s="202" t="s">
        <v>520</v>
      </c>
      <c r="AQ55" s="282">
        <f t="shared" si="1"/>
        <v>0</v>
      </c>
      <c r="AR55" s="282">
        <f t="shared" si="1"/>
        <v>0</v>
      </c>
      <c r="AS55" s="282">
        <f t="shared" si="1"/>
        <v>0</v>
      </c>
      <c r="AT55" s="282">
        <f t="shared" si="1"/>
        <v>0</v>
      </c>
      <c r="AU55" s="282">
        <f t="shared" si="1"/>
        <v>0</v>
      </c>
      <c r="AV55" s="282">
        <f t="shared" si="1"/>
        <v>0</v>
      </c>
      <c r="AW55" s="282">
        <f t="shared" si="1"/>
        <v>0</v>
      </c>
      <c r="AX55" s="282">
        <f t="shared" si="1"/>
        <v>0</v>
      </c>
      <c r="AY55" s="282">
        <f t="shared" si="1"/>
        <v>0</v>
      </c>
      <c r="AZ55" s="282">
        <f t="shared" si="1"/>
        <v>0</v>
      </c>
      <c r="BA55" s="282">
        <f t="shared" si="1"/>
        <v>0</v>
      </c>
      <c r="BB55" s="282">
        <f t="shared" si="1"/>
        <v>0</v>
      </c>
      <c r="BC55" s="282">
        <f t="shared" si="1"/>
        <v>0</v>
      </c>
      <c r="BD55" s="282">
        <f t="shared" si="1"/>
        <v>0</v>
      </c>
      <c r="BE55" s="282">
        <f t="shared" si="1"/>
        <v>0</v>
      </c>
    </row>
    <row r="56" spans="42:57" ht="16" x14ac:dyDescent="0.2">
      <c r="AP56" s="203" t="s">
        <v>546</v>
      </c>
      <c r="AQ56" s="282">
        <f t="shared" si="1"/>
        <v>0</v>
      </c>
      <c r="AR56" s="282">
        <f t="shared" si="1"/>
        <v>0</v>
      </c>
      <c r="AS56" s="282">
        <f t="shared" si="1"/>
        <v>0</v>
      </c>
      <c r="AT56" s="282">
        <f t="shared" si="1"/>
        <v>0</v>
      </c>
      <c r="AU56" s="282">
        <f t="shared" si="1"/>
        <v>0</v>
      </c>
      <c r="AV56" s="282">
        <f t="shared" si="1"/>
        <v>0</v>
      </c>
      <c r="AW56" s="282">
        <f t="shared" si="1"/>
        <v>-6442.5099571670216</v>
      </c>
      <c r="AX56" s="282">
        <f t="shared" si="1"/>
        <v>0</v>
      </c>
      <c r="AY56" s="282">
        <f t="shared" si="1"/>
        <v>0</v>
      </c>
      <c r="AZ56" s="282">
        <f t="shared" si="1"/>
        <v>0</v>
      </c>
      <c r="BA56" s="282">
        <f t="shared" si="1"/>
        <v>0</v>
      </c>
      <c r="BB56" s="282">
        <f t="shared" si="1"/>
        <v>0</v>
      </c>
      <c r="BC56" s="282">
        <f t="shared" si="1"/>
        <v>0</v>
      </c>
      <c r="BD56" s="282">
        <f t="shared" si="1"/>
        <v>0</v>
      </c>
      <c r="BE56" s="282">
        <f t="shared" si="1"/>
        <v>0</v>
      </c>
    </row>
    <row r="57" spans="42:57" ht="16" x14ac:dyDescent="0.2">
      <c r="AP57" s="203" t="s">
        <v>541</v>
      </c>
      <c r="AQ57" s="282">
        <f t="shared" si="1"/>
        <v>0</v>
      </c>
      <c r="AR57" s="282">
        <f t="shared" si="1"/>
        <v>0</v>
      </c>
      <c r="AS57" s="282">
        <f t="shared" si="1"/>
        <v>0</v>
      </c>
      <c r="AT57" s="282">
        <f t="shared" si="1"/>
        <v>0</v>
      </c>
      <c r="AU57" s="282">
        <f t="shared" si="1"/>
        <v>0</v>
      </c>
      <c r="AV57" s="282">
        <f t="shared" si="1"/>
        <v>0</v>
      </c>
      <c r="AW57" s="282">
        <f t="shared" si="1"/>
        <v>0</v>
      </c>
      <c r="AX57" s="282">
        <f t="shared" si="1"/>
        <v>-12112.03618380849</v>
      </c>
      <c r="AY57" s="282">
        <f t="shared" si="1"/>
        <v>0</v>
      </c>
      <c r="AZ57" s="282">
        <f t="shared" si="1"/>
        <v>0</v>
      </c>
      <c r="BA57" s="282">
        <f t="shared" si="1"/>
        <v>0</v>
      </c>
      <c r="BB57" s="282">
        <f t="shared" si="1"/>
        <v>0</v>
      </c>
      <c r="BC57" s="282">
        <f t="shared" ref="AR57:BE72" si="2">BC97</f>
        <v>0</v>
      </c>
      <c r="BD57" s="282">
        <f t="shared" si="2"/>
        <v>0</v>
      </c>
      <c r="BE57" s="282">
        <f t="shared" si="2"/>
        <v>0</v>
      </c>
    </row>
    <row r="58" spans="42:57" ht="16" x14ac:dyDescent="0.2">
      <c r="AP58" s="203" t="s">
        <v>538</v>
      </c>
      <c r="AQ58" s="282">
        <f t="shared" si="1"/>
        <v>0</v>
      </c>
      <c r="AR58" s="282">
        <f t="shared" si="2"/>
        <v>0</v>
      </c>
      <c r="AS58" s="282">
        <f t="shared" si="2"/>
        <v>0</v>
      </c>
      <c r="AT58" s="282">
        <f t="shared" si="2"/>
        <v>0</v>
      </c>
      <c r="AU58" s="282">
        <f t="shared" si="2"/>
        <v>0</v>
      </c>
      <c r="AV58" s="282">
        <f t="shared" si="2"/>
        <v>0</v>
      </c>
      <c r="AW58" s="282">
        <f t="shared" si="2"/>
        <v>0</v>
      </c>
      <c r="AX58" s="282">
        <f t="shared" si="2"/>
        <v>0</v>
      </c>
      <c r="AY58" s="282" t="e">
        <f t="shared" si="2"/>
        <v>#REF!</v>
      </c>
      <c r="AZ58" s="282">
        <f t="shared" si="2"/>
        <v>0</v>
      </c>
      <c r="BA58" s="282">
        <f t="shared" si="2"/>
        <v>0</v>
      </c>
      <c r="BB58" s="282">
        <f t="shared" si="2"/>
        <v>0</v>
      </c>
      <c r="BC58" s="282">
        <f t="shared" si="2"/>
        <v>0</v>
      </c>
      <c r="BD58" s="282">
        <f t="shared" si="2"/>
        <v>0</v>
      </c>
      <c r="BE58" s="282">
        <f t="shared" si="2"/>
        <v>0</v>
      </c>
    </row>
    <row r="59" spans="42:57" ht="16" x14ac:dyDescent="0.2">
      <c r="AP59" s="203" t="s">
        <v>544</v>
      </c>
      <c r="AQ59" s="282">
        <f t="shared" si="1"/>
        <v>0</v>
      </c>
      <c r="AR59" s="282">
        <f t="shared" si="2"/>
        <v>0</v>
      </c>
      <c r="AS59" s="282">
        <f t="shared" si="2"/>
        <v>0</v>
      </c>
      <c r="AT59" s="282">
        <f t="shared" si="2"/>
        <v>0</v>
      </c>
      <c r="AU59" s="282">
        <f t="shared" si="2"/>
        <v>0</v>
      </c>
      <c r="AV59" s="282">
        <f t="shared" si="2"/>
        <v>0</v>
      </c>
      <c r="AW59" s="282">
        <f t="shared" si="2"/>
        <v>0</v>
      </c>
      <c r="AX59" s="282">
        <f t="shared" si="2"/>
        <v>0</v>
      </c>
      <c r="AY59" s="282">
        <f t="shared" si="2"/>
        <v>0</v>
      </c>
      <c r="AZ59" s="282">
        <f t="shared" si="2"/>
        <v>0</v>
      </c>
      <c r="BA59" s="282">
        <f t="shared" si="2"/>
        <v>0</v>
      </c>
      <c r="BB59" s="282">
        <f t="shared" si="2"/>
        <v>0</v>
      </c>
      <c r="BC59" s="282">
        <f t="shared" si="2"/>
        <v>0</v>
      </c>
      <c r="BD59" s="282">
        <f t="shared" si="2"/>
        <v>-6350.2001773318216</v>
      </c>
      <c r="BE59" s="282">
        <f t="shared" si="2"/>
        <v>0</v>
      </c>
    </row>
    <row r="60" spans="42:57" x14ac:dyDescent="0.2">
      <c r="AP60" s="204" t="s">
        <v>543</v>
      </c>
      <c r="AQ60" s="282">
        <f t="shared" si="1"/>
        <v>0</v>
      </c>
      <c r="AR60" s="282">
        <f t="shared" si="2"/>
        <v>0</v>
      </c>
      <c r="AS60" s="282">
        <f t="shared" si="2"/>
        <v>0</v>
      </c>
      <c r="AT60" s="282">
        <f t="shared" si="2"/>
        <v>0</v>
      </c>
      <c r="AU60" s="282">
        <f t="shared" si="2"/>
        <v>0</v>
      </c>
      <c r="AV60" s="282">
        <f t="shared" si="2"/>
        <v>0</v>
      </c>
      <c r="AW60" s="282">
        <f t="shared" si="2"/>
        <v>0</v>
      </c>
      <c r="AX60" s="282">
        <f t="shared" si="2"/>
        <v>0</v>
      </c>
      <c r="AY60" s="282">
        <f t="shared" si="2"/>
        <v>0</v>
      </c>
      <c r="AZ60" s="282">
        <f t="shared" si="2"/>
        <v>0</v>
      </c>
      <c r="BA60" s="282">
        <f t="shared" si="2"/>
        <v>0</v>
      </c>
      <c r="BB60" s="282">
        <f t="shared" si="2"/>
        <v>0</v>
      </c>
      <c r="BC60" s="282">
        <f t="shared" si="2"/>
        <v>0</v>
      </c>
      <c r="BD60" s="282">
        <f t="shared" si="2"/>
        <v>0</v>
      </c>
      <c r="BE60" s="282">
        <f t="shared" si="2"/>
        <v>0</v>
      </c>
    </row>
    <row r="61" spans="42:57" x14ac:dyDescent="0.2">
      <c r="AP61" s="204" t="s">
        <v>528</v>
      </c>
      <c r="AQ61" s="282">
        <f t="shared" si="1"/>
        <v>0</v>
      </c>
      <c r="AR61" s="282">
        <f t="shared" si="2"/>
        <v>0</v>
      </c>
      <c r="AS61" s="282">
        <f t="shared" si="2"/>
        <v>0</v>
      </c>
      <c r="AT61" s="282">
        <f t="shared" si="2"/>
        <v>0</v>
      </c>
      <c r="AU61" s="282">
        <f t="shared" si="2"/>
        <v>0</v>
      </c>
      <c r="AV61" s="282">
        <f t="shared" si="2"/>
        <v>0</v>
      </c>
      <c r="AW61" s="282">
        <f t="shared" si="2"/>
        <v>0</v>
      </c>
      <c r="AX61" s="282">
        <f t="shared" si="2"/>
        <v>0</v>
      </c>
      <c r="AY61" s="282">
        <f t="shared" si="2"/>
        <v>0</v>
      </c>
      <c r="AZ61" s="282">
        <f t="shared" si="2"/>
        <v>-12112.03618380849</v>
      </c>
      <c r="BA61" s="282">
        <f t="shared" si="2"/>
        <v>0</v>
      </c>
      <c r="BB61" s="282">
        <f t="shared" si="2"/>
        <v>0</v>
      </c>
      <c r="BC61" s="282">
        <f t="shared" si="2"/>
        <v>0</v>
      </c>
      <c r="BD61" s="282">
        <f t="shared" si="2"/>
        <v>0</v>
      </c>
      <c r="BE61" s="282">
        <f t="shared" si="2"/>
        <v>0</v>
      </c>
    </row>
    <row r="62" spans="42:57" x14ac:dyDescent="0.2">
      <c r="AP62" s="204" t="s">
        <v>562</v>
      </c>
      <c r="AQ62" s="282">
        <f t="shared" si="1"/>
        <v>0</v>
      </c>
      <c r="AR62" s="282">
        <f t="shared" si="2"/>
        <v>0</v>
      </c>
      <c r="AS62" s="282">
        <f t="shared" si="2"/>
        <v>0</v>
      </c>
      <c r="AT62" s="282">
        <f t="shared" si="2"/>
        <v>0</v>
      </c>
      <c r="AU62" s="282">
        <f t="shared" si="2"/>
        <v>0</v>
      </c>
      <c r="AV62" s="282">
        <f t="shared" si="2"/>
        <v>0</v>
      </c>
      <c r="AW62" s="282">
        <f t="shared" si="2"/>
        <v>0</v>
      </c>
      <c r="AX62" s="282">
        <f t="shared" si="2"/>
        <v>0</v>
      </c>
      <c r="AY62" s="282">
        <f t="shared" si="2"/>
        <v>0</v>
      </c>
      <c r="AZ62" s="282">
        <f t="shared" si="2"/>
        <v>0</v>
      </c>
      <c r="BA62" s="282" t="e">
        <f t="shared" si="2"/>
        <v>#REF!</v>
      </c>
      <c r="BB62" s="282">
        <f t="shared" si="2"/>
        <v>0</v>
      </c>
      <c r="BC62" s="282">
        <f t="shared" si="2"/>
        <v>0</v>
      </c>
      <c r="BD62" s="282">
        <f t="shared" si="2"/>
        <v>0</v>
      </c>
      <c r="BE62" s="282">
        <f t="shared" si="2"/>
        <v>0</v>
      </c>
    </row>
    <row r="63" spans="42:57" x14ac:dyDescent="0.2">
      <c r="AP63" s="204" t="s">
        <v>529</v>
      </c>
      <c r="AQ63" s="282">
        <f t="shared" si="1"/>
        <v>0</v>
      </c>
      <c r="AR63" s="282">
        <f t="shared" si="2"/>
        <v>0</v>
      </c>
      <c r="AS63" s="282">
        <f t="shared" si="2"/>
        <v>0</v>
      </c>
      <c r="AT63" s="282">
        <f t="shared" si="2"/>
        <v>0</v>
      </c>
      <c r="AU63" s="282">
        <f t="shared" si="2"/>
        <v>0</v>
      </c>
      <c r="AV63" s="282">
        <f t="shared" si="2"/>
        <v>0</v>
      </c>
      <c r="AW63" s="282">
        <f t="shared" si="2"/>
        <v>0</v>
      </c>
      <c r="AX63" s="282">
        <f t="shared" si="2"/>
        <v>0</v>
      </c>
      <c r="AY63" s="282">
        <f t="shared" si="2"/>
        <v>0</v>
      </c>
      <c r="AZ63" s="282">
        <f t="shared" si="2"/>
        <v>0</v>
      </c>
      <c r="BA63" s="282">
        <f t="shared" si="2"/>
        <v>0</v>
      </c>
      <c r="BB63" s="282">
        <f t="shared" si="2"/>
        <v>0</v>
      </c>
      <c r="BC63" s="282">
        <f t="shared" si="2"/>
        <v>0</v>
      </c>
      <c r="BD63" s="282">
        <f t="shared" si="2"/>
        <v>-11321.85158370395</v>
      </c>
      <c r="BE63" s="282">
        <f t="shared" si="2"/>
        <v>0</v>
      </c>
    </row>
    <row r="64" spans="42:57" x14ac:dyDescent="0.2">
      <c r="AP64" s="204" t="s">
        <v>531</v>
      </c>
      <c r="AQ64" s="282">
        <f t="shared" si="1"/>
        <v>0</v>
      </c>
      <c r="AR64" s="282">
        <f t="shared" si="2"/>
        <v>0</v>
      </c>
      <c r="AS64" s="282">
        <f t="shared" si="2"/>
        <v>0</v>
      </c>
      <c r="AT64" s="282">
        <f t="shared" si="2"/>
        <v>0</v>
      </c>
      <c r="AU64" s="282">
        <f t="shared" si="2"/>
        <v>0</v>
      </c>
      <c r="AV64" s="282">
        <f t="shared" si="2"/>
        <v>0</v>
      </c>
      <c r="AW64" s="282">
        <f t="shared" si="2"/>
        <v>0</v>
      </c>
      <c r="AX64" s="282">
        <f t="shared" si="2"/>
        <v>0</v>
      </c>
      <c r="AY64" s="282">
        <f t="shared" si="2"/>
        <v>0</v>
      </c>
      <c r="AZ64" s="282">
        <f t="shared" si="2"/>
        <v>0</v>
      </c>
      <c r="BA64" s="282">
        <f t="shared" si="2"/>
        <v>0</v>
      </c>
      <c r="BB64" s="282">
        <f t="shared" si="2"/>
        <v>0</v>
      </c>
      <c r="BC64" s="282">
        <f t="shared" si="2"/>
        <v>0</v>
      </c>
      <c r="BD64" s="282">
        <f t="shared" si="2"/>
        <v>0</v>
      </c>
      <c r="BE64" s="282">
        <f t="shared" si="2"/>
        <v>0</v>
      </c>
    </row>
    <row r="65" spans="42:64" x14ac:dyDescent="0.2">
      <c r="AP65" s="204" t="s">
        <v>530</v>
      </c>
      <c r="AQ65" s="282">
        <f t="shared" si="1"/>
        <v>0</v>
      </c>
      <c r="AR65" s="282">
        <f t="shared" si="2"/>
        <v>0</v>
      </c>
      <c r="AS65" s="282">
        <f t="shared" si="2"/>
        <v>0</v>
      </c>
      <c r="AT65" s="282">
        <f t="shared" si="2"/>
        <v>0</v>
      </c>
      <c r="AU65" s="282">
        <f t="shared" si="2"/>
        <v>0</v>
      </c>
      <c r="AV65" s="282">
        <f t="shared" si="2"/>
        <v>0</v>
      </c>
      <c r="AW65" s="282">
        <f t="shared" si="2"/>
        <v>0</v>
      </c>
      <c r="AX65" s="282">
        <f t="shared" si="2"/>
        <v>0</v>
      </c>
      <c r="AY65" s="282">
        <f t="shared" si="2"/>
        <v>0</v>
      </c>
      <c r="AZ65" s="282">
        <f t="shared" si="2"/>
        <v>0</v>
      </c>
      <c r="BA65" s="282">
        <f t="shared" si="2"/>
        <v>0</v>
      </c>
      <c r="BB65" s="282">
        <f t="shared" si="2"/>
        <v>0</v>
      </c>
      <c r="BC65" s="282">
        <f t="shared" si="2"/>
        <v>0</v>
      </c>
      <c r="BD65" s="282">
        <f t="shared" si="2"/>
        <v>0</v>
      </c>
      <c r="BE65" s="282">
        <f t="shared" si="2"/>
        <v>0</v>
      </c>
    </row>
    <row r="66" spans="42:64" x14ac:dyDescent="0.2">
      <c r="AP66" s="204" t="s">
        <v>627</v>
      </c>
      <c r="AQ66" s="282">
        <f t="shared" si="1"/>
        <v>0</v>
      </c>
      <c r="AR66" s="282">
        <f t="shared" si="2"/>
        <v>0</v>
      </c>
      <c r="AS66" s="282">
        <f t="shared" si="2"/>
        <v>0</v>
      </c>
      <c r="AT66" s="282">
        <f t="shared" si="2"/>
        <v>0</v>
      </c>
      <c r="AU66" s="282">
        <f t="shared" si="2"/>
        <v>0</v>
      </c>
      <c r="AV66" s="282">
        <f t="shared" si="2"/>
        <v>0</v>
      </c>
      <c r="AW66" s="282">
        <f t="shared" si="2"/>
        <v>0</v>
      </c>
      <c r="AX66" s="282">
        <f t="shared" si="2"/>
        <v>0</v>
      </c>
      <c r="AY66" s="282">
        <f t="shared" si="2"/>
        <v>0</v>
      </c>
      <c r="AZ66" s="282">
        <f t="shared" si="2"/>
        <v>0</v>
      </c>
      <c r="BA66" s="282">
        <f t="shared" si="2"/>
        <v>0</v>
      </c>
      <c r="BB66" s="282">
        <f t="shared" si="2"/>
        <v>0</v>
      </c>
      <c r="BC66" s="282">
        <f t="shared" si="2"/>
        <v>0</v>
      </c>
      <c r="BD66" s="282">
        <f t="shared" si="2"/>
        <v>0</v>
      </c>
      <c r="BE66" s="282">
        <f t="shared" si="2"/>
        <v>0</v>
      </c>
    </row>
    <row r="67" spans="42:64" ht="16" x14ac:dyDescent="0.2">
      <c r="AP67" s="251" t="s">
        <v>526</v>
      </c>
      <c r="AQ67" s="282">
        <f t="shared" si="1"/>
        <v>0</v>
      </c>
      <c r="AR67" s="282">
        <f t="shared" si="2"/>
        <v>0</v>
      </c>
      <c r="AS67" s="282">
        <f t="shared" si="2"/>
        <v>0</v>
      </c>
      <c r="AT67" s="282">
        <f t="shared" si="2"/>
        <v>0</v>
      </c>
      <c r="AU67" s="282">
        <f t="shared" si="2"/>
        <v>0</v>
      </c>
      <c r="AV67" s="282">
        <f t="shared" si="2"/>
        <v>0</v>
      </c>
      <c r="AW67" s="282">
        <f t="shared" si="2"/>
        <v>0</v>
      </c>
      <c r="AX67" s="282">
        <f t="shared" si="2"/>
        <v>0</v>
      </c>
      <c r="AY67" s="282">
        <f t="shared" si="2"/>
        <v>0</v>
      </c>
      <c r="AZ67" s="282">
        <f t="shared" si="2"/>
        <v>0</v>
      </c>
      <c r="BA67" s="282">
        <f t="shared" si="2"/>
        <v>0</v>
      </c>
      <c r="BB67" s="282" t="e">
        <f t="shared" si="2"/>
        <v>#REF!</v>
      </c>
      <c r="BC67" s="282">
        <f t="shared" si="2"/>
        <v>0</v>
      </c>
      <c r="BD67" s="282">
        <f t="shared" si="2"/>
        <v>0</v>
      </c>
      <c r="BE67" s="282">
        <f t="shared" si="2"/>
        <v>0</v>
      </c>
    </row>
    <row r="68" spans="42:64" x14ac:dyDescent="0.2">
      <c r="AP68" s="204" t="s">
        <v>525</v>
      </c>
      <c r="AQ68" s="282">
        <f t="shared" si="1"/>
        <v>0</v>
      </c>
      <c r="AR68" s="282">
        <f t="shared" si="2"/>
        <v>0</v>
      </c>
      <c r="AS68" s="282">
        <f t="shared" si="2"/>
        <v>0</v>
      </c>
      <c r="AT68" s="282">
        <f t="shared" si="2"/>
        <v>0</v>
      </c>
      <c r="AU68" s="282">
        <f t="shared" si="2"/>
        <v>0</v>
      </c>
      <c r="AV68" s="282">
        <f t="shared" si="2"/>
        <v>0</v>
      </c>
      <c r="AW68" s="282">
        <f t="shared" si="2"/>
        <v>0</v>
      </c>
      <c r="AX68" s="282">
        <f t="shared" si="2"/>
        <v>0</v>
      </c>
      <c r="AY68" s="282">
        <f t="shared" si="2"/>
        <v>0</v>
      </c>
      <c r="AZ68" s="282">
        <f t="shared" si="2"/>
        <v>0</v>
      </c>
      <c r="BA68" s="282">
        <f t="shared" si="2"/>
        <v>0</v>
      </c>
      <c r="BB68" s="282">
        <f t="shared" si="2"/>
        <v>0</v>
      </c>
      <c r="BC68" s="282">
        <f t="shared" si="2"/>
        <v>0</v>
      </c>
      <c r="BD68" s="282">
        <f t="shared" si="2"/>
        <v>0</v>
      </c>
      <c r="BE68" s="282">
        <f t="shared" si="2"/>
        <v>0</v>
      </c>
    </row>
    <row r="69" spans="42:64" x14ac:dyDescent="0.2">
      <c r="AP69" s="202" t="s">
        <v>527</v>
      </c>
      <c r="AQ69" s="282">
        <f t="shared" si="1"/>
        <v>0</v>
      </c>
      <c r="AR69" s="282">
        <f t="shared" si="2"/>
        <v>0</v>
      </c>
      <c r="AS69" s="282">
        <f t="shared" si="2"/>
        <v>0</v>
      </c>
      <c r="AT69" s="282">
        <f t="shared" si="2"/>
        <v>0</v>
      </c>
      <c r="AU69" s="282">
        <f t="shared" si="2"/>
        <v>0</v>
      </c>
      <c r="AV69" s="282">
        <f t="shared" si="2"/>
        <v>0</v>
      </c>
      <c r="AW69" s="282">
        <f t="shared" si="2"/>
        <v>0</v>
      </c>
      <c r="AX69" s="282">
        <f t="shared" si="2"/>
        <v>0</v>
      </c>
      <c r="AY69" s="282">
        <f t="shared" si="2"/>
        <v>0</v>
      </c>
      <c r="AZ69" s="282">
        <f t="shared" si="2"/>
        <v>0</v>
      </c>
      <c r="BA69" s="282">
        <f t="shared" si="2"/>
        <v>0</v>
      </c>
      <c r="BB69" s="282">
        <f t="shared" si="2"/>
        <v>0</v>
      </c>
      <c r="BC69" s="282">
        <f t="shared" si="2"/>
        <v>0</v>
      </c>
      <c r="BD69" s="282">
        <f t="shared" si="2"/>
        <v>0</v>
      </c>
      <c r="BE69" s="282">
        <f t="shared" si="2"/>
        <v>0</v>
      </c>
    </row>
    <row r="70" spans="42:64" x14ac:dyDescent="0.2">
      <c r="AP70" s="204" t="s">
        <v>666</v>
      </c>
      <c r="AQ70" s="282">
        <f t="shared" si="1"/>
        <v>0</v>
      </c>
      <c r="AR70" s="282">
        <f t="shared" si="2"/>
        <v>0</v>
      </c>
      <c r="AS70" s="282">
        <f t="shared" si="2"/>
        <v>0</v>
      </c>
      <c r="AT70" s="282">
        <f t="shared" si="2"/>
        <v>0</v>
      </c>
      <c r="AU70" s="282">
        <f t="shared" si="2"/>
        <v>0</v>
      </c>
      <c r="AV70" s="282">
        <f t="shared" si="2"/>
        <v>0</v>
      </c>
      <c r="AW70" s="282">
        <f t="shared" si="2"/>
        <v>0</v>
      </c>
      <c r="AX70" s="282">
        <f t="shared" si="2"/>
        <v>0</v>
      </c>
      <c r="AY70" s="282">
        <f t="shared" si="2"/>
        <v>0</v>
      </c>
      <c r="AZ70" s="282">
        <f t="shared" si="2"/>
        <v>0</v>
      </c>
      <c r="BA70" s="282">
        <f t="shared" si="2"/>
        <v>0</v>
      </c>
      <c r="BB70" s="282">
        <f t="shared" si="2"/>
        <v>0</v>
      </c>
      <c r="BC70" s="282">
        <f t="shared" si="2"/>
        <v>6.1564271489094454E-3</v>
      </c>
      <c r="BD70" s="282">
        <f t="shared" si="2"/>
        <v>0</v>
      </c>
      <c r="BE70" s="282">
        <f t="shared" si="2"/>
        <v>0</v>
      </c>
    </row>
    <row r="71" spans="42:64" x14ac:dyDescent="0.2">
      <c r="AP71" s="204" t="s">
        <v>669</v>
      </c>
      <c r="AQ71" s="282">
        <f t="shared" si="1"/>
        <v>0</v>
      </c>
      <c r="AR71" s="282">
        <f t="shared" si="2"/>
        <v>0</v>
      </c>
      <c r="AS71" s="282">
        <f t="shared" si="2"/>
        <v>0</v>
      </c>
      <c r="AT71" s="282">
        <f t="shared" si="2"/>
        <v>0</v>
      </c>
      <c r="AU71" s="282">
        <f t="shared" si="2"/>
        <v>0</v>
      </c>
      <c r="AV71" s="282">
        <f t="shared" si="2"/>
        <v>0</v>
      </c>
      <c r="AW71" s="282">
        <f t="shared" si="2"/>
        <v>0</v>
      </c>
      <c r="AX71" s="282">
        <f t="shared" si="2"/>
        <v>0</v>
      </c>
      <c r="AY71" s="282">
        <f t="shared" si="2"/>
        <v>0</v>
      </c>
      <c r="AZ71" s="282">
        <f t="shared" si="2"/>
        <v>0</v>
      </c>
      <c r="BA71" s="282">
        <f t="shared" si="2"/>
        <v>6.1564271489094463E-3</v>
      </c>
      <c r="BB71" s="282">
        <f t="shared" si="2"/>
        <v>0</v>
      </c>
      <c r="BC71" s="282">
        <f t="shared" si="2"/>
        <v>0</v>
      </c>
      <c r="BD71" s="282">
        <f t="shared" si="2"/>
        <v>0</v>
      </c>
      <c r="BE71" s="282">
        <f t="shared" si="2"/>
        <v>6.1564271489094437E-3</v>
      </c>
    </row>
    <row r="72" spans="42:64" x14ac:dyDescent="0.2">
      <c r="AP72" s="204" t="s">
        <v>550</v>
      </c>
      <c r="AQ72" s="282">
        <f t="shared" si="1"/>
        <v>0</v>
      </c>
      <c r="AR72" s="282">
        <f t="shared" si="2"/>
        <v>0</v>
      </c>
      <c r="AS72" s="282">
        <f t="shared" si="2"/>
        <v>0</v>
      </c>
      <c r="AT72" s="282">
        <f t="shared" si="2"/>
        <v>0</v>
      </c>
      <c r="AU72" s="282">
        <f t="shared" si="2"/>
        <v>0</v>
      </c>
      <c r="AV72" s="282">
        <f t="shared" si="2"/>
        <v>0</v>
      </c>
      <c r="AW72" s="282">
        <f t="shared" si="2"/>
        <v>0</v>
      </c>
      <c r="AX72" s="282">
        <f t="shared" si="2"/>
        <v>0</v>
      </c>
      <c r="AY72" s="282">
        <f t="shared" si="2"/>
        <v>0</v>
      </c>
      <c r="AZ72" s="282">
        <f t="shared" si="2"/>
        <v>0</v>
      </c>
      <c r="BA72" s="282">
        <f t="shared" si="2"/>
        <v>0</v>
      </c>
      <c r="BB72" s="282">
        <f t="shared" si="2"/>
        <v>0</v>
      </c>
      <c r="BC72" s="282">
        <f t="shared" si="2"/>
        <v>0</v>
      </c>
      <c r="BD72" s="282">
        <f t="shared" si="2"/>
        <v>0</v>
      </c>
      <c r="BE72" s="282">
        <f t="shared" si="2"/>
        <v>-5807.700525901595</v>
      </c>
    </row>
    <row r="73" spans="42:64" x14ac:dyDescent="0.2">
      <c r="AP73" s="204" t="s">
        <v>551</v>
      </c>
      <c r="AQ73" s="282">
        <f t="shared" si="1"/>
        <v>0</v>
      </c>
      <c r="AR73" s="282">
        <f t="shared" ref="AR73:BE75" si="3">AR113</f>
        <v>0</v>
      </c>
      <c r="AS73" s="282">
        <f t="shared" si="3"/>
        <v>0</v>
      </c>
      <c r="AT73" s="282">
        <f t="shared" si="3"/>
        <v>0</v>
      </c>
      <c r="AU73" s="282">
        <f t="shared" si="3"/>
        <v>0</v>
      </c>
      <c r="AV73" s="282">
        <f t="shared" si="3"/>
        <v>0</v>
      </c>
      <c r="AW73" s="282">
        <f t="shared" si="3"/>
        <v>0</v>
      </c>
      <c r="AX73" s="282">
        <f t="shared" si="3"/>
        <v>0</v>
      </c>
      <c r="AY73" s="282">
        <f t="shared" si="3"/>
        <v>0</v>
      </c>
      <c r="AZ73" s="282">
        <f t="shared" si="3"/>
        <v>0</v>
      </c>
      <c r="BA73" s="282">
        <f t="shared" si="3"/>
        <v>0</v>
      </c>
      <c r="BB73" s="282">
        <f t="shared" si="3"/>
        <v>0</v>
      </c>
      <c r="BC73" s="282">
        <f t="shared" si="3"/>
        <v>0</v>
      </c>
      <c r="BD73" s="282">
        <f t="shared" si="3"/>
        <v>0</v>
      </c>
      <c r="BE73" s="282">
        <f t="shared" si="3"/>
        <v>0</v>
      </c>
    </row>
    <row r="74" spans="42:64" x14ac:dyDescent="0.2">
      <c r="AP74" s="204" t="s">
        <v>552</v>
      </c>
      <c r="AQ74" s="282">
        <f t="shared" si="1"/>
        <v>0</v>
      </c>
      <c r="AR74" s="282">
        <f t="shared" si="3"/>
        <v>0</v>
      </c>
      <c r="AS74" s="282">
        <f t="shared" si="3"/>
        <v>0</v>
      </c>
      <c r="AT74" s="282">
        <f t="shared" si="3"/>
        <v>0</v>
      </c>
      <c r="AU74" s="282">
        <f t="shared" si="3"/>
        <v>0</v>
      </c>
      <c r="AV74" s="282">
        <f t="shared" si="3"/>
        <v>0</v>
      </c>
      <c r="AW74" s="282">
        <f t="shared" si="3"/>
        <v>0</v>
      </c>
      <c r="AX74" s="282">
        <f t="shared" si="3"/>
        <v>0</v>
      </c>
      <c r="AY74" s="282">
        <f t="shared" si="3"/>
        <v>0</v>
      </c>
      <c r="AZ74" s="282">
        <f t="shared" si="3"/>
        <v>0</v>
      </c>
      <c r="BA74" s="282">
        <f t="shared" si="3"/>
        <v>0</v>
      </c>
      <c r="BB74" s="282">
        <f t="shared" si="3"/>
        <v>0</v>
      </c>
      <c r="BC74" s="282">
        <f t="shared" si="3"/>
        <v>0</v>
      </c>
      <c r="BD74" s="282">
        <f t="shared" si="3"/>
        <v>0</v>
      </c>
      <c r="BE74" s="282">
        <f t="shared" si="3"/>
        <v>0</v>
      </c>
    </row>
    <row r="75" spans="42:64" x14ac:dyDescent="0.2">
      <c r="AP75" s="204" t="s">
        <v>563</v>
      </c>
      <c r="AQ75" s="282">
        <f t="shared" si="1"/>
        <v>0</v>
      </c>
      <c r="AR75" s="282">
        <f t="shared" si="3"/>
        <v>0</v>
      </c>
      <c r="AS75" s="282">
        <f t="shared" si="3"/>
        <v>0</v>
      </c>
      <c r="AT75" s="282">
        <f t="shared" si="3"/>
        <v>0</v>
      </c>
      <c r="AU75" s="282">
        <f t="shared" si="3"/>
        <v>0</v>
      </c>
      <c r="AV75" s="282">
        <f t="shared" si="3"/>
        <v>0</v>
      </c>
      <c r="AW75" s="282">
        <f t="shared" si="3"/>
        <v>0</v>
      </c>
      <c r="AX75" s="282">
        <f t="shared" si="3"/>
        <v>0</v>
      </c>
      <c r="AY75" s="282">
        <f t="shared" si="3"/>
        <v>0</v>
      </c>
      <c r="AZ75" s="282">
        <f t="shared" si="3"/>
        <v>0</v>
      </c>
      <c r="BA75" s="282">
        <f t="shared" si="3"/>
        <v>0</v>
      </c>
      <c r="BB75" s="282">
        <f t="shared" si="3"/>
        <v>0</v>
      </c>
      <c r="BC75" s="282">
        <f t="shared" si="3"/>
        <v>0</v>
      </c>
      <c r="BD75" s="282">
        <f t="shared" si="3"/>
        <v>0</v>
      </c>
      <c r="BE75" s="282">
        <f t="shared" si="3"/>
        <v>0</v>
      </c>
    </row>
    <row r="76" spans="42:64" x14ac:dyDescent="0.2">
      <c r="AP76" s="204"/>
      <c r="AQ76" s="395" t="s">
        <v>578</v>
      </c>
      <c r="AR76" s="395"/>
      <c r="AS76" s="395"/>
      <c r="AT76" s="395"/>
      <c r="AU76" s="395"/>
      <c r="AV76" s="395"/>
      <c r="AW76" s="395"/>
      <c r="AX76" s="395"/>
      <c r="AY76" s="395"/>
      <c r="AZ76" s="395"/>
      <c r="BA76" s="395"/>
      <c r="BB76" s="395"/>
      <c r="BC76" s="395"/>
      <c r="BD76" s="395"/>
      <c r="BE76" s="395"/>
    </row>
    <row r="80" spans="42:64" ht="112" x14ac:dyDescent="0.2">
      <c r="AP80" s="258"/>
      <c r="AQ80" s="205" t="s">
        <v>412</v>
      </c>
      <c r="AR80" s="205" t="s">
        <v>413</v>
      </c>
      <c r="AS80" s="205" t="s">
        <v>414</v>
      </c>
      <c r="AT80" s="205" t="s">
        <v>561</v>
      </c>
      <c r="AU80" s="205" t="s">
        <v>540</v>
      </c>
      <c r="AV80" s="205" t="s">
        <v>539</v>
      </c>
      <c r="AW80" s="205" t="s">
        <v>439</v>
      </c>
      <c r="AX80" s="205" t="s">
        <v>436</v>
      </c>
      <c r="AY80" s="205" t="s">
        <v>454</v>
      </c>
      <c r="AZ80" s="205" t="s">
        <v>437</v>
      </c>
      <c r="BA80" s="205" t="s">
        <v>432</v>
      </c>
      <c r="BB80" s="205" t="s">
        <v>665</v>
      </c>
      <c r="BC80" s="205" t="s">
        <v>668</v>
      </c>
      <c r="BD80" s="205" t="s">
        <v>81</v>
      </c>
      <c r="BE80" s="205" t="s">
        <v>424</v>
      </c>
      <c r="BJ80" s="205"/>
      <c r="BK80" s="205" t="s">
        <v>418</v>
      </c>
      <c r="BL80" s="205" t="s">
        <v>356</v>
      </c>
    </row>
    <row r="81" spans="32:70" x14ac:dyDescent="0.2">
      <c r="AF81" s="202"/>
      <c r="AG81" s="202"/>
      <c r="AP81" s="202" t="s">
        <v>420</v>
      </c>
      <c r="AQ81" s="228">
        <f>'Ore-&gt;PI'!O52</f>
        <v>-6442.5099571670216</v>
      </c>
      <c r="AR81" s="228"/>
      <c r="AS81" s="228"/>
      <c r="AT81" s="228"/>
      <c r="AU81" s="228"/>
      <c r="AV81" s="228"/>
      <c r="AW81" s="228"/>
      <c r="AX81" s="228"/>
      <c r="AY81" s="228"/>
      <c r="AZ81" s="228"/>
      <c r="BA81" s="228"/>
      <c r="BB81" s="228"/>
      <c r="BC81" s="228"/>
      <c r="BD81" s="228"/>
      <c r="BE81" s="228"/>
      <c r="BF81" s="250">
        <f>SUM(AQ81:BE81)</f>
        <v>-6442.5099571670216</v>
      </c>
      <c r="BJ81" s="202" t="s">
        <v>420</v>
      </c>
      <c r="BK81" s="242"/>
      <c r="BL81" s="242"/>
      <c r="BM81" s="250">
        <f>SUM(BK81:BL81)</f>
        <v>0</v>
      </c>
    </row>
    <row r="82" spans="32:70" x14ac:dyDescent="0.2">
      <c r="AF82" s="202"/>
      <c r="AG82" s="202"/>
      <c r="AP82" s="202" t="s">
        <v>422</v>
      </c>
      <c r="AQ82" s="228"/>
      <c r="AR82" s="228">
        <f>'Ore-&gt;PI'!O132</f>
        <v>-12112.03618380849</v>
      </c>
      <c r="AS82" s="228"/>
      <c r="AT82" s="228"/>
      <c r="AU82" s="228"/>
      <c r="AV82" s="228"/>
      <c r="AW82" s="228"/>
      <c r="AX82" s="228"/>
      <c r="AY82" s="228"/>
      <c r="AZ82" s="228"/>
      <c r="BA82" s="228"/>
      <c r="BB82" s="228"/>
      <c r="BC82" s="228"/>
      <c r="BD82" s="228"/>
      <c r="BE82" s="228"/>
      <c r="BF82" s="250">
        <f>SUM(AQ82:BE82)</f>
        <v>-12112.03618380849</v>
      </c>
      <c r="BJ82" s="202" t="s">
        <v>422</v>
      </c>
      <c r="BK82" s="242"/>
      <c r="BL82" s="242"/>
      <c r="BM82" s="250">
        <f>SUM(BK82:BL82)</f>
        <v>0</v>
      </c>
    </row>
    <row r="83" spans="32:70" x14ac:dyDescent="0.2">
      <c r="AF83" s="202"/>
      <c r="AG83" s="202"/>
      <c r="AP83" s="202" t="s">
        <v>423</v>
      </c>
      <c r="AQ83" s="228"/>
      <c r="AR83" s="228"/>
      <c r="AS83" s="228" t="e">
        <f>'Ore-&gt;PI'!O217</f>
        <v>#REF!</v>
      </c>
      <c r="AT83" s="228"/>
      <c r="AU83" s="228"/>
      <c r="AV83" s="228"/>
      <c r="AW83" s="228"/>
      <c r="AX83" s="228"/>
      <c r="AY83" s="228"/>
      <c r="AZ83" s="228"/>
      <c r="BA83" s="228"/>
      <c r="BB83" s="228"/>
      <c r="BC83" s="228"/>
      <c r="BD83" s="228"/>
      <c r="BE83" s="228"/>
      <c r="BF83" s="250" t="e">
        <f t="shared" ref="BF83:BF115" si="4">SUM(AQ83:BE83)</f>
        <v>#REF!</v>
      </c>
      <c r="BJ83" s="202" t="s">
        <v>423</v>
      </c>
      <c r="BK83" s="242"/>
      <c r="BL83" s="242"/>
      <c r="BM83" s="250">
        <f>SUM(BK83:BL83)</f>
        <v>0</v>
      </c>
    </row>
    <row r="84" spans="32:70" x14ac:dyDescent="0.2">
      <c r="AF84" s="202"/>
      <c r="AG84" s="202"/>
      <c r="AP84" s="202" t="s">
        <v>443</v>
      </c>
      <c r="AQ84" s="228">
        <f>'Ore-&gt;PI'!O78</f>
        <v>0</v>
      </c>
      <c r="AR84" s="228">
        <f>'Ore-&gt;PI'!O169</f>
        <v>0</v>
      </c>
      <c r="AS84" s="228">
        <f>'Ore-&gt;PI'!O242</f>
        <v>0</v>
      </c>
      <c r="AT84" s="228"/>
      <c r="AU84" s="228"/>
      <c r="AV84" s="228"/>
      <c r="AW84" s="228"/>
      <c r="AX84" s="228"/>
      <c r="AY84" s="228"/>
      <c r="AZ84" s="228">
        <f>'Ore-&gt;PI'!BU146</f>
        <v>0</v>
      </c>
      <c r="BA84" s="228">
        <f>'Ore-&gt;PI'!BU248</f>
        <v>0</v>
      </c>
      <c r="BB84" s="228"/>
      <c r="BC84" s="228"/>
      <c r="BD84" s="228"/>
      <c r="BE84" s="241">
        <f>'Ore-&gt;PI'!EF146</f>
        <v>0</v>
      </c>
      <c r="BF84" s="250">
        <f t="shared" si="4"/>
        <v>0</v>
      </c>
      <c r="BJ84" s="202" t="s">
        <v>443</v>
      </c>
      <c r="BK84" s="242"/>
      <c r="BL84" s="242"/>
      <c r="BM84" s="250">
        <f t="shared" ref="BM84:BM115" si="5">SUM(BK84:BL84)</f>
        <v>0</v>
      </c>
    </row>
    <row r="85" spans="32:70" x14ac:dyDescent="0.2">
      <c r="AF85" s="202"/>
      <c r="AG85" s="202"/>
      <c r="AP85" s="202" t="s">
        <v>473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8">
        <f>'Ore-&gt;PI'!BU157</f>
        <v>1.604276E-2</v>
      </c>
      <c r="BA85" s="228">
        <f>'Ore-&gt;PI'!BU259</f>
        <v>1.604276E-2</v>
      </c>
      <c r="BB85" s="228"/>
      <c r="BC85" s="228"/>
      <c r="BD85" s="228"/>
      <c r="BE85" s="228">
        <f>'Ore-&gt;PI'!EF119</f>
        <v>1.604276E-2</v>
      </c>
      <c r="BF85" s="250">
        <f t="shared" si="4"/>
        <v>4.8128279999999996E-2</v>
      </c>
      <c r="BJ85" s="202" t="s">
        <v>473</v>
      </c>
      <c r="BK85" s="242"/>
      <c r="BL85" s="242"/>
      <c r="BM85" s="250">
        <f t="shared" si="5"/>
        <v>0</v>
      </c>
    </row>
    <row r="86" spans="32:70" x14ac:dyDescent="0.2">
      <c r="AF86" s="202"/>
      <c r="AG86" s="202"/>
      <c r="AP86" s="202" t="s">
        <v>572</v>
      </c>
      <c r="AQ86" s="228">
        <f>'Ore-&gt;PI'!O64</f>
        <v>42600</v>
      </c>
      <c r="AR86" s="228">
        <f>'Ore-&gt;PI'!O145</f>
        <v>42600</v>
      </c>
      <c r="AS86" s="228">
        <f>'Ore-&gt;PI'!O227</f>
        <v>42600</v>
      </c>
      <c r="AT86" s="228"/>
      <c r="AU86" s="228"/>
      <c r="AV86" s="228"/>
      <c r="AW86" s="228"/>
      <c r="AX86" s="228"/>
      <c r="AY86" s="228"/>
      <c r="AZ86" s="228"/>
      <c r="BA86" s="228"/>
      <c r="BB86" s="228"/>
      <c r="BC86" s="228"/>
      <c r="BD86" s="228"/>
      <c r="BE86" s="228"/>
      <c r="BF86" s="250">
        <f t="shared" si="4"/>
        <v>127800</v>
      </c>
      <c r="BJ86" s="202" t="s">
        <v>572</v>
      </c>
      <c r="BK86" s="242"/>
      <c r="BL86" s="242"/>
      <c r="BM86" s="250">
        <f t="shared" si="5"/>
        <v>0</v>
      </c>
    </row>
    <row r="87" spans="32:70" x14ac:dyDescent="0.2">
      <c r="AF87" s="202"/>
      <c r="AG87" s="202"/>
      <c r="AP87" s="202" t="s">
        <v>573</v>
      </c>
      <c r="AQ87" s="228"/>
      <c r="AR87" s="228">
        <f>'Ore-&gt;PI'!O156</f>
        <v>-2189.4247196818515</v>
      </c>
      <c r="AS87" s="228"/>
      <c r="AT87" s="228"/>
      <c r="AU87" s="228"/>
      <c r="AV87" s="228"/>
      <c r="AW87" s="228"/>
      <c r="AX87" s="228"/>
      <c r="AY87" s="228"/>
      <c r="AZ87" s="228"/>
      <c r="BA87" s="228"/>
      <c r="BB87" s="228"/>
      <c r="BC87" s="228"/>
      <c r="BD87" s="228"/>
      <c r="BE87" s="228"/>
      <c r="BF87" s="250">
        <f t="shared" si="4"/>
        <v>-2189.4247196818515</v>
      </c>
      <c r="BJ87" s="202" t="s">
        <v>573</v>
      </c>
      <c r="BK87" s="242"/>
      <c r="BL87" s="242"/>
      <c r="BM87" s="250">
        <f t="shared" si="5"/>
        <v>0</v>
      </c>
    </row>
    <row r="88" spans="32:70" x14ac:dyDescent="0.2">
      <c r="AF88" s="202"/>
      <c r="AG88" s="202"/>
      <c r="AP88" s="202" t="s">
        <v>515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8"/>
      <c r="BA88" s="228"/>
      <c r="BB88" s="228"/>
      <c r="BC88" s="228"/>
      <c r="BD88" s="228"/>
      <c r="BE88" s="228">
        <f>'Ore-&gt;PI'!EF106</f>
        <v>39500</v>
      </c>
      <c r="BF88" s="250">
        <f t="shared" si="4"/>
        <v>39500</v>
      </c>
      <c r="BJ88" s="202" t="s">
        <v>515</v>
      </c>
      <c r="BK88" s="242"/>
      <c r="BL88" s="242"/>
      <c r="BM88" s="250">
        <f t="shared" si="5"/>
        <v>0</v>
      </c>
    </row>
    <row r="89" spans="32:70" x14ac:dyDescent="0.2">
      <c r="AF89" s="202"/>
      <c r="AG89" s="202"/>
      <c r="AP89" s="202" t="s">
        <v>565</v>
      </c>
      <c r="AQ89" s="228"/>
      <c r="AR89" s="228"/>
      <c r="AS89" s="228">
        <v>0</v>
      </c>
      <c r="AT89" s="228">
        <v>0</v>
      </c>
      <c r="AU89" s="228">
        <v>0</v>
      </c>
      <c r="AV89" s="228">
        <v>0</v>
      </c>
      <c r="AW89" s="228">
        <v>0</v>
      </c>
      <c r="AX89" s="228">
        <v>0</v>
      </c>
      <c r="AY89" s="228">
        <v>0</v>
      </c>
      <c r="AZ89" s="228"/>
      <c r="BA89" s="228"/>
      <c r="BB89" s="228">
        <v>0</v>
      </c>
      <c r="BC89" s="228"/>
      <c r="BD89" s="228"/>
      <c r="BE89" s="228">
        <v>0</v>
      </c>
      <c r="BF89" s="250">
        <f t="shared" si="4"/>
        <v>0</v>
      </c>
      <c r="BJ89" s="202" t="s">
        <v>565</v>
      </c>
      <c r="BK89" s="242"/>
      <c r="BL89" s="242"/>
      <c r="BM89" s="250">
        <f t="shared" si="5"/>
        <v>0</v>
      </c>
    </row>
    <row r="90" spans="32:70" ht="16" x14ac:dyDescent="0.2">
      <c r="AF90" s="244"/>
      <c r="AG90" s="244"/>
      <c r="AP90" s="203" t="s">
        <v>547</v>
      </c>
      <c r="AQ90" s="228"/>
      <c r="AR90" s="228"/>
      <c r="AS90" s="228"/>
      <c r="AT90" s="228">
        <f>'Ore-&gt;PI'!AH52</f>
        <v>-6442.5099571670216</v>
      </c>
      <c r="AU90" s="228"/>
      <c r="AV90" s="228"/>
      <c r="AW90" s="228"/>
      <c r="AX90" s="228"/>
      <c r="AY90" s="228"/>
      <c r="AZ90" s="228"/>
      <c r="BA90" s="228"/>
      <c r="BB90" s="228"/>
      <c r="BC90" s="228"/>
      <c r="BD90" s="228"/>
      <c r="BE90" s="228"/>
      <c r="BF90" s="250">
        <f t="shared" si="4"/>
        <v>-6442.5099571670216</v>
      </c>
      <c r="BJ90" s="203" t="s">
        <v>547</v>
      </c>
      <c r="BK90" s="242"/>
      <c r="BL90" s="242"/>
      <c r="BM90" s="250">
        <f t="shared" si="5"/>
        <v>0</v>
      </c>
    </row>
    <row r="91" spans="32:70" ht="16" x14ac:dyDescent="0.2">
      <c r="AF91" s="203"/>
      <c r="AG91" s="203"/>
      <c r="AP91" s="202" t="s">
        <v>513</v>
      </c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28"/>
      <c r="BB91" s="228"/>
      <c r="BC91" s="228"/>
      <c r="BD91" s="228"/>
      <c r="BE91" s="228"/>
      <c r="BF91" s="250">
        <f t="shared" si="4"/>
        <v>0</v>
      </c>
      <c r="BJ91" s="202" t="s">
        <v>513</v>
      </c>
      <c r="BK91" s="242"/>
      <c r="BL91" s="242">
        <f>'Ore-&gt;PI'!AH70</f>
        <v>-2880.21138188847</v>
      </c>
      <c r="BM91" s="250">
        <f t="shared" si="5"/>
        <v>-2880.21138188847</v>
      </c>
    </row>
    <row r="92" spans="32:70" ht="16" x14ac:dyDescent="0.2">
      <c r="AF92" s="204"/>
      <c r="AG92" s="204"/>
      <c r="AP92" s="203" t="s">
        <v>516</v>
      </c>
      <c r="AQ92" s="228"/>
      <c r="AR92" s="228"/>
      <c r="AS92" s="228"/>
      <c r="AT92" s="228"/>
      <c r="AU92" s="228">
        <f>'Ore-&gt;PI'!AI132</f>
        <v>-12112.03618380849</v>
      </c>
      <c r="AV92" s="228"/>
      <c r="AW92" s="228"/>
      <c r="AX92" s="228"/>
      <c r="AY92" s="228"/>
      <c r="AZ92" s="228"/>
      <c r="BA92" s="228"/>
      <c r="BB92" s="228"/>
      <c r="BC92" s="228"/>
      <c r="BD92" s="228"/>
      <c r="BE92" s="228"/>
      <c r="BF92" s="250">
        <f t="shared" si="4"/>
        <v>-12112.03618380849</v>
      </c>
      <c r="BJ92" s="203" t="s">
        <v>516</v>
      </c>
      <c r="BK92" s="242"/>
      <c r="BL92" s="246"/>
      <c r="BM92" s="250">
        <f t="shared" si="5"/>
        <v>0</v>
      </c>
    </row>
    <row r="93" spans="32:70" x14ac:dyDescent="0.2">
      <c r="AF93" s="204"/>
      <c r="AG93" s="204"/>
      <c r="AP93" s="202" t="s">
        <v>542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8"/>
      <c r="BA93" s="228"/>
      <c r="BB93" s="228"/>
      <c r="BC93" s="228"/>
      <c r="BD93" s="241"/>
      <c r="BE93" s="228"/>
      <c r="BF93" s="250">
        <f t="shared" si="4"/>
        <v>0</v>
      </c>
      <c r="BJ93" s="202" t="s">
        <v>542</v>
      </c>
      <c r="BK93" s="242"/>
      <c r="BL93" s="242">
        <f>'Ore-&gt;PI'!AI149</f>
        <v>-2882.6003576350172</v>
      </c>
      <c r="BM93" s="250">
        <f t="shared" si="5"/>
        <v>-2882.6003576350172</v>
      </c>
    </row>
    <row r="94" spans="32:70" x14ac:dyDescent="0.2">
      <c r="AF94" s="204"/>
      <c r="AG94" s="204"/>
      <c r="AP94" s="204" t="s">
        <v>534</v>
      </c>
      <c r="AQ94" s="228"/>
      <c r="AR94" s="228"/>
      <c r="AS94" s="228"/>
      <c r="AT94" s="228"/>
      <c r="AU94" s="228"/>
      <c r="AV94" s="228" t="e">
        <f>'Ore-&gt;PI'!AI217</f>
        <v>#REF!</v>
      </c>
      <c r="AW94" s="228"/>
      <c r="AX94" s="228"/>
      <c r="AY94" s="228"/>
      <c r="AZ94" s="228"/>
      <c r="BA94" s="228"/>
      <c r="BB94" s="228"/>
      <c r="BC94" s="228"/>
      <c r="BD94" s="228"/>
      <c r="BE94" s="241"/>
      <c r="BF94" s="250" t="e">
        <f t="shared" si="4"/>
        <v>#REF!</v>
      </c>
      <c r="BJ94" s="204" t="s">
        <v>534</v>
      </c>
      <c r="BK94" s="242"/>
      <c r="BL94" s="242"/>
      <c r="BM94" s="250">
        <f t="shared" si="5"/>
        <v>0</v>
      </c>
    </row>
    <row r="95" spans="32:70" x14ac:dyDescent="0.2">
      <c r="AF95" s="204"/>
      <c r="AG95" s="204"/>
      <c r="AP95" s="202" t="s">
        <v>520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28"/>
      <c r="BB95" s="228"/>
      <c r="BC95" s="228"/>
      <c r="BD95" s="228"/>
      <c r="BE95" s="228"/>
      <c r="BF95" s="250">
        <f t="shared" si="4"/>
        <v>0</v>
      </c>
      <c r="BJ95" s="202" t="s">
        <v>520</v>
      </c>
      <c r="BK95" s="242"/>
      <c r="BL95" s="242" t="e">
        <f>'Ore-&gt;PI'!AI234</f>
        <v>#REF!</v>
      </c>
      <c r="BM95" s="250" t="e">
        <f t="shared" si="5"/>
        <v>#REF!</v>
      </c>
      <c r="BN95" s="25"/>
      <c r="BO95" s="25"/>
      <c r="BP95" s="25"/>
      <c r="BQ95" s="25"/>
      <c r="BR95" s="25"/>
    </row>
    <row r="96" spans="32:70" ht="16" x14ac:dyDescent="0.2">
      <c r="AF96" s="204"/>
      <c r="AG96" s="204"/>
      <c r="AP96" s="203" t="s">
        <v>546</v>
      </c>
      <c r="AQ96" s="228"/>
      <c r="AR96" s="228"/>
      <c r="AS96" s="228"/>
      <c r="AT96" s="228"/>
      <c r="AU96" s="228"/>
      <c r="AV96" s="228"/>
      <c r="AW96" s="228">
        <f>'Ore-&gt;PI'!BA52</f>
        <v>-6442.5099571670216</v>
      </c>
      <c r="AX96" s="228"/>
      <c r="AY96" s="228"/>
      <c r="AZ96" s="228"/>
      <c r="BA96" s="228"/>
      <c r="BB96" s="228"/>
      <c r="BC96" s="228"/>
      <c r="BD96" s="228"/>
      <c r="BE96" s="228"/>
      <c r="BF96" s="250">
        <f t="shared" si="4"/>
        <v>-6442.5099571670216</v>
      </c>
      <c r="BJ96" s="203" t="s">
        <v>546</v>
      </c>
      <c r="BK96" s="242"/>
      <c r="BL96" s="242"/>
      <c r="BM96" s="250">
        <f t="shared" si="5"/>
        <v>0</v>
      </c>
    </row>
    <row r="97" spans="32:65" ht="16" x14ac:dyDescent="0.2">
      <c r="AF97" s="204"/>
      <c r="AG97" s="204"/>
      <c r="AP97" s="203" t="s">
        <v>541</v>
      </c>
      <c r="AQ97" s="228"/>
      <c r="AR97" s="228"/>
      <c r="AS97" s="228"/>
      <c r="AT97" s="228"/>
      <c r="AU97" s="228"/>
      <c r="AV97" s="228"/>
      <c r="AW97" s="228"/>
      <c r="AX97" s="228">
        <f>'Ore-&gt;PI'!BB132</f>
        <v>-12112.03618380849</v>
      </c>
      <c r="AY97" s="228"/>
      <c r="AZ97" s="228"/>
      <c r="BA97" s="228"/>
      <c r="BB97" s="228"/>
      <c r="BC97" s="228"/>
      <c r="BD97" s="228"/>
      <c r="BE97" s="228"/>
      <c r="BF97" s="250">
        <f t="shared" si="4"/>
        <v>-12112.03618380849</v>
      </c>
      <c r="BJ97" s="203" t="s">
        <v>541</v>
      </c>
      <c r="BK97" s="242"/>
      <c r="BL97" s="242"/>
      <c r="BM97" s="250">
        <f t="shared" si="5"/>
        <v>0</v>
      </c>
    </row>
    <row r="98" spans="32:65" ht="16" x14ac:dyDescent="0.2">
      <c r="AF98" s="204"/>
      <c r="AG98" s="204"/>
      <c r="AP98" s="203" t="s">
        <v>538</v>
      </c>
      <c r="AQ98" s="228"/>
      <c r="AR98" s="228"/>
      <c r="AS98" s="228"/>
      <c r="AT98" s="228"/>
      <c r="AU98" s="228"/>
      <c r="AV98" s="228"/>
      <c r="AW98" s="228"/>
      <c r="AX98" s="228"/>
      <c r="AY98" s="228" t="e">
        <f>'Ore-&gt;PI'!BB217</f>
        <v>#REF!</v>
      </c>
      <c r="AZ98" s="228"/>
      <c r="BA98" s="228"/>
      <c r="BB98" s="228"/>
      <c r="BC98" s="228"/>
      <c r="BD98" s="228"/>
      <c r="BE98" s="228"/>
      <c r="BF98" s="250" t="e">
        <f t="shared" si="4"/>
        <v>#REF!</v>
      </c>
      <c r="BJ98" s="203" t="s">
        <v>538</v>
      </c>
      <c r="BK98" s="242"/>
      <c r="BL98" s="242"/>
      <c r="BM98" s="250">
        <f t="shared" si="5"/>
        <v>0</v>
      </c>
    </row>
    <row r="99" spans="32:65" ht="16" x14ac:dyDescent="0.2">
      <c r="AF99" s="251"/>
      <c r="AG99" s="251"/>
      <c r="AP99" s="203" t="s">
        <v>544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8"/>
      <c r="BA99" s="228"/>
      <c r="BB99" s="228"/>
      <c r="BC99" s="228"/>
      <c r="BD99" s="228">
        <f>'Ore-&gt;PI'!BT48</f>
        <v>-6350.2001773318216</v>
      </c>
      <c r="BE99" s="228"/>
      <c r="BF99" s="250">
        <f t="shared" si="4"/>
        <v>-6350.2001773318216</v>
      </c>
      <c r="BJ99" s="203" t="s">
        <v>544</v>
      </c>
      <c r="BK99" s="242"/>
      <c r="BL99" s="242"/>
      <c r="BM99" s="250">
        <f t="shared" si="5"/>
        <v>0</v>
      </c>
    </row>
    <row r="100" spans="32:65" x14ac:dyDescent="0.2">
      <c r="AF100" s="204"/>
      <c r="AG100" s="204"/>
      <c r="AP100" s="204" t="s">
        <v>543</v>
      </c>
      <c r="AQ100" s="228"/>
      <c r="AR100" s="228"/>
      <c r="AS100" s="228"/>
      <c r="AT100" s="228"/>
      <c r="AU100" s="228"/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41"/>
      <c r="BF100" s="250">
        <f t="shared" si="4"/>
        <v>0</v>
      </c>
      <c r="BG100" s="25"/>
      <c r="BH100" s="25"/>
      <c r="BJ100" s="204" t="s">
        <v>543</v>
      </c>
      <c r="BK100" s="242"/>
      <c r="BL100" s="242">
        <f>'Ore-&gt;PI'!BT63</f>
        <v>-14287.000845881314</v>
      </c>
      <c r="BM100" s="250">
        <f t="shared" si="5"/>
        <v>-14287.000845881314</v>
      </c>
    </row>
    <row r="101" spans="32:65" x14ac:dyDescent="0.2">
      <c r="AF101" s="204"/>
      <c r="AG101" s="204"/>
      <c r="AP101" s="204" t="s">
        <v>528</v>
      </c>
      <c r="AQ101" s="228"/>
      <c r="AR101" s="228"/>
      <c r="AS101" s="228"/>
      <c r="AT101" s="228"/>
      <c r="AU101" s="228"/>
      <c r="AV101" s="228"/>
      <c r="AW101" s="228"/>
      <c r="AX101" s="228"/>
      <c r="AY101" s="228"/>
      <c r="AZ101" s="228">
        <f>'Ore-&gt;PI'!BU132</f>
        <v>-12112.03618380849</v>
      </c>
      <c r="BA101" s="228"/>
      <c r="BB101" s="228"/>
      <c r="BC101" s="228"/>
      <c r="BD101" s="228"/>
      <c r="BE101" s="228"/>
      <c r="BF101" s="250">
        <f t="shared" si="4"/>
        <v>-12112.03618380849</v>
      </c>
      <c r="BJ101" s="204" t="s">
        <v>528</v>
      </c>
      <c r="BK101" s="242"/>
      <c r="BL101" s="242"/>
      <c r="BM101" s="250">
        <f t="shared" si="5"/>
        <v>0</v>
      </c>
    </row>
    <row r="102" spans="32:65" x14ac:dyDescent="0.2">
      <c r="AF102" s="204"/>
      <c r="AG102" s="204"/>
      <c r="AP102" s="204" t="s">
        <v>562</v>
      </c>
      <c r="AQ102" s="228"/>
      <c r="AR102" s="228"/>
      <c r="AS102" s="228"/>
      <c r="AT102" s="228"/>
      <c r="AU102" s="228"/>
      <c r="AV102" s="228"/>
      <c r="AW102" s="228"/>
      <c r="AX102" s="228"/>
      <c r="AY102" s="228"/>
      <c r="AZ102" s="228"/>
      <c r="BA102" s="228" t="e">
        <f>'Ore-&gt;PI'!BU217</f>
        <v>#REF!</v>
      </c>
      <c r="BB102" s="228"/>
      <c r="BC102" s="228"/>
      <c r="BD102" s="228"/>
      <c r="BE102" s="228"/>
      <c r="BF102" s="250" t="e">
        <f t="shared" si="4"/>
        <v>#REF!</v>
      </c>
      <c r="BJ102" s="204" t="s">
        <v>562</v>
      </c>
      <c r="BK102" s="242"/>
      <c r="BL102" s="242"/>
      <c r="BM102" s="250">
        <f t="shared" si="5"/>
        <v>0</v>
      </c>
    </row>
    <row r="103" spans="32:65" x14ac:dyDescent="0.2">
      <c r="AF103" s="204"/>
      <c r="AG103" s="204"/>
      <c r="AP103" s="204" t="s">
        <v>529</v>
      </c>
      <c r="AQ103" s="228"/>
      <c r="AR103" s="228"/>
      <c r="AS103" s="228"/>
      <c r="AT103" s="228"/>
      <c r="AU103" s="228"/>
      <c r="AV103" s="228"/>
      <c r="AW103" s="228"/>
      <c r="AX103" s="228"/>
      <c r="AY103" s="228"/>
      <c r="AZ103" s="228"/>
      <c r="BA103" s="228"/>
      <c r="BB103" s="228"/>
      <c r="BC103" s="228"/>
      <c r="BD103" s="228">
        <f>'Ore-&gt;PI'!CP131</f>
        <v>-11321.85158370395</v>
      </c>
      <c r="BE103" s="228"/>
      <c r="BF103" s="250">
        <f t="shared" si="4"/>
        <v>-11321.85158370395</v>
      </c>
      <c r="BJ103" s="204" t="s">
        <v>529</v>
      </c>
      <c r="BK103" s="242"/>
      <c r="BL103" s="242"/>
      <c r="BM103" s="250">
        <f t="shared" si="5"/>
        <v>0</v>
      </c>
    </row>
    <row r="104" spans="32:65" x14ac:dyDescent="0.2">
      <c r="AF104" s="204"/>
      <c r="AG104" s="204"/>
      <c r="AP104" s="204" t="s">
        <v>531</v>
      </c>
      <c r="AQ104" s="228"/>
      <c r="AR104" s="228"/>
      <c r="AS104" s="228"/>
      <c r="AT104" s="228"/>
      <c r="AU104" s="228"/>
      <c r="AV104" s="228"/>
      <c r="AW104" s="228"/>
      <c r="AX104" s="228"/>
      <c r="AY104" s="228"/>
      <c r="AZ104" s="228"/>
      <c r="BA104" s="228"/>
      <c r="BB104" s="228"/>
      <c r="BC104" s="228"/>
      <c r="BD104" s="228"/>
      <c r="BE104" s="241"/>
      <c r="BF104" s="250">
        <f t="shared" si="4"/>
        <v>0</v>
      </c>
      <c r="BJ104" s="204" t="s">
        <v>531</v>
      </c>
      <c r="BK104" s="242"/>
      <c r="BL104" s="242">
        <f>'Ore-&gt;PI'!CP119</f>
        <v>-14926.410019749705</v>
      </c>
      <c r="BM104" s="250">
        <f t="shared" si="5"/>
        <v>-14926.410019749705</v>
      </c>
    </row>
    <row r="105" spans="32:65" x14ac:dyDescent="0.2">
      <c r="AF105" s="204"/>
      <c r="AG105" s="204"/>
      <c r="AP105" s="204" t="s">
        <v>530</v>
      </c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50">
        <f t="shared" si="4"/>
        <v>0</v>
      </c>
      <c r="BJ105" s="204" t="s">
        <v>530</v>
      </c>
      <c r="BK105" s="242"/>
      <c r="BL105" s="242">
        <f>'Ore-&gt;PI'!CP145</f>
        <v>-3018.6365269927733</v>
      </c>
      <c r="BM105" s="250">
        <f t="shared" si="5"/>
        <v>-3018.6365269927733</v>
      </c>
    </row>
    <row r="106" spans="32:65" x14ac:dyDescent="0.2">
      <c r="AF106" s="204"/>
      <c r="AG106" s="204"/>
      <c r="AP106" s="204" t="s">
        <v>627</v>
      </c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>
        <f>'Ore-&gt;PI'!CP211</f>
        <v>0</v>
      </c>
      <c r="BE106" s="228"/>
      <c r="BF106" s="250">
        <f t="shared" si="4"/>
        <v>0</v>
      </c>
      <c r="BJ106" s="204" t="s">
        <v>627</v>
      </c>
      <c r="BK106" s="242"/>
      <c r="BL106" s="242"/>
      <c r="BM106" s="250">
        <f t="shared" si="5"/>
        <v>0</v>
      </c>
    </row>
    <row r="107" spans="32:65" ht="16" x14ac:dyDescent="0.2">
      <c r="AF107" s="204"/>
      <c r="AG107" s="204"/>
      <c r="AP107" s="251" t="s">
        <v>526</v>
      </c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 t="e">
        <f>'Ore-&gt;PI'!CP243</f>
        <v>#REF!</v>
      </c>
      <c r="BC107" s="228"/>
      <c r="BD107" s="228"/>
      <c r="BE107" s="228"/>
      <c r="BF107" s="250" t="e">
        <f t="shared" si="4"/>
        <v>#REF!</v>
      </c>
      <c r="BJ107" s="251" t="s">
        <v>526</v>
      </c>
      <c r="BK107" s="242"/>
      <c r="BL107" s="242"/>
      <c r="BM107" s="250">
        <f t="shared" si="5"/>
        <v>0</v>
      </c>
    </row>
    <row r="108" spans="32:65" x14ac:dyDescent="0.2">
      <c r="AF108" s="204"/>
      <c r="AG108" s="204"/>
      <c r="AP108" s="204" t="s">
        <v>525</v>
      </c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28"/>
      <c r="BB108" s="228"/>
      <c r="BC108" s="228"/>
      <c r="BD108" s="228"/>
      <c r="BE108" s="228"/>
      <c r="BF108" s="250">
        <f t="shared" si="4"/>
        <v>0</v>
      </c>
      <c r="BJ108" s="204" t="s">
        <v>525</v>
      </c>
      <c r="BK108" s="242"/>
      <c r="BL108" s="242" t="e">
        <f>'Ore-&gt;PI'!CP227</f>
        <v>#REF!</v>
      </c>
      <c r="BM108" s="250" t="e">
        <f t="shared" si="5"/>
        <v>#REF!</v>
      </c>
    </row>
    <row r="109" spans="32:65" x14ac:dyDescent="0.2">
      <c r="AF109" s="204"/>
      <c r="AG109" s="204"/>
      <c r="AP109" s="202" t="s">
        <v>527</v>
      </c>
      <c r="AQ109" s="228"/>
      <c r="AR109" s="228"/>
      <c r="AS109" s="228"/>
      <c r="AT109" s="228"/>
      <c r="AU109" s="228"/>
      <c r="AV109" s="228"/>
      <c r="AW109" s="228"/>
      <c r="AX109" s="228"/>
      <c r="AY109" s="228"/>
      <c r="AZ109" s="228"/>
      <c r="BA109" s="228"/>
      <c r="BB109" s="228"/>
      <c r="BC109" s="228"/>
      <c r="BD109" s="228"/>
      <c r="BE109" s="228"/>
      <c r="BF109" s="250">
        <f t="shared" si="4"/>
        <v>0</v>
      </c>
      <c r="BJ109" s="202" t="s">
        <v>527</v>
      </c>
      <c r="BK109" s="242"/>
      <c r="BL109" s="242" t="e">
        <f>'Ore-&gt;PI'!CP257</f>
        <v>#REF!</v>
      </c>
      <c r="BM109" s="250" t="e">
        <f t="shared" si="5"/>
        <v>#REF!</v>
      </c>
    </row>
    <row r="110" spans="32:65" x14ac:dyDescent="0.2">
      <c r="AF110" s="204"/>
      <c r="AG110" s="204"/>
      <c r="AP110" s="204" t="s">
        <v>666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8"/>
      <c r="BA110" s="228"/>
      <c r="BB110" s="228"/>
      <c r="BC110" s="228">
        <f>'Ore-&gt;PI'!DJ241</f>
        <v>6.1564271489094454E-3</v>
      </c>
      <c r="BD110" s="228"/>
      <c r="BE110" s="241"/>
      <c r="BF110" s="250">
        <f t="shared" si="4"/>
        <v>6.1564271489094454E-3</v>
      </c>
      <c r="BJ110" s="204" t="s">
        <v>666</v>
      </c>
      <c r="BK110" s="242"/>
      <c r="BL110" s="242"/>
      <c r="BM110" s="250">
        <f t="shared" si="5"/>
        <v>0</v>
      </c>
    </row>
    <row r="111" spans="32:65" x14ac:dyDescent="0.2">
      <c r="AF111" s="204"/>
      <c r="AG111" s="204"/>
      <c r="AP111" s="204" t="s">
        <v>669</v>
      </c>
      <c r="AQ111" s="228"/>
      <c r="AR111" s="228"/>
      <c r="AS111" s="228"/>
      <c r="AT111" s="228"/>
      <c r="AU111" s="228"/>
      <c r="AV111" s="228"/>
      <c r="AW111" s="228"/>
      <c r="AX111" s="228"/>
      <c r="AY111" s="228"/>
      <c r="AZ111" s="228"/>
      <c r="BA111" s="228">
        <f>'Ore-&gt;PI'!BU233</f>
        <v>6.1564271489094463E-3</v>
      </c>
      <c r="BB111" s="228"/>
      <c r="BC111" s="228"/>
      <c r="BD111" s="228"/>
      <c r="BE111" s="241">
        <f>'Ore-&gt;PI'!EF160</f>
        <v>6.1564271489094437E-3</v>
      </c>
      <c r="BF111" s="250">
        <f t="shared" si="4"/>
        <v>1.2312854297818889E-2</v>
      </c>
      <c r="BJ111" s="204" t="s">
        <v>669</v>
      </c>
      <c r="BK111" s="242">
        <f>'Ore-&gt;PI'!EZ241</f>
        <v>6.1564271489094463E-3</v>
      </c>
      <c r="BL111" s="242"/>
      <c r="BM111" s="250">
        <f t="shared" si="5"/>
        <v>6.1564271489094463E-3</v>
      </c>
    </row>
    <row r="112" spans="32:65" x14ac:dyDescent="0.2">
      <c r="AF112" s="204"/>
      <c r="AG112" s="204"/>
      <c r="AP112" s="204" t="s">
        <v>550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8"/>
      <c r="BA112" s="228"/>
      <c r="BB112" s="228"/>
      <c r="BC112" s="228"/>
      <c r="BD112" s="228"/>
      <c r="BE112" s="241">
        <f>'Ore-&gt;PI'!EF134</f>
        <v>-5807.700525901595</v>
      </c>
      <c r="BF112" s="250">
        <f t="shared" si="4"/>
        <v>-5807.700525901595</v>
      </c>
      <c r="BJ112" s="204" t="s">
        <v>550</v>
      </c>
      <c r="BK112" s="242"/>
      <c r="BL112" s="242"/>
      <c r="BM112" s="250">
        <f t="shared" si="5"/>
        <v>0</v>
      </c>
    </row>
    <row r="113" spans="2:65" x14ac:dyDescent="0.2">
      <c r="AF113" s="204"/>
      <c r="AG113" s="204"/>
      <c r="AP113" s="204" t="s">
        <v>551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8"/>
      <c r="BA113" s="228"/>
      <c r="BB113" s="228"/>
      <c r="BC113" s="228"/>
      <c r="BD113" s="228"/>
      <c r="BE113" s="228"/>
      <c r="BF113" s="250">
        <f t="shared" si="4"/>
        <v>0</v>
      </c>
      <c r="BJ113" s="204" t="s">
        <v>551</v>
      </c>
      <c r="BK113" s="242">
        <f>'Ore-&gt;PI'!FF131</f>
        <v>0</v>
      </c>
      <c r="BL113" s="242"/>
      <c r="BM113" s="250">
        <f t="shared" si="5"/>
        <v>0</v>
      </c>
    </row>
    <row r="114" spans="2:65" x14ac:dyDescent="0.2">
      <c r="AF114" s="204"/>
      <c r="AG114" s="204"/>
      <c r="AP114" s="204" t="s">
        <v>552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8"/>
      <c r="BF114" s="250">
        <f t="shared" si="4"/>
        <v>0</v>
      </c>
      <c r="BJ114" s="204" t="s">
        <v>552</v>
      </c>
      <c r="BK114" s="242"/>
      <c r="BL114" s="242">
        <f>'Ore-&gt;PI'!FF148</f>
        <v>-4019.842912717002</v>
      </c>
      <c r="BM114" s="250">
        <f t="shared" si="5"/>
        <v>-4019.842912717002</v>
      </c>
    </row>
    <row r="115" spans="2:65" x14ac:dyDescent="0.2">
      <c r="AF115" s="204"/>
      <c r="AG115" s="204"/>
      <c r="AP115" s="204" t="s">
        <v>563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8"/>
      <c r="BF115" s="250">
        <f t="shared" si="4"/>
        <v>0</v>
      </c>
      <c r="BJ115" s="204" t="s">
        <v>563</v>
      </c>
      <c r="BK115" s="242"/>
      <c r="BL115" s="242">
        <f>'Ore-&gt;PI'!FF109</f>
        <v>-771.42466062394067</v>
      </c>
      <c r="BM115" s="250">
        <f t="shared" si="5"/>
        <v>-771.42466062394067</v>
      </c>
    </row>
    <row r="116" spans="2:65" x14ac:dyDescent="0.2">
      <c r="AF116" s="204"/>
      <c r="AG116" s="204"/>
      <c r="AP116" s="204"/>
      <c r="AQ116" s="395" t="s">
        <v>415</v>
      </c>
      <c r="AR116" s="395"/>
      <c r="AS116" s="395"/>
      <c r="AT116" s="395"/>
      <c r="AU116" s="395"/>
      <c r="AV116" s="395"/>
      <c r="AW116" s="395"/>
      <c r="AX116" s="395"/>
      <c r="AY116" s="395"/>
      <c r="AZ116" s="395"/>
      <c r="BA116" s="395"/>
      <c r="BB116" s="395"/>
      <c r="BC116" s="395"/>
      <c r="BD116" s="395"/>
      <c r="BE116" s="395"/>
      <c r="BF116" s="25" t="s">
        <v>465</v>
      </c>
      <c r="BK116" s="395" t="s">
        <v>417</v>
      </c>
      <c r="BL116" s="395"/>
      <c r="BM116" s="25" t="s">
        <v>480</v>
      </c>
    </row>
    <row r="117" spans="2:65" x14ac:dyDescent="0.2">
      <c r="AF117" s="204"/>
      <c r="AG117" s="204"/>
      <c r="AP117" s="204"/>
      <c r="AQ117" s="250">
        <f>SUM(AQ81:AQ115)</f>
        <v>36157.490042832978</v>
      </c>
      <c r="AR117" s="250">
        <f>SUM(AR81:AR115)</f>
        <v>28298.539096509659</v>
      </c>
      <c r="AS117" s="250" t="e">
        <f>SUM(AS81:AS115)</f>
        <v>#REF!</v>
      </c>
      <c r="AT117" s="250">
        <f t="shared" ref="AT117:BE117" si="6">SUM(AT81:AT115)</f>
        <v>-6442.5099571670216</v>
      </c>
      <c r="AU117" s="250">
        <f t="shared" si="6"/>
        <v>-12112.03618380849</v>
      </c>
      <c r="AV117" s="250" t="e">
        <f t="shared" si="6"/>
        <v>#REF!</v>
      </c>
      <c r="AW117" s="250">
        <f t="shared" si="6"/>
        <v>-6442.5099571670216</v>
      </c>
      <c r="AX117" s="250">
        <f t="shared" si="6"/>
        <v>-12112.03618380849</v>
      </c>
      <c r="AY117" s="250" t="e">
        <f t="shared" si="6"/>
        <v>#REF!</v>
      </c>
      <c r="AZ117" s="250">
        <f t="shared" si="6"/>
        <v>-12112.02014104849</v>
      </c>
      <c r="BA117" s="250" t="e">
        <f t="shared" si="6"/>
        <v>#REF!</v>
      </c>
      <c r="BB117" s="250" t="e">
        <f t="shared" si="6"/>
        <v>#REF!</v>
      </c>
      <c r="BC117" s="250">
        <f t="shared" si="6"/>
        <v>6.1564271489094454E-3</v>
      </c>
      <c r="BD117" s="250">
        <f t="shared" si="6"/>
        <v>-17672.051761035771</v>
      </c>
      <c r="BE117" s="250">
        <f t="shared" si="6"/>
        <v>33692.321673285551</v>
      </c>
      <c r="BK117" s="25"/>
      <c r="BL117" s="25"/>
    </row>
    <row r="118" spans="2:65" ht="13" customHeight="1" x14ac:dyDescent="0.2">
      <c r="C118" s="396"/>
      <c r="D118" s="396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04"/>
      <c r="AG118" s="204"/>
      <c r="AH118" s="231"/>
      <c r="AI118" s="231"/>
      <c r="AJ118" s="231"/>
      <c r="AK118" s="231"/>
      <c r="AL118" s="231"/>
      <c r="AM118" s="231"/>
      <c r="AN118" s="231"/>
      <c r="AQ118" s="395" t="s">
        <v>464</v>
      </c>
      <c r="AR118" s="395"/>
      <c r="AS118" s="395"/>
      <c r="AT118" s="395"/>
      <c r="AU118" s="395"/>
      <c r="AV118" s="395"/>
      <c r="AW118" s="395"/>
      <c r="AX118" s="395"/>
      <c r="AY118" s="395"/>
      <c r="AZ118" s="395"/>
      <c r="BA118" s="395"/>
      <c r="BB118" s="395"/>
      <c r="BC118" s="395"/>
      <c r="BD118" s="395"/>
      <c r="BE118" s="395"/>
      <c r="BK118" s="25"/>
      <c r="BL118" s="25"/>
    </row>
    <row r="119" spans="2:65" ht="236" x14ac:dyDescent="0.2">
      <c r="B119" s="238"/>
      <c r="C119" s="205" t="s">
        <v>420</v>
      </c>
      <c r="D119" s="205" t="s">
        <v>422</v>
      </c>
      <c r="E119" s="205" t="s">
        <v>423</v>
      </c>
      <c r="F119" s="205" t="s">
        <v>443</v>
      </c>
      <c r="G119" s="205" t="s">
        <v>473</v>
      </c>
      <c r="H119" s="205" t="s">
        <v>511</v>
      </c>
      <c r="I119" s="205" t="s">
        <v>572</v>
      </c>
      <c r="J119" s="205" t="s">
        <v>573</v>
      </c>
      <c r="K119" s="205" t="s">
        <v>565</v>
      </c>
      <c r="L119" s="207" t="s">
        <v>547</v>
      </c>
      <c r="M119" s="205" t="s">
        <v>513</v>
      </c>
      <c r="N119" s="207" t="s">
        <v>516</v>
      </c>
      <c r="O119" s="205" t="s">
        <v>542</v>
      </c>
      <c r="P119" s="208" t="s">
        <v>534</v>
      </c>
      <c r="Q119" s="205" t="s">
        <v>520</v>
      </c>
      <c r="R119" s="207" t="s">
        <v>546</v>
      </c>
      <c r="S119" s="207" t="s">
        <v>541</v>
      </c>
      <c r="T119" s="207" t="s">
        <v>538</v>
      </c>
      <c r="U119" s="207" t="s">
        <v>544</v>
      </c>
      <c r="V119" s="208" t="s">
        <v>543</v>
      </c>
      <c r="W119" s="208" t="s">
        <v>528</v>
      </c>
      <c r="X119" s="208" t="s">
        <v>562</v>
      </c>
      <c r="Y119" s="208" t="s">
        <v>529</v>
      </c>
      <c r="Z119" s="208" t="s">
        <v>531</v>
      </c>
      <c r="AA119" s="208" t="s">
        <v>530</v>
      </c>
      <c r="AB119" s="208" t="s">
        <v>627</v>
      </c>
      <c r="AC119" s="230" t="s">
        <v>526</v>
      </c>
      <c r="AD119" s="208" t="s">
        <v>525</v>
      </c>
      <c r="AE119" s="205" t="s">
        <v>527</v>
      </c>
      <c r="AF119" s="208" t="s">
        <v>666</v>
      </c>
      <c r="AG119" s="208" t="s">
        <v>669</v>
      </c>
      <c r="AH119" s="208" t="s">
        <v>550</v>
      </c>
      <c r="AI119" s="208" t="s">
        <v>551</v>
      </c>
      <c r="AJ119" s="208" t="s">
        <v>552</v>
      </c>
      <c r="AK119" s="208" t="s">
        <v>563</v>
      </c>
    </row>
    <row r="120" spans="2:65" x14ac:dyDescent="0.2">
      <c r="B120" s="202" t="s">
        <v>412</v>
      </c>
      <c r="C120" s="228"/>
      <c r="D120" s="228"/>
      <c r="E120" s="228"/>
      <c r="F120" s="228"/>
      <c r="G120" s="228"/>
      <c r="H120" s="228"/>
      <c r="I120" s="228"/>
      <c r="J120" s="228"/>
      <c r="K120" s="228"/>
      <c r="L120" s="228">
        <f>'Ore-&gt;PI'!AH52</f>
        <v>-6442.5099571670216</v>
      </c>
      <c r="M120" s="228">
        <f>'Ore-&gt;PI'!AH70</f>
        <v>-2880.21138188847</v>
      </c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  <c r="AA120" s="228"/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50">
        <f>SUM(C120:AK120)</f>
        <v>-9322.7213390554916</v>
      </c>
    </row>
    <row r="121" spans="2:65" x14ac:dyDescent="0.2">
      <c r="B121" s="202" t="s">
        <v>413</v>
      </c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>
        <f>'Ore-&gt;PI'!AI132</f>
        <v>-12112.03618380849</v>
      </c>
      <c r="O121" s="228">
        <f>'Ore-&gt;PI'!AI149</f>
        <v>-2882.6003576350172</v>
      </c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  <c r="AA121" s="228"/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50">
        <f>SUM(C121:AK121)</f>
        <v>-14994.636541443508</v>
      </c>
    </row>
    <row r="122" spans="2:65" x14ac:dyDescent="0.2">
      <c r="B122" s="202" t="s">
        <v>414</v>
      </c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 t="e">
        <f>'Ore-&gt;PI'!AI217</f>
        <v>#REF!</v>
      </c>
      <c r="Q122" s="228" t="e">
        <f>'Ore-&gt;PI'!AI234</f>
        <v>#REF!</v>
      </c>
      <c r="R122" s="228"/>
      <c r="S122" s="228"/>
      <c r="T122" s="228"/>
      <c r="U122" s="228"/>
      <c r="V122" s="228"/>
      <c r="W122" s="228"/>
      <c r="X122" s="228"/>
      <c r="Y122" s="228"/>
      <c r="Z122" s="228"/>
      <c r="AA122" s="228"/>
      <c r="AB122" s="228"/>
      <c r="AC122" s="228"/>
      <c r="AD122" s="228"/>
      <c r="AE122" s="228"/>
      <c r="AF122" s="228"/>
      <c r="AG122" s="228"/>
      <c r="AH122" s="228"/>
      <c r="AI122" s="228"/>
      <c r="AJ122" s="228"/>
      <c r="AK122" s="228"/>
      <c r="AL122" s="250" t="e">
        <f t="shared" ref="AL122:AL134" si="7">SUM(C122:AK122)</f>
        <v>#REF!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2" t="s">
        <v>561</v>
      </c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>
        <f>'Ore-&gt;PI'!BA52</f>
        <v>-6442.5099571670216</v>
      </c>
      <c r="S123" s="228"/>
      <c r="T123" s="228"/>
      <c r="U123" s="228"/>
      <c r="V123" s="228"/>
      <c r="W123" s="228"/>
      <c r="X123" s="228"/>
      <c r="Y123" s="228"/>
      <c r="Z123" s="228"/>
      <c r="AA123" s="228"/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50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2" t="s">
        <v>540</v>
      </c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>
        <f>'Ore-&gt;PI'!BB132</f>
        <v>-12112.03618380849</v>
      </c>
      <c r="T124" s="228"/>
      <c r="U124" s="228"/>
      <c r="V124" s="228"/>
      <c r="W124" s="228"/>
      <c r="X124" s="228"/>
      <c r="Y124" s="228"/>
      <c r="Z124" s="228"/>
      <c r="AA124" s="228"/>
      <c r="AB124" s="228"/>
      <c r="AC124" s="228"/>
      <c r="AD124" s="228"/>
      <c r="AE124" s="228"/>
      <c r="AF124" s="228"/>
      <c r="AG124" s="228"/>
      <c r="AH124" s="228"/>
      <c r="AI124" s="228"/>
      <c r="AJ124" s="228"/>
      <c r="AK124" s="228"/>
      <c r="AL124" s="250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2" t="s">
        <v>539</v>
      </c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 t="e">
        <f>'Ore-&gt;PI'!BB217</f>
        <v>#REF!</v>
      </c>
      <c r="U125" s="228"/>
      <c r="V125" s="228"/>
      <c r="W125" s="228"/>
      <c r="X125" s="228"/>
      <c r="Y125" s="228"/>
      <c r="Z125" s="228"/>
      <c r="AA125" s="228"/>
      <c r="AB125" s="228"/>
      <c r="AC125" s="228"/>
      <c r="AD125" s="228"/>
      <c r="AE125" s="228"/>
      <c r="AF125" s="228"/>
      <c r="AG125" s="228"/>
      <c r="AH125" s="228"/>
      <c r="AI125" s="228"/>
      <c r="AJ125" s="228"/>
      <c r="AK125" s="228"/>
      <c r="AL125" s="250" t="e">
        <f t="shared" si="7"/>
        <v>#REF!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2" t="s">
        <v>439</v>
      </c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>
        <f>'Ore-&gt;PI'!BT48</f>
        <v>-6350.2001773318216</v>
      </c>
      <c r="V126" s="228">
        <f>'Ore-&gt;PI'!BT63</f>
        <v>-14287.000845881314</v>
      </c>
      <c r="W126" s="228"/>
      <c r="X126" s="228"/>
      <c r="Y126" s="228"/>
      <c r="Z126" s="228"/>
      <c r="AA126" s="228"/>
      <c r="AB126" s="228"/>
      <c r="AC126" s="228"/>
      <c r="AD126" s="228"/>
      <c r="AE126" s="228"/>
      <c r="AF126" s="228"/>
      <c r="AG126" s="228"/>
      <c r="AH126" s="228"/>
      <c r="AI126" s="228"/>
      <c r="AJ126" s="228"/>
      <c r="AK126" s="228"/>
      <c r="AL126" s="250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2" t="s">
        <v>436</v>
      </c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>
        <f>'Ore-&gt;PI'!BU132</f>
        <v>-12112.03618380849</v>
      </c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8"/>
      <c r="AI127" s="228"/>
      <c r="AJ127" s="228"/>
      <c r="AK127" s="228"/>
      <c r="AL127" s="250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2" t="s">
        <v>454</v>
      </c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 t="e">
        <f>'Ore-&gt;PI'!BU217</f>
        <v>#REF!</v>
      </c>
      <c r="Y128" s="228"/>
      <c r="Z128" s="228"/>
      <c r="AA128" s="228"/>
      <c r="AB128" s="228"/>
      <c r="AC128" s="228"/>
      <c r="AD128" s="228"/>
      <c r="AE128" s="228"/>
      <c r="AF128" s="228"/>
      <c r="AG128" s="228"/>
      <c r="AH128" s="228"/>
      <c r="AI128" s="228"/>
      <c r="AJ128" s="228"/>
      <c r="AK128" s="228"/>
      <c r="AL128" s="250" t="e">
        <f t="shared" si="7"/>
        <v>#REF!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2" t="s">
        <v>437</v>
      </c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>
        <f>'Ore-&gt;PI'!CP131</f>
        <v>-11321.85158370395</v>
      </c>
      <c r="Z129" s="228">
        <f>'Ore-&gt;PI'!CP119</f>
        <v>-14926.410019749705</v>
      </c>
      <c r="AA129" s="228">
        <f>'Ore-&gt;PI'!CP145</f>
        <v>-3018.6365269927733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50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2" t="s">
        <v>432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  <c r="AA130" s="228"/>
      <c r="AB130" s="228">
        <f>'Ore-&gt;PI'!CP211</f>
        <v>0</v>
      </c>
      <c r="AC130" s="228" t="e">
        <f>'Ore-&gt;PI'!CP243</f>
        <v>#REF!</v>
      </c>
      <c r="AD130" s="228" t="e">
        <f>'Ore-&gt;PI'!CP227</f>
        <v>#REF!</v>
      </c>
      <c r="AE130" s="228" t="e">
        <f>'Ore-&gt;PI'!CP257</f>
        <v>#REF!</v>
      </c>
      <c r="AF130" s="228"/>
      <c r="AG130" s="228"/>
      <c r="AH130" s="228"/>
      <c r="AI130" s="228"/>
      <c r="AJ130" s="228"/>
      <c r="AK130" s="228"/>
      <c r="AL130" s="250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2" t="s">
        <v>665</v>
      </c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  <c r="AA131" s="228"/>
      <c r="AB131" s="228"/>
      <c r="AC131" s="228"/>
      <c r="AD131" s="228"/>
      <c r="AE131" s="228"/>
      <c r="AF131" s="228">
        <f>'Ore-&gt;PI'!DJ241</f>
        <v>6.1564271489094454E-3</v>
      </c>
      <c r="AG131" s="228"/>
      <c r="AH131" s="228"/>
      <c r="AI131" s="228"/>
      <c r="AJ131" s="228"/>
      <c r="AK131" s="228"/>
      <c r="AL131" s="250">
        <f t="shared" si="7"/>
        <v>6.1564271489094454E-3</v>
      </c>
    </row>
    <row r="132" spans="2:64" x14ac:dyDescent="0.2">
      <c r="B132" s="202" t="s">
        <v>668</v>
      </c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  <c r="AA132" s="228"/>
      <c r="AB132" s="228"/>
      <c r="AC132" s="228"/>
      <c r="AD132" s="228"/>
      <c r="AE132" s="228"/>
      <c r="AF132" s="228"/>
      <c r="AG132" s="228">
        <f>'Ore-&gt;PI'!$EE$241</f>
        <v>6.1564271489094454E-3</v>
      </c>
      <c r="AH132" s="228"/>
      <c r="AI132" s="228"/>
      <c r="AJ132" s="228"/>
      <c r="AK132" s="228"/>
      <c r="AL132" s="250">
        <f t="shared" si="7"/>
        <v>6.1564271489094454E-3</v>
      </c>
    </row>
    <row r="133" spans="2:64" x14ac:dyDescent="0.2">
      <c r="B133" s="202" t="s">
        <v>81</v>
      </c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  <c r="AA133" s="228"/>
      <c r="AB133" s="228"/>
      <c r="AC133" s="228"/>
      <c r="AD133" s="228"/>
      <c r="AE133" s="241"/>
      <c r="AF133" s="228"/>
      <c r="AG133" s="228"/>
      <c r="AH133" s="241">
        <f>'Ore-&gt;PI'!EF134</f>
        <v>-5807.700525901595</v>
      </c>
      <c r="AI133" s="228"/>
      <c r="AJ133" s="228"/>
      <c r="AK133" s="228"/>
      <c r="AL133" s="250">
        <f t="shared" si="7"/>
        <v>-5807.700525901595</v>
      </c>
    </row>
    <row r="134" spans="2:64" x14ac:dyDescent="0.2">
      <c r="B134" s="202" t="s">
        <v>424</v>
      </c>
      <c r="C134" s="228"/>
      <c r="D134" s="228"/>
      <c r="E134" s="228"/>
      <c r="F134" s="241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  <c r="AA134" s="245"/>
      <c r="AB134" s="228"/>
      <c r="AC134" s="228"/>
      <c r="AD134" s="228"/>
      <c r="AE134" s="228"/>
      <c r="AF134" s="228"/>
      <c r="AG134" s="228"/>
      <c r="AH134" s="228"/>
      <c r="AI134" s="228">
        <f>'Ore-&gt;PI'!FF131</f>
        <v>0</v>
      </c>
      <c r="AJ134" s="228">
        <f>'Ore-&gt;PI'!FF148</f>
        <v>-4019.842912717002</v>
      </c>
      <c r="AK134" s="228">
        <f>'Ore-&gt;PI'!FF109</f>
        <v>-771.42466062394067</v>
      </c>
      <c r="AL134" s="250">
        <f t="shared" si="7"/>
        <v>-4791.2675733409424</v>
      </c>
    </row>
    <row r="135" spans="2:64" x14ac:dyDescent="0.2">
      <c r="B135" s="202"/>
      <c r="C135" s="395" t="s">
        <v>416</v>
      </c>
      <c r="D135" s="395"/>
      <c r="E135" s="395"/>
      <c r="F135" s="395"/>
      <c r="G135" s="395"/>
      <c r="H135" s="395"/>
      <c r="I135" s="395"/>
      <c r="J135" s="395"/>
      <c r="K135" s="395"/>
      <c r="L135" s="395"/>
      <c r="M135" s="395"/>
      <c r="N135" s="395"/>
      <c r="O135" s="395"/>
      <c r="P135" s="395"/>
      <c r="Q135" s="395"/>
      <c r="R135" s="395"/>
      <c r="S135" s="395"/>
      <c r="T135" s="395"/>
      <c r="U135" s="395"/>
      <c r="V135" s="395"/>
      <c r="W135" s="395"/>
      <c r="X135" s="395"/>
      <c r="Y135" s="395"/>
      <c r="Z135" s="395"/>
      <c r="AA135" s="395"/>
      <c r="AB135" s="395"/>
      <c r="AC135" s="395"/>
      <c r="AD135" s="395"/>
      <c r="AE135" s="395"/>
      <c r="AF135" s="395"/>
      <c r="AG135" s="395"/>
      <c r="AH135" s="395"/>
      <c r="AI135" s="395"/>
      <c r="AJ135" s="395"/>
      <c r="AK135" s="395"/>
      <c r="AL135" s="25" t="s">
        <v>461</v>
      </c>
      <c r="AM135" s="25"/>
    </row>
    <row r="136" spans="2:64" x14ac:dyDescent="0.2">
      <c r="B136" s="202"/>
      <c r="C136" s="250">
        <f t="shared" ref="C136:AK136" si="8">SUM(C120:C134)</f>
        <v>0</v>
      </c>
      <c r="D136" s="250">
        <f t="shared" si="8"/>
        <v>0</v>
      </c>
      <c r="E136" s="250">
        <f t="shared" si="8"/>
        <v>0</v>
      </c>
      <c r="F136" s="250">
        <f t="shared" si="8"/>
        <v>0</v>
      </c>
      <c r="G136" s="250">
        <f t="shared" si="8"/>
        <v>0</v>
      </c>
      <c r="H136" s="250">
        <f t="shared" si="8"/>
        <v>0</v>
      </c>
      <c r="I136" s="250">
        <f t="shared" si="8"/>
        <v>0</v>
      </c>
      <c r="J136" s="250">
        <f t="shared" si="8"/>
        <v>0</v>
      </c>
      <c r="K136" s="250">
        <f t="shared" si="8"/>
        <v>0</v>
      </c>
      <c r="L136" s="250">
        <f t="shared" si="8"/>
        <v>-6442.5099571670216</v>
      </c>
      <c r="M136" s="250">
        <f t="shared" si="8"/>
        <v>-2880.21138188847</v>
      </c>
      <c r="N136" s="250">
        <f t="shared" si="8"/>
        <v>-12112.03618380849</v>
      </c>
      <c r="O136" s="250">
        <f t="shared" si="8"/>
        <v>-2882.6003576350172</v>
      </c>
      <c r="P136" s="250" t="e">
        <f t="shared" si="8"/>
        <v>#REF!</v>
      </c>
      <c r="Q136" s="250" t="e">
        <f t="shared" si="8"/>
        <v>#REF!</v>
      </c>
      <c r="R136" s="250">
        <f t="shared" si="8"/>
        <v>-6442.5099571670216</v>
      </c>
      <c r="S136" s="250">
        <f t="shared" si="8"/>
        <v>-12112.03618380849</v>
      </c>
      <c r="T136" s="250" t="e">
        <f t="shared" si="8"/>
        <v>#REF!</v>
      </c>
      <c r="U136" s="250">
        <f t="shared" si="8"/>
        <v>-6350.2001773318216</v>
      </c>
      <c r="V136" s="250">
        <f t="shared" si="8"/>
        <v>-14287.000845881314</v>
      </c>
      <c r="W136" s="250">
        <f t="shared" si="8"/>
        <v>-12112.03618380849</v>
      </c>
      <c r="X136" s="250" t="e">
        <f t="shared" si="8"/>
        <v>#REF!</v>
      </c>
      <c r="Y136" s="250">
        <f t="shared" si="8"/>
        <v>-11321.85158370395</v>
      </c>
      <c r="Z136" s="250">
        <f t="shared" si="8"/>
        <v>-14926.410019749705</v>
      </c>
      <c r="AA136" s="250">
        <f t="shared" si="8"/>
        <v>-3018.6365269927733</v>
      </c>
      <c r="AB136" s="250">
        <f t="shared" si="8"/>
        <v>0</v>
      </c>
      <c r="AC136" s="250" t="e">
        <f t="shared" si="8"/>
        <v>#REF!</v>
      </c>
      <c r="AD136" s="250" t="e">
        <f t="shared" si="8"/>
        <v>#REF!</v>
      </c>
      <c r="AE136" s="250" t="e">
        <f t="shared" si="8"/>
        <v>#REF!</v>
      </c>
      <c r="AF136" s="250">
        <f t="shared" si="8"/>
        <v>6.1564271489094454E-3</v>
      </c>
      <c r="AG136" s="250">
        <f t="shared" si="8"/>
        <v>6.1564271489094454E-3</v>
      </c>
      <c r="AH136" s="250">
        <f t="shared" si="8"/>
        <v>-5807.700525901595</v>
      </c>
      <c r="AI136" s="250">
        <f t="shared" si="8"/>
        <v>0</v>
      </c>
      <c r="AJ136" s="250">
        <f t="shared" si="8"/>
        <v>-4019.842912717002</v>
      </c>
      <c r="AK136" s="250">
        <f t="shared" si="8"/>
        <v>-771.42466062394067</v>
      </c>
    </row>
    <row r="137" spans="2:64" x14ac:dyDescent="0.2">
      <c r="B137" s="202"/>
      <c r="C137" s="395" t="s">
        <v>462</v>
      </c>
      <c r="D137" s="395"/>
      <c r="E137" s="395"/>
      <c r="F137" s="395"/>
      <c r="G137" s="395"/>
      <c r="H137" s="395"/>
      <c r="I137" s="395"/>
      <c r="J137" s="395"/>
      <c r="K137" s="395"/>
      <c r="L137" s="395"/>
      <c r="M137" s="395"/>
      <c r="N137" s="395"/>
      <c r="O137" s="395"/>
      <c r="P137" s="395"/>
      <c r="Q137" s="395"/>
      <c r="R137" s="395"/>
      <c r="S137" s="395"/>
      <c r="T137" s="395"/>
      <c r="U137" s="395"/>
      <c r="V137" s="395"/>
      <c r="W137" s="395"/>
      <c r="X137" s="395"/>
      <c r="Y137" s="395"/>
      <c r="Z137" s="395"/>
      <c r="AA137" s="395"/>
      <c r="AB137" s="395"/>
      <c r="AC137" s="395"/>
      <c r="AD137" s="395"/>
      <c r="AE137" s="395"/>
      <c r="AF137" s="395"/>
      <c r="AG137" s="395"/>
      <c r="AH137" s="395"/>
      <c r="AI137" s="395"/>
      <c r="AJ137" s="395"/>
      <c r="AK137" s="395"/>
    </row>
    <row r="138" spans="2:64" x14ac:dyDescent="0.2">
      <c r="B138" s="202"/>
    </row>
    <row r="139" spans="2:64" x14ac:dyDescent="0.2">
      <c r="B139" s="202"/>
    </row>
    <row r="140" spans="2:64" x14ac:dyDescent="0.2">
      <c r="B140" s="202"/>
    </row>
    <row r="141" spans="2:64" x14ac:dyDescent="0.2">
      <c r="B141" s="202"/>
    </row>
    <row r="142" spans="2:64" x14ac:dyDescent="0.2">
      <c r="B142" s="202"/>
    </row>
    <row r="143" spans="2:64" x14ac:dyDescent="0.2">
      <c r="B143" s="202"/>
    </row>
    <row r="144" spans="2:64" x14ac:dyDescent="0.2">
      <c r="B144" s="202"/>
    </row>
    <row r="145" spans="2:43" x14ac:dyDescent="0.2">
      <c r="B145" s="202"/>
    </row>
    <row r="146" spans="2:43" x14ac:dyDescent="0.2">
      <c r="B146" s="202"/>
    </row>
    <row r="147" spans="2:43" x14ac:dyDescent="0.2">
      <c r="B147" s="202"/>
    </row>
    <row r="148" spans="2:43" ht="236" x14ac:dyDescent="0.2">
      <c r="B148" s="202"/>
      <c r="C148" s="205" t="s">
        <v>420</v>
      </c>
      <c r="D148" s="205" t="s">
        <v>422</v>
      </c>
      <c r="E148" s="205" t="s">
        <v>423</v>
      </c>
      <c r="F148" s="205" t="s">
        <v>443</v>
      </c>
      <c r="G148" s="205" t="s">
        <v>473</v>
      </c>
      <c r="H148" s="205" t="s">
        <v>511</v>
      </c>
      <c r="I148" s="205" t="s">
        <v>572</v>
      </c>
      <c r="J148" s="205" t="s">
        <v>573</v>
      </c>
      <c r="K148" s="205" t="s">
        <v>565</v>
      </c>
      <c r="L148" s="207" t="s">
        <v>547</v>
      </c>
      <c r="M148" s="205" t="s">
        <v>513</v>
      </c>
      <c r="N148" s="207" t="s">
        <v>516</v>
      </c>
      <c r="O148" s="205" t="s">
        <v>542</v>
      </c>
      <c r="P148" s="208" t="s">
        <v>534</v>
      </c>
      <c r="Q148" s="205" t="s">
        <v>520</v>
      </c>
      <c r="R148" s="207" t="s">
        <v>546</v>
      </c>
      <c r="S148" s="207" t="s">
        <v>541</v>
      </c>
      <c r="T148" s="207" t="s">
        <v>538</v>
      </c>
      <c r="U148" s="207" t="s">
        <v>544</v>
      </c>
      <c r="V148" s="208" t="s">
        <v>543</v>
      </c>
      <c r="W148" s="208" t="s">
        <v>528</v>
      </c>
      <c r="X148" s="208" t="s">
        <v>562</v>
      </c>
      <c r="Y148" s="208" t="s">
        <v>529</v>
      </c>
      <c r="Z148" s="208" t="s">
        <v>531</v>
      </c>
      <c r="AA148" s="208" t="s">
        <v>530</v>
      </c>
      <c r="AB148" s="208" t="s">
        <v>627</v>
      </c>
      <c r="AC148" s="230" t="s">
        <v>526</v>
      </c>
      <c r="AD148" s="208" t="s">
        <v>525</v>
      </c>
      <c r="AE148" s="205" t="s">
        <v>527</v>
      </c>
      <c r="AF148" s="208" t="s">
        <v>666</v>
      </c>
      <c r="AG148" s="208" t="s">
        <v>669</v>
      </c>
      <c r="AH148" s="208" t="s">
        <v>550</v>
      </c>
      <c r="AI148" s="208" t="s">
        <v>551</v>
      </c>
      <c r="AJ148" s="208" t="s">
        <v>552</v>
      </c>
      <c r="AK148" s="208" t="s">
        <v>563</v>
      </c>
      <c r="AL148" s="208"/>
      <c r="AM148" s="208"/>
    </row>
    <row r="149" spans="2:43" x14ac:dyDescent="0.2">
      <c r="B149" s="202" t="s">
        <v>419</v>
      </c>
      <c r="C149" s="242">
        <f>'Ore-&gt;PI'!O52</f>
        <v>-6442.5099571670216</v>
      </c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2"/>
      <c r="AI149" s="242"/>
      <c r="AJ149" s="242"/>
      <c r="AK149" s="242"/>
    </row>
    <row r="150" spans="2:43" ht="16" x14ac:dyDescent="0.2">
      <c r="B150" s="203" t="s">
        <v>421</v>
      </c>
      <c r="C150" s="242"/>
      <c r="D150" s="242">
        <f>'Ore-&gt;PI'!O132</f>
        <v>-12112.03618380849</v>
      </c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2"/>
      <c r="AG150" s="242"/>
      <c r="AH150" s="242"/>
      <c r="AI150" s="242"/>
      <c r="AJ150" s="242"/>
      <c r="AK150" s="242"/>
    </row>
    <row r="151" spans="2:43" x14ac:dyDescent="0.2">
      <c r="B151" s="204" t="s">
        <v>444</v>
      </c>
      <c r="C151" s="242"/>
      <c r="D151" s="242"/>
      <c r="E151" s="242" t="e">
        <f>'Ore-&gt;PI'!O217</f>
        <v>#REF!</v>
      </c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  <c r="AE151" s="242"/>
      <c r="AF151" s="242"/>
      <c r="AG151" s="242"/>
      <c r="AH151" s="242"/>
      <c r="AI151" s="242"/>
      <c r="AJ151" s="242"/>
      <c r="AK151" s="242"/>
    </row>
    <row r="152" spans="2:43" x14ac:dyDescent="0.2">
      <c r="B152" s="202" t="s">
        <v>479</v>
      </c>
      <c r="C152" s="242"/>
      <c r="D152" s="242"/>
      <c r="E152" s="242"/>
      <c r="F152" s="248">
        <f>'Ore-&gt;PI'!O242</f>
        <v>0</v>
      </c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2"/>
      <c r="AG152" s="242"/>
      <c r="AH152" s="242"/>
      <c r="AI152" s="242"/>
      <c r="AJ152" s="242"/>
      <c r="AK152" s="242"/>
    </row>
    <row r="153" spans="2:43" x14ac:dyDescent="0.2">
      <c r="B153" s="202" t="s">
        <v>472</v>
      </c>
      <c r="C153" s="242"/>
      <c r="D153" s="242"/>
      <c r="E153" s="242"/>
      <c r="F153" s="242"/>
      <c r="G153" s="242">
        <f>h_CH4</f>
        <v>1.604276E-2</v>
      </c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  <c r="AE153" s="242"/>
      <c r="AF153" s="242"/>
      <c r="AG153" s="242"/>
      <c r="AH153" s="242"/>
      <c r="AI153" s="242"/>
      <c r="AJ153" s="242"/>
      <c r="AK153" s="242"/>
    </row>
    <row r="154" spans="2:43" x14ac:dyDescent="0.2">
      <c r="B154" s="202" t="s">
        <v>575</v>
      </c>
      <c r="C154" s="242"/>
      <c r="D154" s="242"/>
      <c r="E154" s="242"/>
      <c r="F154" s="242"/>
      <c r="G154" s="242"/>
      <c r="H154" s="242">
        <f>LHV_Diesel</f>
        <v>42600</v>
      </c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2"/>
      <c r="AG154" s="242"/>
      <c r="AH154" s="242"/>
      <c r="AI154" s="242"/>
      <c r="AJ154" s="242"/>
      <c r="AK154" s="242"/>
      <c r="AQ154" s="230"/>
    </row>
    <row r="155" spans="2:43" x14ac:dyDescent="0.2">
      <c r="B155" s="202" t="s">
        <v>574</v>
      </c>
      <c r="C155" s="242"/>
      <c r="D155" s="242"/>
      <c r="E155" s="242"/>
      <c r="F155" s="242"/>
      <c r="G155" s="242"/>
      <c r="H155" s="242"/>
      <c r="I155" s="242">
        <f>'Ore-&gt;PI'!O156</f>
        <v>-2189.4247196818515</v>
      </c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  <c r="AJ155" s="242"/>
      <c r="AK155" s="242"/>
    </row>
    <row r="156" spans="2:43" x14ac:dyDescent="0.2">
      <c r="B156" s="202" t="s">
        <v>514</v>
      </c>
      <c r="C156" s="242"/>
      <c r="D156" s="242"/>
      <c r="E156" s="242"/>
      <c r="F156" s="242"/>
      <c r="G156" s="242"/>
      <c r="H156" s="242"/>
      <c r="I156" s="242"/>
      <c r="J156" s="242">
        <f>'Ore-&gt;PI'!EF106</f>
        <v>39500</v>
      </c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  <c r="AE156" s="242"/>
      <c r="AF156" s="242"/>
      <c r="AG156" s="242"/>
      <c r="AH156" s="242"/>
      <c r="AI156" s="242"/>
      <c r="AJ156" s="242"/>
      <c r="AK156" s="242"/>
    </row>
    <row r="157" spans="2:43" x14ac:dyDescent="0.2">
      <c r="B157" s="202" t="s">
        <v>564</v>
      </c>
      <c r="C157" s="242"/>
      <c r="D157" s="242"/>
      <c r="E157" s="242"/>
      <c r="F157" s="242"/>
      <c r="G157" s="242"/>
      <c r="H157" s="242"/>
      <c r="I157" s="242"/>
      <c r="J157" s="242"/>
      <c r="K157" s="242">
        <v>0</v>
      </c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2"/>
      <c r="AI157" s="242"/>
      <c r="AJ157" s="242"/>
      <c r="AK157" s="242"/>
    </row>
    <row r="158" spans="2:43" x14ac:dyDescent="0.2">
      <c r="C158" s="395" t="s">
        <v>57</v>
      </c>
      <c r="D158" s="395"/>
      <c r="E158" s="395"/>
      <c r="F158" s="395"/>
      <c r="G158" s="395"/>
      <c r="H158" s="395"/>
      <c r="I158" s="395"/>
      <c r="J158" s="395"/>
      <c r="K158" s="395"/>
      <c r="L158" s="395"/>
      <c r="M158" s="395"/>
      <c r="N158" s="395"/>
      <c r="O158" s="395"/>
      <c r="P158" s="395"/>
      <c r="Q158" s="395"/>
      <c r="R158" s="395"/>
      <c r="S158" s="395"/>
      <c r="T158" s="395"/>
      <c r="U158" s="395"/>
      <c r="V158" s="395"/>
      <c r="W158" s="395"/>
      <c r="X158" s="395"/>
      <c r="Y158" s="395"/>
      <c r="Z158" s="395"/>
      <c r="AA158" s="395"/>
      <c r="AB158" s="395"/>
      <c r="AC158" s="395"/>
      <c r="AD158" s="395"/>
      <c r="AE158" s="395"/>
      <c r="AF158" s="395"/>
      <c r="AG158" s="395"/>
      <c r="AH158" s="395"/>
      <c r="AI158" s="395"/>
      <c r="AJ158" s="395"/>
      <c r="AK158" s="395"/>
      <c r="AL158" s="25"/>
      <c r="AM158" s="25"/>
    </row>
    <row r="159" spans="2:43" x14ac:dyDescent="0.2">
      <c r="C159" s="250">
        <f t="shared" ref="C159:AK159" si="9">SUM(C149:C157)</f>
        <v>-6442.5099571670216</v>
      </c>
      <c r="D159" s="250">
        <f t="shared" si="9"/>
        <v>-12112.03618380849</v>
      </c>
      <c r="E159" s="250" t="e">
        <f t="shared" si="9"/>
        <v>#REF!</v>
      </c>
      <c r="F159" s="250">
        <f t="shared" si="9"/>
        <v>0</v>
      </c>
      <c r="G159" s="250">
        <f t="shared" si="9"/>
        <v>1.604276E-2</v>
      </c>
      <c r="H159" s="250">
        <f t="shared" si="9"/>
        <v>42600</v>
      </c>
      <c r="I159" s="250">
        <f t="shared" si="9"/>
        <v>-2189.4247196818515</v>
      </c>
      <c r="J159" s="250">
        <f t="shared" si="9"/>
        <v>39500</v>
      </c>
      <c r="K159" s="250">
        <f t="shared" si="9"/>
        <v>0</v>
      </c>
      <c r="L159" s="250">
        <f t="shared" si="9"/>
        <v>0</v>
      </c>
      <c r="M159" s="250">
        <f t="shared" si="9"/>
        <v>0</v>
      </c>
      <c r="N159" s="250">
        <f t="shared" si="9"/>
        <v>0</v>
      </c>
      <c r="O159" s="250">
        <f t="shared" si="9"/>
        <v>0</v>
      </c>
      <c r="P159" s="250">
        <f t="shared" si="9"/>
        <v>0</v>
      </c>
      <c r="Q159" s="250">
        <f t="shared" si="9"/>
        <v>0</v>
      </c>
      <c r="R159" s="250">
        <f t="shared" si="9"/>
        <v>0</v>
      </c>
      <c r="S159" s="250">
        <f t="shared" si="9"/>
        <v>0</v>
      </c>
      <c r="T159" s="250">
        <f t="shared" si="9"/>
        <v>0</v>
      </c>
      <c r="U159" s="250">
        <f t="shared" si="9"/>
        <v>0</v>
      </c>
      <c r="V159" s="250">
        <f t="shared" si="9"/>
        <v>0</v>
      </c>
      <c r="W159" s="250">
        <f t="shared" si="9"/>
        <v>0</v>
      </c>
      <c r="X159" s="250">
        <f t="shared" si="9"/>
        <v>0</v>
      </c>
      <c r="Y159" s="250">
        <f t="shared" si="9"/>
        <v>0</v>
      </c>
      <c r="Z159" s="250">
        <f t="shared" si="9"/>
        <v>0</v>
      </c>
      <c r="AA159" s="250">
        <f t="shared" si="9"/>
        <v>0</v>
      </c>
      <c r="AB159" s="250">
        <f t="shared" si="9"/>
        <v>0</v>
      </c>
      <c r="AC159" s="250">
        <f t="shared" si="9"/>
        <v>0</v>
      </c>
      <c r="AD159" s="250">
        <f t="shared" si="9"/>
        <v>0</v>
      </c>
      <c r="AE159" s="250">
        <f t="shared" si="9"/>
        <v>0</v>
      </c>
      <c r="AF159" s="250">
        <f t="shared" si="9"/>
        <v>0</v>
      </c>
      <c r="AG159" s="250">
        <f t="shared" si="9"/>
        <v>0</v>
      </c>
      <c r="AH159" s="250">
        <f t="shared" si="9"/>
        <v>0</v>
      </c>
      <c r="AI159" s="250">
        <f t="shared" si="9"/>
        <v>0</v>
      </c>
      <c r="AJ159" s="250">
        <f t="shared" si="9"/>
        <v>0</v>
      </c>
      <c r="AK159" s="250">
        <f t="shared" si="9"/>
        <v>0</v>
      </c>
    </row>
    <row r="160" spans="2:43" x14ac:dyDescent="0.2">
      <c r="C160" s="395" t="s">
        <v>463</v>
      </c>
      <c r="D160" s="395"/>
      <c r="E160" s="395"/>
      <c r="F160" s="395"/>
      <c r="G160" s="395"/>
      <c r="H160" s="395"/>
      <c r="I160" s="395"/>
      <c r="J160" s="395"/>
      <c r="K160" s="395"/>
      <c r="L160" s="395"/>
      <c r="M160" s="395"/>
      <c r="N160" s="395"/>
      <c r="O160" s="395"/>
      <c r="P160" s="395"/>
      <c r="Q160" s="395"/>
      <c r="R160" s="395"/>
      <c r="S160" s="395"/>
      <c r="T160" s="395"/>
      <c r="U160" s="395"/>
      <c r="V160" s="395"/>
      <c r="W160" s="395"/>
      <c r="X160" s="395"/>
      <c r="Y160" s="395"/>
      <c r="Z160" s="395"/>
      <c r="AA160" s="395"/>
      <c r="AB160" s="395"/>
      <c r="AC160" s="395"/>
      <c r="AD160" s="395"/>
      <c r="AE160" s="395"/>
      <c r="AF160" s="395"/>
      <c r="AG160" s="395"/>
      <c r="AH160" s="395"/>
      <c r="AI160" s="395"/>
      <c r="AJ160" s="395"/>
      <c r="AK160" s="395"/>
      <c r="AL160" s="25"/>
      <c r="AM160" s="25"/>
    </row>
    <row r="164" spans="2:22" x14ac:dyDescent="0.2">
      <c r="C164" s="395" t="s">
        <v>663</v>
      </c>
      <c r="D164" s="395"/>
      <c r="E164" s="395"/>
      <c r="F164" s="395"/>
      <c r="G164" s="395"/>
      <c r="H164" s="395"/>
      <c r="I164" s="395"/>
      <c r="J164" s="395"/>
      <c r="K164" s="395"/>
      <c r="L164" s="243"/>
      <c r="M164" s="243"/>
      <c r="N164" s="243"/>
      <c r="O164" s="243"/>
      <c r="P164" s="243"/>
      <c r="Q164" s="243"/>
      <c r="R164" s="243"/>
      <c r="S164" s="243"/>
      <c r="T164" s="243"/>
      <c r="U164" s="25"/>
      <c r="V164" s="25"/>
    </row>
    <row r="167" spans="2:22" x14ac:dyDescent="0.2">
      <c r="B167" s="202" t="s">
        <v>420</v>
      </c>
      <c r="C167" s="250" cm="1">
        <f t="array" ref="C167:C201">TRANSPOSE(C159:AK159)</f>
        <v>-6442.5099571670216</v>
      </c>
      <c r="E167" s="250" cm="1">
        <f t="array" ref="E167:E201">TRANSPOSE(C136:AK136)</f>
        <v>0</v>
      </c>
      <c r="G167" s="250">
        <f>BF81</f>
        <v>-6442.5099571670216</v>
      </c>
      <c r="I167" s="250" cm="1">
        <f t="array" ref="I167:I201">BM81:BM115</f>
        <v>0</v>
      </c>
      <c r="K167" s="297">
        <f>C167+E167-G167-I167</f>
        <v>0</v>
      </c>
    </row>
    <row r="168" spans="2:22" x14ac:dyDescent="0.2">
      <c r="B168" s="202" t="s">
        <v>422</v>
      </c>
      <c r="C168" s="250">
        <v>-12112.03618380849</v>
      </c>
      <c r="E168" s="250">
        <v>0</v>
      </c>
      <c r="G168" s="250">
        <f t="shared" ref="G168:G201" si="10">BF82</f>
        <v>-12112.03618380849</v>
      </c>
      <c r="I168" s="250">
        <v>0</v>
      </c>
      <c r="K168" s="297">
        <f t="shared" ref="K168:K201" si="11">C168+E168-G168-I168</f>
        <v>0</v>
      </c>
    </row>
    <row r="169" spans="2:22" x14ac:dyDescent="0.2">
      <c r="B169" s="202" t="s">
        <v>423</v>
      </c>
      <c r="C169" s="250" t="e">
        <v>#REF!</v>
      </c>
      <c r="E169" s="250">
        <v>0</v>
      </c>
      <c r="G169" s="250" t="e">
        <f t="shared" si="10"/>
        <v>#REF!</v>
      </c>
      <c r="I169" s="250">
        <v>0</v>
      </c>
      <c r="K169" s="297" t="e">
        <f t="shared" si="11"/>
        <v>#REF!</v>
      </c>
    </row>
    <row r="170" spans="2:22" x14ac:dyDescent="0.2">
      <c r="B170" s="202" t="s">
        <v>443</v>
      </c>
      <c r="C170" s="250">
        <v>0</v>
      </c>
      <c r="E170" s="250">
        <v>0</v>
      </c>
      <c r="G170" s="250">
        <f t="shared" si="10"/>
        <v>0</v>
      </c>
      <c r="I170" s="250">
        <v>0</v>
      </c>
      <c r="K170" s="297">
        <f t="shared" si="11"/>
        <v>0</v>
      </c>
    </row>
    <row r="171" spans="2:22" x14ac:dyDescent="0.2">
      <c r="B171" s="202" t="s">
        <v>473</v>
      </c>
      <c r="C171" s="250">
        <v>1.604276E-2</v>
      </c>
      <c r="E171" s="250">
        <v>0</v>
      </c>
      <c r="G171" s="250">
        <f t="shared" si="10"/>
        <v>4.8128279999999996E-2</v>
      </c>
      <c r="I171" s="250">
        <v>0</v>
      </c>
      <c r="K171" s="297" t="s">
        <v>670</v>
      </c>
    </row>
    <row r="172" spans="2:22" x14ac:dyDescent="0.2">
      <c r="B172" s="202" t="s">
        <v>511</v>
      </c>
      <c r="C172" s="250">
        <v>42600</v>
      </c>
      <c r="E172" s="250">
        <v>0</v>
      </c>
      <c r="G172" s="250">
        <f t="shared" si="10"/>
        <v>127800</v>
      </c>
      <c r="I172" s="250">
        <v>0</v>
      </c>
      <c r="K172" s="297" t="s">
        <v>670</v>
      </c>
    </row>
    <row r="173" spans="2:22" x14ac:dyDescent="0.2">
      <c r="B173" s="202" t="s">
        <v>512</v>
      </c>
      <c r="C173" s="250">
        <v>-2189.4247196818515</v>
      </c>
      <c r="E173" s="250">
        <v>0</v>
      </c>
      <c r="G173" s="250">
        <f t="shared" si="10"/>
        <v>-2189.4247196818515</v>
      </c>
      <c r="I173" s="250">
        <v>0</v>
      </c>
      <c r="K173" s="297">
        <f t="shared" si="11"/>
        <v>0</v>
      </c>
    </row>
    <row r="174" spans="2:22" x14ac:dyDescent="0.2">
      <c r="B174" s="202" t="s">
        <v>515</v>
      </c>
      <c r="C174" s="250">
        <v>39500</v>
      </c>
      <c r="E174" s="250">
        <v>0</v>
      </c>
      <c r="G174" s="250">
        <f t="shared" si="10"/>
        <v>39500</v>
      </c>
      <c r="I174" s="250">
        <v>0</v>
      </c>
      <c r="K174" s="297">
        <f t="shared" si="11"/>
        <v>0</v>
      </c>
    </row>
    <row r="175" spans="2:22" x14ac:dyDescent="0.2">
      <c r="B175" s="202" t="s">
        <v>565</v>
      </c>
      <c r="C175" s="250">
        <v>0</v>
      </c>
      <c r="E175" s="250">
        <v>0</v>
      </c>
      <c r="G175" s="250">
        <f t="shared" si="10"/>
        <v>0</v>
      </c>
      <c r="I175" s="250">
        <v>0</v>
      </c>
      <c r="K175" s="297">
        <f t="shared" si="11"/>
        <v>0</v>
      </c>
    </row>
    <row r="176" spans="2:22" ht="16" x14ac:dyDescent="0.2">
      <c r="B176" s="203" t="s">
        <v>547</v>
      </c>
      <c r="C176" s="250">
        <v>0</v>
      </c>
      <c r="E176" s="250">
        <v>-6442.5099571670216</v>
      </c>
      <c r="G176" s="250">
        <f t="shared" si="10"/>
        <v>-6442.5099571670216</v>
      </c>
      <c r="I176" s="250">
        <v>0</v>
      </c>
      <c r="K176" s="297">
        <f t="shared" si="11"/>
        <v>0</v>
      </c>
    </row>
    <row r="177" spans="2:18" x14ac:dyDescent="0.2">
      <c r="B177" s="202" t="s">
        <v>513</v>
      </c>
      <c r="C177" s="250">
        <v>0</v>
      </c>
      <c r="E177" s="250">
        <v>-2880.21138188847</v>
      </c>
      <c r="G177" s="250">
        <f t="shared" si="10"/>
        <v>0</v>
      </c>
      <c r="I177" s="250">
        <v>-2880.21138188847</v>
      </c>
      <c r="K177" s="297">
        <f t="shared" si="11"/>
        <v>0</v>
      </c>
    </row>
    <row r="178" spans="2:18" ht="16" x14ac:dyDescent="0.2">
      <c r="B178" s="203" t="s">
        <v>516</v>
      </c>
      <c r="C178" s="250">
        <v>0</v>
      </c>
      <c r="E178" s="250">
        <v>-12112.03618380849</v>
      </c>
      <c r="G178" s="250">
        <f t="shared" si="10"/>
        <v>-12112.03618380849</v>
      </c>
      <c r="I178" s="250">
        <v>0</v>
      </c>
      <c r="K178" s="297">
        <f t="shared" si="11"/>
        <v>0</v>
      </c>
    </row>
    <row r="179" spans="2:18" x14ac:dyDescent="0.2">
      <c r="B179" s="202" t="s">
        <v>542</v>
      </c>
      <c r="C179" s="250">
        <v>0</v>
      </c>
      <c r="E179" s="250">
        <v>-2882.6003576350172</v>
      </c>
      <c r="G179" s="250">
        <f t="shared" si="10"/>
        <v>0</v>
      </c>
      <c r="I179" s="250">
        <v>-2882.6003576350172</v>
      </c>
      <c r="K179" s="297">
        <f t="shared" si="11"/>
        <v>0</v>
      </c>
    </row>
    <row r="180" spans="2:18" x14ac:dyDescent="0.2">
      <c r="B180" s="204" t="s">
        <v>534</v>
      </c>
      <c r="C180" s="250">
        <v>0</v>
      </c>
      <c r="D180" s="257" t="s">
        <v>467</v>
      </c>
      <c r="E180" s="250" t="e">
        <v>#REF!</v>
      </c>
      <c r="F180" s="169" t="s">
        <v>469</v>
      </c>
      <c r="G180" s="250" t="e">
        <f t="shared" si="10"/>
        <v>#REF!</v>
      </c>
      <c r="H180" s="169" t="s">
        <v>469</v>
      </c>
      <c r="I180" s="250">
        <v>0</v>
      </c>
      <c r="J180" s="257" t="s">
        <v>470</v>
      </c>
      <c r="K180" s="297" t="e">
        <f t="shared" si="11"/>
        <v>#REF!</v>
      </c>
    </row>
    <row r="181" spans="2:18" x14ac:dyDescent="0.2">
      <c r="B181" s="202" t="s">
        <v>520</v>
      </c>
      <c r="C181" s="250">
        <v>0</v>
      </c>
      <c r="E181" s="250" t="e">
        <v>#REF!</v>
      </c>
      <c r="G181" s="250">
        <f t="shared" si="10"/>
        <v>0</v>
      </c>
      <c r="I181" s="250" t="e">
        <v>#REF!</v>
      </c>
      <c r="K181" s="297" t="e">
        <f t="shared" si="11"/>
        <v>#REF!</v>
      </c>
    </row>
    <row r="182" spans="2:18" ht="16" x14ac:dyDescent="0.2">
      <c r="B182" s="203" t="s">
        <v>546</v>
      </c>
      <c r="C182" s="250">
        <v>0</v>
      </c>
      <c r="E182" s="250">
        <v>-6442.5099571670216</v>
      </c>
      <c r="G182" s="250">
        <f t="shared" si="10"/>
        <v>-6442.5099571670216</v>
      </c>
      <c r="I182" s="250">
        <v>0</v>
      </c>
      <c r="K182" s="297">
        <f t="shared" si="11"/>
        <v>0</v>
      </c>
    </row>
    <row r="183" spans="2:18" ht="16" x14ac:dyDescent="0.2">
      <c r="B183" s="203" t="s">
        <v>541</v>
      </c>
      <c r="C183" s="250">
        <v>0</v>
      </c>
      <c r="E183" s="250">
        <v>-12112.03618380849</v>
      </c>
      <c r="G183" s="250">
        <f t="shared" si="10"/>
        <v>-12112.03618380849</v>
      </c>
      <c r="I183" s="250">
        <v>0</v>
      </c>
      <c r="K183" s="297">
        <f t="shared" si="11"/>
        <v>0</v>
      </c>
    </row>
    <row r="184" spans="2:18" ht="16" x14ac:dyDescent="0.2">
      <c r="B184" s="203" t="s">
        <v>538</v>
      </c>
      <c r="C184" s="250">
        <v>0</v>
      </c>
      <c r="E184" s="250" t="e">
        <v>#REF!</v>
      </c>
      <c r="G184" s="250" t="e">
        <f t="shared" si="10"/>
        <v>#REF!</v>
      </c>
      <c r="I184" s="250">
        <v>0</v>
      </c>
      <c r="K184" s="297" t="e">
        <f t="shared" si="11"/>
        <v>#REF!</v>
      </c>
    </row>
    <row r="185" spans="2:18" ht="16" x14ac:dyDescent="0.2">
      <c r="B185" s="203" t="s">
        <v>544</v>
      </c>
      <c r="C185" s="250">
        <v>0</v>
      </c>
      <c r="E185" s="250">
        <v>-6350.2001773318216</v>
      </c>
      <c r="G185" s="250">
        <f t="shared" si="10"/>
        <v>-6350.2001773318216</v>
      </c>
      <c r="I185" s="250">
        <v>0</v>
      </c>
      <c r="K185" s="297">
        <f t="shared" si="11"/>
        <v>0</v>
      </c>
    </row>
    <row r="186" spans="2:18" x14ac:dyDescent="0.2">
      <c r="B186" s="204" t="s">
        <v>543</v>
      </c>
      <c r="C186" s="250">
        <v>0</v>
      </c>
      <c r="E186" s="250">
        <v>-14287.000845881314</v>
      </c>
      <c r="G186" s="250">
        <f t="shared" si="10"/>
        <v>0</v>
      </c>
      <c r="I186" s="250">
        <v>-14287.000845881314</v>
      </c>
      <c r="K186" s="297">
        <f t="shared" si="11"/>
        <v>0</v>
      </c>
    </row>
    <row r="187" spans="2:18" x14ac:dyDescent="0.2">
      <c r="B187" s="204" t="s">
        <v>528</v>
      </c>
      <c r="C187" s="250">
        <v>0</v>
      </c>
      <c r="E187" s="250">
        <v>-12112.03618380849</v>
      </c>
      <c r="G187" s="250">
        <f t="shared" si="10"/>
        <v>-12112.03618380849</v>
      </c>
      <c r="I187" s="250">
        <v>0</v>
      </c>
      <c r="K187" s="297">
        <f t="shared" si="11"/>
        <v>0</v>
      </c>
      <c r="N187" s="25"/>
      <c r="P187" s="25"/>
      <c r="Q187" s="25"/>
      <c r="R187" s="25"/>
    </row>
    <row r="188" spans="2:18" x14ac:dyDescent="0.2">
      <c r="B188" s="204" t="s">
        <v>562</v>
      </c>
      <c r="C188" s="250">
        <v>0</v>
      </c>
      <c r="E188" s="250" t="e">
        <v>#REF!</v>
      </c>
      <c r="G188" s="250" t="e">
        <f t="shared" si="10"/>
        <v>#REF!</v>
      </c>
      <c r="I188" s="250">
        <v>0</v>
      </c>
      <c r="K188" s="297" t="e">
        <f t="shared" si="11"/>
        <v>#REF!</v>
      </c>
      <c r="N188" s="25"/>
      <c r="P188" s="25"/>
      <c r="Q188" s="25"/>
      <c r="R188" s="25"/>
    </row>
    <row r="189" spans="2:18" x14ac:dyDescent="0.2">
      <c r="B189" s="204" t="s">
        <v>529</v>
      </c>
      <c r="C189" s="250">
        <v>0</v>
      </c>
      <c r="E189" s="250">
        <v>-11321.85158370395</v>
      </c>
      <c r="G189" s="250">
        <f t="shared" si="10"/>
        <v>-11321.85158370395</v>
      </c>
      <c r="I189" s="250">
        <v>0</v>
      </c>
      <c r="K189" s="297">
        <f t="shared" si="11"/>
        <v>0</v>
      </c>
      <c r="N189" s="25"/>
      <c r="P189" s="25"/>
      <c r="Q189" s="25"/>
      <c r="R189" s="25"/>
    </row>
    <row r="190" spans="2:18" x14ac:dyDescent="0.2">
      <c r="B190" s="204" t="s">
        <v>531</v>
      </c>
      <c r="C190" s="250">
        <v>0</v>
      </c>
      <c r="E190" s="250">
        <v>-14926.410019749705</v>
      </c>
      <c r="G190" s="250">
        <f t="shared" si="10"/>
        <v>0</v>
      </c>
      <c r="I190" s="250">
        <v>-14926.410019749705</v>
      </c>
      <c r="K190" s="297">
        <f t="shared" si="11"/>
        <v>0</v>
      </c>
      <c r="N190" s="25"/>
      <c r="P190" s="25"/>
      <c r="Q190" s="25"/>
      <c r="R190" s="25"/>
    </row>
    <row r="191" spans="2:18" x14ac:dyDescent="0.2">
      <c r="B191" s="204" t="s">
        <v>530</v>
      </c>
      <c r="C191" s="250">
        <v>0</v>
      </c>
      <c r="E191" s="250">
        <v>-3018.6365269927733</v>
      </c>
      <c r="G191" s="250">
        <f t="shared" si="10"/>
        <v>0</v>
      </c>
      <c r="I191" s="250">
        <v>-3018.6365269927733</v>
      </c>
      <c r="K191" s="297">
        <f t="shared" si="11"/>
        <v>0</v>
      </c>
      <c r="N191" s="25"/>
      <c r="P191" s="25"/>
      <c r="Q191" s="25"/>
      <c r="R191" s="25"/>
    </row>
    <row r="192" spans="2:18" x14ac:dyDescent="0.2">
      <c r="B192" s="204" t="s">
        <v>627</v>
      </c>
      <c r="C192" s="250">
        <v>0</v>
      </c>
      <c r="E192" s="250">
        <v>0</v>
      </c>
      <c r="G192" s="250">
        <f t="shared" si="10"/>
        <v>0</v>
      </c>
      <c r="I192" s="250">
        <v>0</v>
      </c>
      <c r="K192" s="297">
        <f t="shared" si="11"/>
        <v>0</v>
      </c>
    </row>
    <row r="193" spans="2:19" ht="16" x14ac:dyDescent="0.2">
      <c r="B193" s="251" t="s">
        <v>526</v>
      </c>
      <c r="C193" s="250">
        <v>0</v>
      </c>
      <c r="E193" s="250" t="e">
        <v>#REF!</v>
      </c>
      <c r="G193" s="250" t="e">
        <f t="shared" si="10"/>
        <v>#REF!</v>
      </c>
      <c r="I193" s="250">
        <v>0</v>
      </c>
      <c r="K193" s="297" t="e">
        <f t="shared" si="11"/>
        <v>#REF!</v>
      </c>
    </row>
    <row r="194" spans="2:19" x14ac:dyDescent="0.2">
      <c r="B194" s="204" t="s">
        <v>525</v>
      </c>
      <c r="C194" s="250">
        <v>0</v>
      </c>
      <c r="E194" s="250" t="e">
        <v>#REF!</v>
      </c>
      <c r="G194" s="250">
        <f t="shared" si="10"/>
        <v>0</v>
      </c>
      <c r="I194" s="250" t="e">
        <v>#REF!</v>
      </c>
      <c r="K194" s="297" t="e">
        <f t="shared" si="11"/>
        <v>#REF!</v>
      </c>
      <c r="L194" s="25"/>
    </row>
    <row r="195" spans="2:19" x14ac:dyDescent="0.2">
      <c r="B195" s="202" t="s">
        <v>527</v>
      </c>
      <c r="C195" s="250">
        <v>0</v>
      </c>
      <c r="E195" s="250" t="e">
        <v>#REF!</v>
      </c>
      <c r="G195" s="250">
        <f t="shared" si="10"/>
        <v>0</v>
      </c>
      <c r="I195" s="250" t="e">
        <v>#REF!</v>
      </c>
      <c r="K195" s="297" t="e">
        <f t="shared" si="11"/>
        <v>#REF!</v>
      </c>
    </row>
    <row r="196" spans="2:19" x14ac:dyDescent="0.2">
      <c r="B196" s="204" t="s">
        <v>666</v>
      </c>
      <c r="C196" s="250">
        <v>0</v>
      </c>
      <c r="E196" s="250">
        <v>6.1564271489094454E-3</v>
      </c>
      <c r="G196" s="250">
        <f t="shared" si="10"/>
        <v>6.1564271489094454E-3</v>
      </c>
      <c r="I196" s="250">
        <v>0</v>
      </c>
      <c r="K196" s="297">
        <f t="shared" si="11"/>
        <v>0</v>
      </c>
    </row>
    <row r="197" spans="2:19" x14ac:dyDescent="0.2">
      <c r="B197" s="204" t="s">
        <v>669</v>
      </c>
      <c r="C197" s="250">
        <v>0</v>
      </c>
      <c r="E197" s="250">
        <v>6.1564271489094454E-3</v>
      </c>
      <c r="G197" s="250">
        <f t="shared" si="10"/>
        <v>1.2312854297818889E-2</v>
      </c>
      <c r="I197" s="250">
        <v>6.1564271489094463E-3</v>
      </c>
      <c r="K197" s="297" t="s">
        <v>670</v>
      </c>
    </row>
    <row r="198" spans="2:19" x14ac:dyDescent="0.2">
      <c r="B198" s="204" t="s">
        <v>550</v>
      </c>
      <c r="C198" s="250">
        <v>0</v>
      </c>
      <c r="E198" s="250">
        <v>-5807.700525901595</v>
      </c>
      <c r="G198" s="250">
        <f t="shared" si="10"/>
        <v>-5807.700525901595</v>
      </c>
      <c r="I198" s="250">
        <v>0</v>
      </c>
      <c r="K198" s="297">
        <f t="shared" si="11"/>
        <v>0</v>
      </c>
      <c r="P198" s="243"/>
      <c r="Q198" s="243"/>
      <c r="R198" s="243"/>
      <c r="S198" s="243"/>
    </row>
    <row r="199" spans="2:19" x14ac:dyDescent="0.2">
      <c r="B199" s="204" t="s">
        <v>551</v>
      </c>
      <c r="C199" s="250">
        <v>0</v>
      </c>
      <c r="E199" s="250">
        <v>0</v>
      </c>
      <c r="G199" s="250">
        <f t="shared" si="10"/>
        <v>0</v>
      </c>
      <c r="I199" s="250">
        <v>0</v>
      </c>
      <c r="K199" s="297">
        <f t="shared" si="11"/>
        <v>0</v>
      </c>
    </row>
    <row r="200" spans="2:19" x14ac:dyDescent="0.2">
      <c r="B200" s="204" t="s">
        <v>552</v>
      </c>
      <c r="C200" s="250">
        <v>0</v>
      </c>
      <c r="E200" s="250">
        <v>-4019.842912717002</v>
      </c>
      <c r="G200" s="250">
        <f t="shared" si="10"/>
        <v>0</v>
      </c>
      <c r="I200" s="250">
        <v>-4019.842912717002</v>
      </c>
      <c r="K200" s="297">
        <f t="shared" si="11"/>
        <v>0</v>
      </c>
    </row>
    <row r="201" spans="2:19" x14ac:dyDescent="0.2">
      <c r="B201" s="204" t="s">
        <v>563</v>
      </c>
      <c r="C201" s="250">
        <v>0</v>
      </c>
      <c r="E201" s="250">
        <v>-771.42466062394067</v>
      </c>
      <c r="G201" s="250">
        <f t="shared" si="10"/>
        <v>0</v>
      </c>
      <c r="I201" s="250">
        <v>-771.42466062394067</v>
      </c>
      <c r="K201" s="297">
        <f t="shared" si="11"/>
        <v>0</v>
      </c>
    </row>
    <row r="202" spans="2:19" ht="17" x14ac:dyDescent="0.2">
      <c r="B202" s="204"/>
      <c r="C202" s="3" t="s">
        <v>466</v>
      </c>
      <c r="E202" s="3" t="s">
        <v>468</v>
      </c>
      <c r="G202" s="25" t="s">
        <v>465</v>
      </c>
      <c r="I202" s="25" t="s">
        <v>39</v>
      </c>
      <c r="K202" s="25" t="e">
        <f>SUM(K167:K201)</f>
        <v>#REF!</v>
      </c>
    </row>
    <row r="203" spans="2:19" x14ac:dyDescent="0.2">
      <c r="B203" s="204"/>
      <c r="G203" s="25"/>
      <c r="I203" s="25"/>
    </row>
    <row r="204" spans="2:19" x14ac:dyDescent="0.2">
      <c r="B204" s="204"/>
    </row>
    <row r="205" spans="2:19" x14ac:dyDescent="0.2">
      <c r="D205" s="243"/>
      <c r="E205" s="243"/>
      <c r="L205" s="243"/>
      <c r="M205" s="243"/>
    </row>
    <row r="208" spans="2:19" x14ac:dyDescent="0.2">
      <c r="D208" s="243"/>
      <c r="E208" s="243"/>
    </row>
    <row r="209" spans="2:15" x14ac:dyDescent="0.2">
      <c r="B209" s="302" t="s">
        <v>412</v>
      </c>
      <c r="C209" s="303">
        <v>0</v>
      </c>
      <c r="N209" s="243"/>
      <c r="O209" s="243"/>
    </row>
    <row r="210" spans="2:15" x14ac:dyDescent="0.2">
      <c r="B210" s="302" t="s">
        <v>413</v>
      </c>
      <c r="C210" s="303">
        <v>0</v>
      </c>
    </row>
    <row r="211" spans="2:15" x14ac:dyDescent="0.2">
      <c r="B211" s="302" t="s">
        <v>414</v>
      </c>
      <c r="C211" s="303" t="e">
        <f>'Ore-&gt;PI'!AA195</f>
        <v>#REF!</v>
      </c>
    </row>
    <row r="212" spans="2:15" x14ac:dyDescent="0.2">
      <c r="B212" s="302" t="s">
        <v>561</v>
      </c>
      <c r="C212" s="303">
        <f>'Ore-&gt;PI'!AS28</f>
        <v>609792.2517593482</v>
      </c>
      <c r="F212" s="243"/>
      <c r="G212" s="243"/>
      <c r="I212" s="243"/>
      <c r="J212" s="243"/>
      <c r="K212" s="243"/>
    </row>
    <row r="213" spans="2:15" x14ac:dyDescent="0.2">
      <c r="B213" s="302" t="s">
        <v>540</v>
      </c>
      <c r="C213" s="303">
        <f>'Ore-&gt;PI'!AS113</f>
        <v>2824.8856477449194</v>
      </c>
    </row>
    <row r="214" spans="2:15" x14ac:dyDescent="0.2">
      <c r="B214" s="302" t="s">
        <v>539</v>
      </c>
      <c r="C214" s="303" t="e">
        <f>'Ore-&gt;PI'!AS190</f>
        <v>#REF!</v>
      </c>
    </row>
    <row r="215" spans="2:15" x14ac:dyDescent="0.2">
      <c r="B215" s="302" t="s">
        <v>439</v>
      </c>
      <c r="C215" s="303">
        <f>'Ore-&gt;PI'!BL35</f>
        <v>12479.249680000003</v>
      </c>
    </row>
    <row r="216" spans="2:15" x14ac:dyDescent="0.2">
      <c r="B216" s="302" t="s">
        <v>436</v>
      </c>
      <c r="C216" s="303">
        <f>'Ore-&gt;PI'!BK116</f>
        <v>34.678095164114971</v>
      </c>
    </row>
    <row r="217" spans="2:15" x14ac:dyDescent="0.2">
      <c r="B217" s="302" t="s">
        <v>454</v>
      </c>
      <c r="C217" s="303" t="e">
        <f>'Ore-&gt;PI'!BK195</f>
        <v>#REF!</v>
      </c>
    </row>
    <row r="218" spans="2:15" x14ac:dyDescent="0.2">
      <c r="B218" s="302" t="s">
        <v>437</v>
      </c>
      <c r="C218" s="303">
        <v>0</v>
      </c>
    </row>
    <row r="219" spans="2:15" x14ac:dyDescent="0.2">
      <c r="B219" s="302" t="s">
        <v>432</v>
      </c>
      <c r="C219" s="303">
        <v>0</v>
      </c>
    </row>
    <row r="220" spans="2:15" x14ac:dyDescent="0.2">
      <c r="B220" s="202" t="s">
        <v>665</v>
      </c>
      <c r="C220" s="303" t="e">
        <f>'Ore-&gt;PI'!DB229</f>
        <v>#REF!</v>
      </c>
    </row>
    <row r="221" spans="2:15" x14ac:dyDescent="0.2">
      <c r="B221" s="202" t="s">
        <v>668</v>
      </c>
      <c r="C221" s="303">
        <v>0</v>
      </c>
    </row>
    <row r="222" spans="2:15" x14ac:dyDescent="0.2">
      <c r="B222" s="202" t="s">
        <v>81</v>
      </c>
      <c r="C222" s="303">
        <v>0</v>
      </c>
    </row>
    <row r="223" spans="2:15" x14ac:dyDescent="0.2">
      <c r="B223" s="202" t="s">
        <v>424</v>
      </c>
      <c r="C223" s="305">
        <f>'Ore-&gt;PI'!ES117</f>
        <v>317844.87395625591</v>
      </c>
    </row>
    <row r="224" spans="2:15" x14ac:dyDescent="0.2">
      <c r="B224" s="204"/>
      <c r="C224" s="304" t="s">
        <v>265</v>
      </c>
    </row>
    <row r="229" spans="8:11" x14ac:dyDescent="0.2">
      <c r="H229" s="169"/>
      <c r="I229" s="169"/>
      <c r="J229" s="169"/>
      <c r="K229" s="169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AC41" s="205"/>
      <c r="AD41" s="205"/>
      <c r="AE41" s="205"/>
    </row>
    <row r="42" spans="10:31" x14ac:dyDescent="0.2">
      <c r="J42" s="202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8"/>
      <c r="W42" s="221"/>
      <c r="AB42" s="202"/>
      <c r="AC42" s="206"/>
      <c r="AD42" s="206"/>
      <c r="AE42" s="206"/>
    </row>
    <row r="43" spans="10:31" x14ac:dyDescent="0.2">
      <c r="J43" s="202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8"/>
      <c r="W43" s="221"/>
      <c r="AB43" s="202"/>
      <c r="AC43" s="206"/>
      <c r="AD43" s="206"/>
      <c r="AE43" s="206"/>
    </row>
    <row r="44" spans="10:31" x14ac:dyDescent="0.2">
      <c r="J44" s="202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8"/>
      <c r="W44" s="221"/>
      <c r="AB44" s="202"/>
      <c r="AC44" s="206"/>
      <c r="AD44" s="206"/>
      <c r="AE44" s="206"/>
    </row>
    <row r="45" spans="10:31" x14ac:dyDescent="0.2">
      <c r="J45" s="202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AB45" s="202"/>
      <c r="AC45" s="206"/>
      <c r="AD45" s="206"/>
      <c r="AE45" s="206"/>
    </row>
    <row r="46" spans="10:31" x14ac:dyDescent="0.2">
      <c r="J46" s="202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AB46" s="202"/>
      <c r="AC46" s="206"/>
      <c r="AD46" s="206"/>
      <c r="AE46" s="206"/>
    </row>
    <row r="47" spans="10:31" x14ac:dyDescent="0.2">
      <c r="J47" s="202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AB47" s="202"/>
      <c r="AC47" s="206"/>
      <c r="AD47" s="227"/>
      <c r="AE47" s="206"/>
    </row>
    <row r="48" spans="10:31" x14ac:dyDescent="0.2">
      <c r="J48" s="202"/>
      <c r="K48" s="221"/>
      <c r="L48" s="221"/>
      <c r="M48" s="221"/>
      <c r="N48" s="221"/>
      <c r="O48" s="221"/>
      <c r="P48" s="228"/>
      <c r="Q48" s="221"/>
      <c r="R48" s="221"/>
      <c r="S48" s="221"/>
      <c r="T48" s="221"/>
      <c r="U48" s="221"/>
      <c r="V48" s="229"/>
      <c r="W48" s="221"/>
      <c r="AB48" s="202"/>
      <c r="AC48" s="206"/>
      <c r="AD48" s="206"/>
      <c r="AE48" s="206"/>
    </row>
    <row r="49" spans="2:35" x14ac:dyDescent="0.2">
      <c r="J49" s="202"/>
      <c r="K49" s="221"/>
      <c r="L49" s="221"/>
      <c r="M49" s="221"/>
      <c r="N49" s="221"/>
      <c r="O49" s="221"/>
      <c r="P49" s="228"/>
      <c r="Q49" s="221"/>
      <c r="R49" s="221"/>
      <c r="S49" s="221"/>
      <c r="T49" s="221"/>
      <c r="U49" s="221"/>
      <c r="V49" s="221"/>
      <c r="W49" s="221"/>
      <c r="AB49" s="202"/>
      <c r="AC49" s="206"/>
      <c r="AD49" s="206"/>
      <c r="AE49" s="206"/>
    </row>
    <row r="50" spans="2:35" x14ac:dyDescent="0.2">
      <c r="J50" s="202"/>
      <c r="K50" s="221"/>
      <c r="L50" s="221"/>
      <c r="M50" s="221"/>
      <c r="N50" s="221"/>
      <c r="O50" s="221"/>
      <c r="P50" s="228"/>
      <c r="Q50" s="221"/>
      <c r="R50" s="221"/>
      <c r="S50" s="221"/>
      <c r="T50" s="221"/>
      <c r="U50" s="221"/>
      <c r="V50" s="221"/>
      <c r="W50" s="221"/>
      <c r="AC50" s="395" t="s">
        <v>417</v>
      </c>
      <c r="AD50" s="395"/>
      <c r="AE50" s="395"/>
    </row>
    <row r="51" spans="2:35" x14ac:dyDescent="0.2"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</row>
    <row r="52" spans="2:35" x14ac:dyDescent="0.2"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</row>
    <row r="53" spans="2:35" x14ac:dyDescent="0.2">
      <c r="K53" s="395" t="s">
        <v>415</v>
      </c>
      <c r="L53" s="395"/>
      <c r="M53" s="395"/>
      <c r="N53" s="395"/>
      <c r="O53" s="395"/>
      <c r="P53" s="395"/>
      <c r="Q53" s="395"/>
      <c r="R53" s="395"/>
      <c r="S53" s="395"/>
      <c r="T53" s="395"/>
      <c r="U53" s="395"/>
      <c r="V53" s="395"/>
      <c r="W53" s="395"/>
      <c r="AD53" s="25"/>
      <c r="AE53" s="25"/>
      <c r="AF53" s="25"/>
      <c r="AG53" s="25"/>
      <c r="AH53" s="25"/>
      <c r="AI53" s="25"/>
    </row>
    <row r="58" spans="2:35" x14ac:dyDescent="0.2">
      <c r="C58" s="396"/>
      <c r="D58" s="396"/>
      <c r="E58" s="232"/>
      <c r="F58" s="232"/>
      <c r="G58" s="232"/>
      <c r="H58" s="232"/>
    </row>
    <row r="59" spans="2:35" x14ac:dyDescent="0.2">
      <c r="C59" s="207"/>
      <c r="D59" s="207"/>
      <c r="E59" s="208"/>
      <c r="F59" s="208"/>
      <c r="G59" s="208"/>
      <c r="H59" s="208"/>
      <c r="I59" s="230"/>
      <c r="J59" s="230"/>
    </row>
    <row r="60" spans="2:35" x14ac:dyDescent="0.2">
      <c r="B60" s="3"/>
      <c r="C60" s="221"/>
      <c r="D60" s="221"/>
      <c r="E60" s="221"/>
      <c r="F60" s="221"/>
      <c r="G60" s="221"/>
      <c r="H60" s="221"/>
      <c r="I60" s="221"/>
      <c r="J60" s="221"/>
    </row>
    <row r="61" spans="2:35" x14ac:dyDescent="0.2">
      <c r="B61" s="3"/>
      <c r="C61" s="221"/>
      <c r="D61" s="221"/>
      <c r="E61" s="221"/>
      <c r="F61" s="221"/>
      <c r="G61" s="221"/>
      <c r="H61" s="221"/>
      <c r="I61" s="221"/>
      <c r="J61" s="221"/>
    </row>
    <row r="62" spans="2:35" x14ac:dyDescent="0.2">
      <c r="B62" s="3"/>
      <c r="C62" s="221"/>
      <c r="D62" s="221"/>
      <c r="E62" s="221"/>
      <c r="F62" s="221"/>
      <c r="G62" s="221"/>
      <c r="H62" s="221"/>
      <c r="I62" s="221"/>
      <c r="J62" s="221"/>
    </row>
    <row r="63" spans="2:35" x14ac:dyDescent="0.2">
      <c r="B63" s="3"/>
      <c r="C63" s="221"/>
      <c r="D63" s="221"/>
      <c r="E63" s="221"/>
      <c r="F63" s="221"/>
      <c r="G63" s="221"/>
      <c r="H63" s="221"/>
      <c r="I63" s="221"/>
      <c r="J63" s="221"/>
    </row>
    <row r="64" spans="2:35" x14ac:dyDescent="0.2">
      <c r="B64" s="3"/>
      <c r="C64" s="221"/>
      <c r="D64" s="221"/>
      <c r="E64" s="221"/>
      <c r="F64" s="221"/>
      <c r="G64" s="221"/>
      <c r="H64" s="221"/>
      <c r="I64" s="221"/>
      <c r="J64" s="221"/>
    </row>
    <row r="65" spans="2:10" x14ac:dyDescent="0.2">
      <c r="B65" s="3"/>
      <c r="C65" s="221"/>
      <c r="D65" s="221"/>
      <c r="E65" s="221"/>
      <c r="F65" s="221"/>
      <c r="G65" s="221"/>
      <c r="H65" s="221"/>
      <c r="I65" s="221"/>
      <c r="J65" s="221"/>
    </row>
    <row r="66" spans="2:10" x14ac:dyDescent="0.2">
      <c r="B66" s="3"/>
      <c r="C66" s="221"/>
      <c r="D66" s="221"/>
      <c r="E66" s="221"/>
      <c r="F66" s="221"/>
      <c r="G66" s="221"/>
      <c r="H66" s="221"/>
      <c r="I66" s="221"/>
      <c r="J66" s="221"/>
    </row>
    <row r="67" spans="2:10" x14ac:dyDescent="0.2">
      <c r="B67" s="3"/>
      <c r="C67" s="221"/>
      <c r="D67" s="221"/>
      <c r="E67" s="221"/>
      <c r="F67" s="221"/>
      <c r="G67" s="221"/>
      <c r="H67" s="229"/>
      <c r="I67" s="221"/>
      <c r="J67" s="221"/>
    </row>
    <row r="68" spans="2:10" x14ac:dyDescent="0.2">
      <c r="B68" s="3"/>
      <c r="C68" s="221"/>
      <c r="D68" s="221"/>
      <c r="E68" s="221"/>
      <c r="F68" s="221"/>
      <c r="G68" s="221"/>
      <c r="H68" s="221"/>
      <c r="I68" s="221"/>
      <c r="J68" s="221"/>
    </row>
    <row r="69" spans="2:10" x14ac:dyDescent="0.2">
      <c r="B69" s="3"/>
      <c r="C69" s="221"/>
      <c r="D69" s="221"/>
      <c r="E69" s="221"/>
      <c r="F69" s="221"/>
      <c r="G69" s="221"/>
      <c r="H69" s="221"/>
      <c r="I69" s="221"/>
      <c r="J69" s="221"/>
    </row>
    <row r="70" spans="2:10" x14ac:dyDescent="0.2">
      <c r="B70" s="3"/>
      <c r="C70" s="221"/>
      <c r="D70" s="221"/>
      <c r="E70" s="221"/>
      <c r="F70" s="221"/>
      <c r="G70" s="221"/>
      <c r="H70" s="221"/>
      <c r="I70" s="221"/>
      <c r="J70" s="221"/>
    </row>
    <row r="71" spans="2:10" x14ac:dyDescent="0.2">
      <c r="B71" s="3"/>
      <c r="C71" s="221"/>
      <c r="D71" s="221"/>
      <c r="E71" s="221"/>
      <c r="F71" s="221"/>
      <c r="G71" s="221"/>
      <c r="H71" s="229"/>
      <c r="I71" s="221"/>
      <c r="J71" s="221"/>
    </row>
    <row r="72" spans="2:10" x14ac:dyDescent="0.2">
      <c r="B72" s="3"/>
      <c r="C72" s="221"/>
      <c r="D72" s="221"/>
      <c r="E72" s="221"/>
      <c r="F72" s="221"/>
      <c r="G72" s="221"/>
      <c r="H72" s="221"/>
      <c r="I72" s="221"/>
      <c r="J72" s="221"/>
    </row>
    <row r="73" spans="2:10" x14ac:dyDescent="0.2">
      <c r="C73" s="395" t="s">
        <v>416</v>
      </c>
      <c r="D73" s="395"/>
      <c r="E73" s="395"/>
      <c r="F73" s="395"/>
      <c r="G73" s="395"/>
      <c r="H73" s="395"/>
      <c r="I73" s="395"/>
      <c r="J73" s="395"/>
    </row>
    <row r="86" spans="2:7" x14ac:dyDescent="0.2">
      <c r="C86" s="205"/>
      <c r="D86" s="205"/>
      <c r="E86" s="205"/>
      <c r="F86" s="205"/>
      <c r="G86" s="205"/>
    </row>
    <row r="87" spans="2:7" x14ac:dyDescent="0.2">
      <c r="B87" s="202" t="s">
        <v>278</v>
      </c>
      <c r="C87" s="206"/>
      <c r="D87" s="206"/>
      <c r="E87" s="206"/>
      <c r="F87" s="206"/>
      <c r="G87" s="206"/>
    </row>
    <row r="88" spans="2:7" x14ac:dyDescent="0.2">
      <c r="B88" s="202" t="s">
        <v>430</v>
      </c>
      <c r="C88" s="206"/>
      <c r="D88" s="206"/>
      <c r="E88" s="206"/>
      <c r="F88" s="206"/>
      <c r="G88" s="206"/>
    </row>
    <row r="89" spans="2:7" x14ac:dyDescent="0.2">
      <c r="B89" s="202" t="s">
        <v>431</v>
      </c>
      <c r="C89" s="206"/>
      <c r="D89" s="206"/>
      <c r="E89" s="206"/>
      <c r="F89" s="206"/>
      <c r="G89" s="206"/>
    </row>
    <row r="90" spans="2:7" x14ac:dyDescent="0.2">
      <c r="C90" s="206"/>
      <c r="D90" s="206"/>
      <c r="E90" s="206"/>
      <c r="F90" s="227"/>
      <c r="G90" s="206"/>
    </row>
    <row r="91" spans="2:7" x14ac:dyDescent="0.2">
      <c r="C91" s="206"/>
      <c r="D91" s="206"/>
      <c r="E91" s="206"/>
      <c r="F91" s="206"/>
      <c r="G91" s="206"/>
    </row>
    <row r="92" spans="2:7" x14ac:dyDescent="0.2">
      <c r="C92" s="395" t="s">
        <v>57</v>
      </c>
      <c r="D92" s="395"/>
      <c r="E92" s="395"/>
      <c r="F92" s="395"/>
      <c r="G92" s="39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3" t="s">
        <v>317</v>
      </c>
      <c r="E2" s="313"/>
      <c r="F2" s="313"/>
      <c r="G2" s="313"/>
      <c r="V2" s="164"/>
    </row>
    <row r="3" spans="2:22" x14ac:dyDescent="0.2">
      <c r="B3" s="3"/>
      <c r="C3" s="3"/>
      <c r="D3" s="398" t="s">
        <v>82</v>
      </c>
      <c r="E3" s="398"/>
      <c r="F3" s="398"/>
      <c r="G3" s="398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03" t="s">
        <v>4</v>
      </c>
      <c r="C4" s="3"/>
      <c r="D4" s="194" t="s">
        <v>364</v>
      </c>
      <c r="E4" s="194" t="s">
        <v>189</v>
      </c>
      <c r="F4" s="194" t="s">
        <v>176</v>
      </c>
      <c r="G4" s="194" t="s">
        <v>350</v>
      </c>
      <c r="I4" s="3"/>
      <c r="K4" s="3"/>
      <c r="L4" s="3"/>
      <c r="O4" s="164"/>
      <c r="P4" s="164"/>
      <c r="Q4" s="164"/>
      <c r="R4" s="400" t="s">
        <v>355</v>
      </c>
      <c r="S4" s="400"/>
      <c r="T4" s="400"/>
      <c r="U4" s="400"/>
      <c r="V4" s="164"/>
    </row>
    <row r="5" spans="2:22" ht="14.5" customHeight="1" x14ac:dyDescent="0.2">
      <c r="B5" s="403"/>
      <c r="C5" s="145" t="s">
        <v>341</v>
      </c>
      <c r="D5" s="3">
        <f>Bejan_MEROI_Iron</f>
        <v>0.71020207646031153</v>
      </c>
      <c r="E5" s="3" t="e">
        <f>Bejan_IronExtraction</f>
        <v>#REF!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0"/>
      <c r="S5" s="400"/>
      <c r="T5" s="400"/>
      <c r="U5" s="400"/>
      <c r="V5" s="164"/>
    </row>
    <row r="6" spans="2:22" x14ac:dyDescent="0.2">
      <c r="B6" s="403"/>
      <c r="C6" s="147" t="s">
        <v>632</v>
      </c>
      <c r="D6" s="3" t="e">
        <f>Rational_MEROI_Iron</f>
        <v>#REF!</v>
      </c>
      <c r="E6" s="3" t="e">
        <f>Rational_IronExtraction</f>
        <v>#REF!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0"/>
      <c r="S6" s="400"/>
      <c r="T6" s="400"/>
      <c r="U6" s="400"/>
      <c r="V6" s="164"/>
    </row>
    <row r="7" spans="2:22" ht="16" thickBot="1" x14ac:dyDescent="0.25">
      <c r="B7" s="403"/>
      <c r="C7" s="146" t="s">
        <v>404</v>
      </c>
      <c r="D7" s="163" t="e">
        <f>Resource_MEROI_Iron</f>
        <v>#REF!</v>
      </c>
      <c r="E7" s="3" t="e">
        <f>Resource_IronExtraction</f>
        <v>#REF!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1"/>
      <c r="S7" s="401"/>
      <c r="T7" s="401"/>
      <c r="U7" s="401"/>
      <c r="V7" s="164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0" t="s">
        <v>354</v>
      </c>
      <c r="Q8" s="416"/>
      <c r="R8" s="418" t="s">
        <v>341</v>
      </c>
      <c r="S8" s="419"/>
      <c r="T8" s="404" t="s">
        <v>404</v>
      </c>
      <c r="U8" s="405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0"/>
      <c r="Q9" s="416"/>
      <c r="R9" s="420"/>
      <c r="S9" s="421"/>
      <c r="T9" s="406"/>
      <c r="U9" s="407"/>
      <c r="V9" s="164"/>
    </row>
    <row r="10" spans="2:22" x14ac:dyDescent="0.2">
      <c r="L10" s="3"/>
      <c r="M10" s="3"/>
      <c r="O10" s="164"/>
      <c r="P10" s="400"/>
      <c r="Q10" s="416"/>
      <c r="R10" s="420"/>
      <c r="S10" s="421"/>
      <c r="T10" s="406"/>
      <c r="U10" s="407"/>
      <c r="V10" s="164"/>
    </row>
    <row r="11" spans="2:22" x14ac:dyDescent="0.2">
      <c r="B11" s="3"/>
      <c r="C11" s="3"/>
      <c r="D11" s="313" t="s">
        <v>317</v>
      </c>
      <c r="E11" s="313"/>
      <c r="F11" s="313"/>
      <c r="G11" s="313"/>
      <c r="H11" s="313"/>
      <c r="L11" s="3"/>
      <c r="M11" s="3"/>
      <c r="O11" s="164"/>
      <c r="P11" s="400"/>
      <c r="Q11" s="416"/>
      <c r="R11" s="420"/>
      <c r="S11" s="421"/>
      <c r="T11" s="406"/>
      <c r="U11" s="407"/>
      <c r="V11" s="164"/>
    </row>
    <row r="12" spans="2:22" x14ac:dyDescent="0.2">
      <c r="B12" s="3"/>
      <c r="C12" s="3"/>
      <c r="D12" s="398" t="s">
        <v>82</v>
      </c>
      <c r="E12" s="398"/>
      <c r="F12" s="398"/>
      <c r="G12" s="398"/>
      <c r="H12" s="398"/>
      <c r="L12" s="3"/>
      <c r="M12" s="3"/>
      <c r="O12" s="164"/>
      <c r="P12" s="417" t="s">
        <v>403</v>
      </c>
      <c r="Q12" s="416"/>
      <c r="R12" s="412" t="s">
        <v>316</v>
      </c>
      <c r="S12" s="413"/>
      <c r="T12" s="408" t="s">
        <v>632</v>
      </c>
      <c r="U12" s="409"/>
      <c r="V12" s="164"/>
    </row>
    <row r="13" spans="2:22" ht="14.5" customHeight="1" x14ac:dyDescent="0.2">
      <c r="B13" s="402" t="s">
        <v>20</v>
      </c>
      <c r="C13" s="3"/>
      <c r="D13" s="195" t="s">
        <v>364</v>
      </c>
      <c r="E13" s="195" t="s">
        <v>189</v>
      </c>
      <c r="F13" s="195" t="s">
        <v>176</v>
      </c>
      <c r="G13" s="195" t="s">
        <v>350</v>
      </c>
      <c r="H13" s="195" t="s">
        <v>351</v>
      </c>
      <c r="J13" s="3"/>
      <c r="L13" s="3"/>
      <c r="M13" s="3"/>
      <c r="O13" s="164"/>
      <c r="P13" s="400"/>
      <c r="Q13" s="416"/>
      <c r="R13" s="412"/>
      <c r="S13" s="413"/>
      <c r="T13" s="408"/>
      <c r="U13" s="409"/>
      <c r="V13" s="164"/>
    </row>
    <row r="14" spans="2:22" x14ac:dyDescent="0.2">
      <c r="B14" s="402"/>
      <c r="C14" s="145" t="s">
        <v>341</v>
      </c>
      <c r="D14" s="3">
        <f>Bejan_MEROI_Limestone</f>
        <v>20716.65209277975</v>
      </c>
      <c r="E14" s="3" t="e">
        <f>Bejan_LimeExtraction</f>
        <v>#REF!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0"/>
      <c r="Q14" s="416"/>
      <c r="R14" s="412"/>
      <c r="S14" s="413"/>
      <c r="T14" s="408"/>
      <c r="U14" s="409"/>
      <c r="V14" s="164"/>
    </row>
    <row r="15" spans="2:22" ht="16" thickBot="1" x14ac:dyDescent="0.25">
      <c r="B15" s="402"/>
      <c r="C15" s="147" t="s">
        <v>632</v>
      </c>
      <c r="D15" s="3">
        <f>Rational_MEROI_Limestone</f>
        <v>25394.240916408646</v>
      </c>
      <c r="E15" s="3" t="e">
        <f>Rational_LimeExtraction</f>
        <v>#REF!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0"/>
      <c r="Q15" s="416"/>
      <c r="R15" s="414"/>
      <c r="S15" s="415"/>
      <c r="T15" s="410"/>
      <c r="U15" s="411"/>
      <c r="V15" s="164"/>
    </row>
    <row r="16" spans="2:22" x14ac:dyDescent="0.2">
      <c r="B16" s="402"/>
      <c r="C16" s="146" t="s">
        <v>404</v>
      </c>
      <c r="D16" s="163">
        <f>Resource_MEROI_Limestone</f>
        <v>22010.978428607345</v>
      </c>
      <c r="E16" s="3" t="e">
        <f>Resource_LimeExtraction</f>
        <v>#REF!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3" t="s">
        <v>317</v>
      </c>
      <c r="E19" s="313"/>
      <c r="F19" s="313"/>
      <c r="G19" s="313"/>
      <c r="L19" s="3"/>
      <c r="M19" s="3"/>
    </row>
    <row r="20" spans="2:13" x14ac:dyDescent="0.2">
      <c r="B20" s="3"/>
      <c r="C20" s="3"/>
      <c r="D20" s="398" t="s">
        <v>82</v>
      </c>
      <c r="E20" s="398"/>
      <c r="F20" s="398"/>
      <c r="G20" s="398"/>
      <c r="K20" s="3"/>
      <c r="L20" s="3"/>
    </row>
    <row r="21" spans="2:13" x14ac:dyDescent="0.2">
      <c r="B21" s="399" t="s">
        <v>353</v>
      </c>
      <c r="C21" s="3"/>
      <c r="D21" s="154" t="s">
        <v>364</v>
      </c>
      <c r="E21" s="154" t="s">
        <v>189</v>
      </c>
      <c r="F21" s="154" t="s">
        <v>176</v>
      </c>
      <c r="G21" s="154" t="s">
        <v>377</v>
      </c>
      <c r="I21" s="3"/>
      <c r="K21" s="3"/>
      <c r="L21" s="3"/>
    </row>
    <row r="22" spans="2:13" x14ac:dyDescent="0.2">
      <c r="B22" s="399"/>
      <c r="C22" s="145" t="s">
        <v>341</v>
      </c>
      <c r="D22" s="3" t="e">
        <f>Bejan_MEROI_Coal</f>
        <v>#REF!</v>
      </c>
      <c r="E22" s="3" t="e">
        <f>Bejan_CoalExtraction</f>
        <v>#REF!</v>
      </c>
      <c r="F22" s="3" t="e">
        <f>Bejan_CoalHauling</f>
        <v>#REF!</v>
      </c>
      <c r="G22" s="3" t="str">
        <f>Bejan_Cokeoven</f>
        <v>[-]</v>
      </c>
      <c r="I22" s="3"/>
      <c r="K22" s="3"/>
      <c r="L22" s="3"/>
    </row>
    <row r="23" spans="2:13" x14ac:dyDescent="0.2">
      <c r="B23" s="399"/>
      <c r="C23" s="147" t="s">
        <v>632</v>
      </c>
      <c r="D23" s="3" t="e">
        <f>Rational_MEROI_Coal</f>
        <v>#REF!</v>
      </c>
      <c r="E23" s="3" t="e">
        <f>Rational_CoalExtraction</f>
        <v>#REF!</v>
      </c>
      <c r="F23" s="3" t="e">
        <f>Rational_CoalHauling</f>
        <v>#REF!</v>
      </c>
      <c r="G23" s="3" t="e">
        <f>Rational_Cokeoven</f>
        <v>#REF!</v>
      </c>
      <c r="I23" s="3"/>
      <c r="K23" s="3"/>
      <c r="L23" s="3"/>
    </row>
    <row r="24" spans="2:13" x14ac:dyDescent="0.2">
      <c r="B24" s="399"/>
      <c r="C24" s="146" t="s">
        <v>404</v>
      </c>
      <c r="D24" s="163" t="e">
        <f>Resource_MEROI_Coal</f>
        <v>#REF!</v>
      </c>
      <c r="E24" s="3" t="e">
        <f>Resource_CoalExtraction</f>
        <v>#REF!</v>
      </c>
      <c r="F24" s="3" t="e">
        <f>Resource_CoalHauling</f>
        <v>#REF!</v>
      </c>
      <c r="G24" s="3" t="e">
        <f>Resource_CokeBeneficiation</f>
        <v>#REF!</v>
      </c>
      <c r="I24" s="3"/>
    </row>
    <row r="25" spans="2:13" x14ac:dyDescent="0.2">
      <c r="C25" s="132" t="s">
        <v>337</v>
      </c>
      <c r="E25" s="17" t="e">
        <f>mass_bal_CoalExt</f>
        <v>#REF!</v>
      </c>
      <c r="F25" s="17" t="e">
        <f>mass_bal_CoalHaul</f>
        <v>#REF!</v>
      </c>
      <c r="G25" s="17" t="e">
        <f>mass_bal_CokeOven</f>
        <v>#REF!</v>
      </c>
      <c r="H25" s="3"/>
      <c r="I25" s="3"/>
    </row>
    <row r="30" spans="2:13" x14ac:dyDescent="0.2">
      <c r="B30" s="397" t="s">
        <v>400</v>
      </c>
      <c r="D30" s="193" t="s">
        <v>81</v>
      </c>
      <c r="E30" s="193" t="s">
        <v>352</v>
      </c>
    </row>
    <row r="31" spans="2:13" x14ac:dyDescent="0.2">
      <c r="B31" s="397"/>
      <c r="C31" s="145" t="s">
        <v>341</v>
      </c>
      <c r="D31" s="3" t="s">
        <v>98</v>
      </c>
      <c r="E31" s="3" t="str">
        <f>Bejan_BF</f>
        <v>[-]</v>
      </c>
    </row>
    <row r="32" spans="2:13" x14ac:dyDescent="0.2">
      <c r="B32" s="397"/>
      <c r="C32" s="147" t="s">
        <v>632</v>
      </c>
      <c r="D32" s="3">
        <f>Rational_mixer</f>
        <v>0.99300939590335358</v>
      </c>
      <c r="E32" s="3">
        <f>Rational_BF</f>
        <v>0.3660238419002077</v>
      </c>
    </row>
    <row r="33" spans="2:5" x14ac:dyDescent="0.2">
      <c r="B33" s="397"/>
      <c r="C33" s="146" t="s">
        <v>404</v>
      </c>
      <c r="D33" s="3">
        <f>Resource_Mixer</f>
        <v>1.0717776463170951E-2</v>
      </c>
      <c r="E33" s="3">
        <f>Resource_BF</f>
        <v>0.32907203079392555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631</v>
      </c>
    </row>
    <row r="38" spans="2:5" ht="18" x14ac:dyDescent="0.25">
      <c r="B38" s="296" t="s">
        <v>630</v>
      </c>
      <c r="C38" s="3" t="e">
        <f>E_tot/('Ore-&gt;PI'!FL126/1000)</f>
        <v>#REF!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2" t="s">
        <v>356</v>
      </c>
      <c r="F3" s="422"/>
      <c r="G3" s="422"/>
      <c r="H3"/>
      <c r="I3"/>
      <c r="L3" s="395" t="s">
        <v>442</v>
      </c>
      <c r="M3" s="395"/>
      <c r="N3" s="395"/>
      <c r="P3"/>
      <c r="T3" s="169" t="s">
        <v>441</v>
      </c>
    </row>
    <row r="4" spans="3:20" ht="16" thickBot="1" x14ac:dyDescent="0.25">
      <c r="E4" s="398" t="s">
        <v>11</v>
      </c>
      <c r="F4" s="398"/>
      <c r="G4" s="398"/>
      <c r="H4"/>
      <c r="I4"/>
      <c r="L4" s="398" t="s">
        <v>48</v>
      </c>
      <c r="M4" s="398"/>
      <c r="N4" s="398"/>
      <c r="P4"/>
      <c r="T4" s="3" t="s">
        <v>48</v>
      </c>
    </row>
    <row r="5" spans="3:20" ht="14.5" customHeight="1" thickBot="1" x14ac:dyDescent="0.25">
      <c r="C5" s="403" t="s">
        <v>4</v>
      </c>
      <c r="E5" s="150" t="s">
        <v>350</v>
      </c>
      <c r="F5" s="151" t="s">
        <v>81</v>
      </c>
      <c r="G5" s="152" t="s">
        <v>352</v>
      </c>
      <c r="L5" s="194" t="s">
        <v>189</v>
      </c>
      <c r="M5" s="194" t="s">
        <v>176</v>
      </c>
      <c r="N5" s="194" t="s">
        <v>350</v>
      </c>
      <c r="T5" s="226" t="e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#REF!</v>
      </c>
    </row>
    <row r="6" spans="3:20" x14ac:dyDescent="0.2">
      <c r="C6" s="403"/>
      <c r="D6" s="153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3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3"/>
      <c r="D7" s="153" t="s">
        <v>23</v>
      </c>
      <c r="E7" s="3">
        <f>0</f>
        <v>0</v>
      </c>
      <c r="F7" s="3" t="s">
        <v>98</v>
      </c>
      <c r="G7" s="3">
        <f>BF_CO2Waste</f>
        <v>899.87740508450815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1129.8255379245347</v>
      </c>
    </row>
    <row r="9" spans="3:20" ht="17" x14ac:dyDescent="0.25">
      <c r="L9" s="395" t="s">
        <v>442</v>
      </c>
      <c r="M9" s="395"/>
      <c r="N9" s="395"/>
      <c r="O9" s="395"/>
    </row>
    <row r="10" spans="3:20" x14ac:dyDescent="0.2">
      <c r="E10" s="422" t="s">
        <v>356</v>
      </c>
      <c r="F10" s="422"/>
      <c r="L10" s="398" t="s">
        <v>48</v>
      </c>
      <c r="M10" s="398"/>
      <c r="N10" s="398"/>
      <c r="O10" s="398"/>
    </row>
    <row r="11" spans="3:20" x14ac:dyDescent="0.2">
      <c r="E11" s="398" t="s">
        <v>11</v>
      </c>
      <c r="F11" s="398"/>
      <c r="L11" s="195" t="s">
        <v>189</v>
      </c>
      <c r="M11" s="195" t="s">
        <v>176</v>
      </c>
      <c r="N11" s="195" t="s">
        <v>350</v>
      </c>
      <c r="O11" s="195" t="s">
        <v>351</v>
      </c>
      <c r="P11"/>
    </row>
    <row r="12" spans="3:20" x14ac:dyDescent="0.2">
      <c r="C12" s="402" t="s">
        <v>20</v>
      </c>
      <c r="E12" s="148" t="s">
        <v>350</v>
      </c>
      <c r="F12" s="149" t="s">
        <v>351</v>
      </c>
      <c r="K12" s="224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2"/>
      <c r="D13" s="153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2"/>
      <c r="D14" s="153" t="s">
        <v>23</v>
      </c>
      <c r="E14" s="3" t="s">
        <v>98</v>
      </c>
      <c r="F14" s="3">
        <f>Kiln_H2OWaste</f>
        <v>46711.101435505501</v>
      </c>
      <c r="L14" s="395" t="s">
        <v>442</v>
      </c>
      <c r="M14" s="395"/>
      <c r="N14" s="395"/>
    </row>
    <row r="15" spans="3:20" x14ac:dyDescent="0.2">
      <c r="C15" s="402"/>
      <c r="D15" s="3" t="s">
        <v>19</v>
      </c>
      <c r="E15" s="17">
        <f>SUM(E13:E14)</f>
        <v>0</v>
      </c>
      <c r="F15" s="17">
        <f>SUM(F13:F14)</f>
        <v>46716.086188050598</v>
      </c>
      <c r="L15" s="398" t="s">
        <v>48</v>
      </c>
      <c r="M15" s="398"/>
      <c r="N15" s="398"/>
    </row>
    <row r="16" spans="3:20" x14ac:dyDescent="0.2">
      <c r="L16" s="154" t="s">
        <v>189</v>
      </c>
      <c r="M16" s="154" t="s">
        <v>176</v>
      </c>
      <c r="N16" s="154" t="s">
        <v>377</v>
      </c>
    </row>
    <row r="17" spans="3:16" x14ac:dyDescent="0.2">
      <c r="K17" s="225" t="s">
        <v>353</v>
      </c>
      <c r="L17" s="3" t="e">
        <f>B_lost_coal_ext</f>
        <v>#REF!</v>
      </c>
      <c r="M17" s="3">
        <f>B_lost_coal_haul</f>
        <v>0</v>
      </c>
      <c r="N17" s="3" t="e">
        <f>B_lost_coke_oven</f>
        <v>#REF!</v>
      </c>
    </row>
    <row r="18" spans="3:16" x14ac:dyDescent="0.2">
      <c r="E18" s="169" t="s">
        <v>356</v>
      </c>
    </row>
    <row r="19" spans="3:16" ht="17" x14ac:dyDescent="0.25">
      <c r="E19" s="28" t="s">
        <v>11</v>
      </c>
      <c r="L19" s="395" t="s">
        <v>442</v>
      </c>
      <c r="M19" s="395"/>
    </row>
    <row r="20" spans="3:16" x14ac:dyDescent="0.2">
      <c r="C20" s="399" t="s">
        <v>353</v>
      </c>
      <c r="E20" s="154" t="s">
        <v>350</v>
      </c>
      <c r="L20" s="398" t="s">
        <v>48</v>
      </c>
      <c r="M20" s="398"/>
    </row>
    <row r="21" spans="3:16" ht="14.5" customHeight="1" x14ac:dyDescent="0.2">
      <c r="C21" s="399"/>
      <c r="D21" s="153" t="s">
        <v>357</v>
      </c>
      <c r="E21" s="3" t="e">
        <f>Beneficiation_CoalWaste</f>
        <v>#REF!</v>
      </c>
      <c r="L21" s="193" t="s">
        <v>81</v>
      </c>
      <c r="M21" s="193" t="s">
        <v>352</v>
      </c>
      <c r="P21"/>
    </row>
    <row r="22" spans="3:16" ht="17" customHeight="1" x14ac:dyDescent="0.25">
      <c r="C22" s="399"/>
      <c r="D22" s="153" t="s">
        <v>23</v>
      </c>
      <c r="E22" s="3" t="s">
        <v>98</v>
      </c>
      <c r="K22" s="222" t="s">
        <v>400</v>
      </c>
      <c r="L22" s="3">
        <f>B_lost_mixer</f>
        <v>0</v>
      </c>
      <c r="M22" s="3">
        <f>B_lost_blast_furnace</f>
        <v>466894.01496025029</v>
      </c>
    </row>
    <row r="23" spans="3:16" x14ac:dyDescent="0.2">
      <c r="C23" s="399"/>
      <c r="D23" s="3" t="s">
        <v>19</v>
      </c>
      <c r="E23" s="17" t="e">
        <f>SUM(E21:E22)</f>
        <v>#REF!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2" t="s">
        <v>70</v>
      </c>
      <c r="I2" s="312"/>
      <c r="J2" s="312"/>
      <c r="K2" s="312"/>
      <c r="L2" s="312"/>
      <c r="M2" s="31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2" t="s">
        <v>74</v>
      </c>
      <c r="I3" s="312"/>
      <c r="J3" s="312"/>
      <c r="K3" s="13"/>
      <c r="L3" s="329" t="s">
        <v>75</v>
      </c>
      <c r="M3" s="329"/>
      <c r="N3" s="7"/>
      <c r="AN3" s="424" t="s">
        <v>78</v>
      </c>
      <c r="AO3" s="424"/>
      <c r="AP3" s="424"/>
      <c r="AQ3" s="424"/>
      <c r="AR3" s="424"/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4"/>
      <c r="BH3" s="424"/>
      <c r="BI3" s="424"/>
      <c r="BJ3" s="424"/>
      <c r="BK3" s="424"/>
    </row>
    <row r="4" spans="3:69" ht="17" x14ac:dyDescent="0.25">
      <c r="C4" s="13" t="s">
        <v>11</v>
      </c>
      <c r="D4" s="13" t="s">
        <v>76</v>
      </c>
      <c r="E4" s="13"/>
      <c r="F4" s="13"/>
      <c r="AN4" s="424"/>
      <c r="AO4" s="424"/>
      <c r="AP4" s="424"/>
      <c r="AQ4" s="424"/>
      <c r="AR4" s="424"/>
      <c r="AS4" s="424"/>
      <c r="AT4" s="424"/>
      <c r="AU4" s="424"/>
      <c r="AV4" s="424"/>
      <c r="AW4" s="424"/>
      <c r="AX4" s="424"/>
      <c r="AY4" s="424"/>
      <c r="AZ4" s="424"/>
      <c r="BA4" s="424"/>
      <c r="BB4" s="424"/>
      <c r="BC4" s="424"/>
      <c r="BD4" s="424"/>
      <c r="BE4" s="424"/>
      <c r="BF4" s="424"/>
      <c r="BG4" s="424"/>
      <c r="BH4" s="424"/>
      <c r="BI4" s="424"/>
      <c r="BJ4" s="424"/>
      <c r="BK4" s="42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2"/>
      <c r="J5" s="312"/>
      <c r="K5" s="312"/>
      <c r="L5" s="312"/>
      <c r="M5" s="312"/>
      <c r="AN5" s="424"/>
      <c r="AO5" s="424"/>
      <c r="AP5" s="424"/>
      <c r="AQ5" s="424"/>
      <c r="AR5" s="424"/>
      <c r="AS5" s="424"/>
      <c r="AT5" s="424"/>
      <c r="AU5" s="424"/>
      <c r="AV5" s="424"/>
      <c r="AW5" s="424"/>
      <c r="AX5" s="424"/>
      <c r="AY5" s="424"/>
      <c r="AZ5" s="424"/>
      <c r="BA5" s="424"/>
      <c r="BB5" s="424"/>
      <c r="BC5" s="424"/>
      <c r="BD5" s="424"/>
      <c r="BE5" s="424"/>
      <c r="BF5" s="424"/>
      <c r="BG5" s="424"/>
      <c r="BH5" s="424"/>
      <c r="BI5" s="424"/>
      <c r="BJ5" s="424"/>
      <c r="BK5" s="42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3">
        <v>6</v>
      </c>
      <c r="BJ10" s="423"/>
      <c r="BK10" s="423"/>
      <c r="BL10" s="423"/>
      <c r="BM10" s="423"/>
      <c r="BN10" s="423"/>
      <c r="BO10" s="423"/>
      <c r="BP10" s="423"/>
      <c r="BQ10" s="423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3"/>
      <c r="BJ11" s="423"/>
      <c r="BK11" s="423"/>
      <c r="BL11" s="423"/>
      <c r="BM11" s="423"/>
      <c r="BN11" s="423"/>
      <c r="BO11" s="423"/>
      <c r="BP11" s="423"/>
      <c r="BQ11" s="423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5" t="s">
        <v>112</v>
      </c>
    </row>
    <row r="18" spans="3:87" ht="18.5" customHeight="1" x14ac:dyDescent="0.25">
      <c r="BI18" s="425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5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9">
        <v>1</v>
      </c>
      <c r="D28" s="429"/>
      <c r="E28" s="429"/>
      <c r="F28" s="429"/>
      <c r="G28" s="429"/>
      <c r="H28" s="429"/>
      <c r="I28" s="429"/>
      <c r="J28" s="429"/>
      <c r="K28" s="429"/>
      <c r="L28" s="429"/>
      <c r="M28" s="429"/>
      <c r="N28" s="429"/>
      <c r="O28" s="429"/>
      <c r="P28" s="1"/>
      <c r="Q28" s="1"/>
      <c r="R28" s="1"/>
      <c r="S28" s="1"/>
      <c r="T28" s="1"/>
      <c r="U28" s="1"/>
      <c r="V28" s="1"/>
      <c r="W28" s="428">
        <v>3</v>
      </c>
      <c r="X28" s="428"/>
      <c r="Y28" s="428"/>
      <c r="Z28" s="428"/>
      <c r="AA28" s="428"/>
      <c r="AB28" s="428"/>
      <c r="AC28" s="428"/>
      <c r="AD28" s="428"/>
      <c r="AE28" s="428"/>
      <c r="AF28" s="428"/>
      <c r="AG28" s="42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9">
        <v>4</v>
      </c>
      <c r="AU28" s="429"/>
      <c r="AV28" s="429"/>
      <c r="AW28" s="429"/>
      <c r="AX28" s="429"/>
      <c r="AY28" s="429"/>
      <c r="AZ28" s="429"/>
      <c r="BA28" s="429"/>
      <c r="BB28" s="429"/>
      <c r="BC28" s="429"/>
      <c r="BD28" s="429"/>
      <c r="BE28" s="429"/>
      <c r="BF28" s="429"/>
      <c r="BG28" s="429"/>
      <c r="BH28" s="429"/>
      <c r="BI28" s="429"/>
      <c r="BT28" s="429">
        <v>5</v>
      </c>
      <c r="BU28" s="429"/>
      <c r="BV28" s="429"/>
      <c r="BW28" s="429"/>
      <c r="BX28" s="429"/>
      <c r="BY28" s="429"/>
      <c r="BZ28" s="429"/>
      <c r="CA28" s="429"/>
      <c r="CB28" s="429"/>
      <c r="CC28" s="429"/>
      <c r="CD28" s="429"/>
      <c r="CE28" s="429"/>
      <c r="CF28" s="429"/>
      <c r="CG28" s="429"/>
      <c r="CH28" s="429"/>
      <c r="CI28" s="42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345</v>
      </c>
      <c r="P31" s="161" t="s">
        <v>322</v>
      </c>
      <c r="Q31" s="161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346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7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7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6" t="s">
        <v>80</v>
      </c>
      <c r="AK37" s="426"/>
      <c r="AL37" s="426"/>
      <c r="AM37" s="426"/>
      <c r="AN37" s="426"/>
      <c r="AO37" s="42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6" t="s">
        <v>81</v>
      </c>
      <c r="S38" s="426"/>
      <c r="T38" s="426"/>
      <c r="U38" s="42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6"/>
      <c r="AK38" s="426"/>
      <c r="AL38" s="426"/>
      <c r="AM38" s="426"/>
      <c r="AN38" s="426"/>
      <c r="AO38" s="42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6" t="s">
        <v>97</v>
      </c>
      <c r="BM38" s="426"/>
      <c r="BN38" s="426"/>
      <c r="BO38" s="42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6"/>
      <c r="S39" s="426"/>
      <c r="T39" s="426"/>
      <c r="U39" s="42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6"/>
      <c r="AK39" s="426"/>
      <c r="AL39" s="426"/>
      <c r="AM39" s="426"/>
      <c r="AN39" s="426"/>
      <c r="AO39" s="426"/>
      <c r="AP39" s="51"/>
      <c r="AQ39" s="51"/>
      <c r="AR39" s="1"/>
      <c r="AS39" s="1"/>
      <c r="AT39" s="1"/>
      <c r="AU39" s="1"/>
      <c r="AV39" s="1"/>
      <c r="AW39" s="1"/>
      <c r="AX39" s="1"/>
      <c r="BL39" s="426"/>
      <c r="BM39" s="426"/>
      <c r="BN39" s="426"/>
      <c r="BO39" s="42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6"/>
      <c r="S40" s="426"/>
      <c r="T40" s="426"/>
      <c r="U40" s="42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6"/>
      <c r="AK40" s="426"/>
      <c r="AL40" s="426"/>
      <c r="AM40" s="426"/>
      <c r="AN40" s="426"/>
      <c r="AO40" s="426"/>
      <c r="AP40" s="51"/>
      <c r="AQ40" s="51"/>
      <c r="AR40" s="1"/>
      <c r="AS40" s="56"/>
      <c r="AT40" s="1"/>
      <c r="AU40" s="1"/>
      <c r="AV40" s="1"/>
      <c r="AW40" s="1"/>
      <c r="AX40" s="1"/>
      <c r="BL40" s="426"/>
      <c r="BM40" s="426"/>
      <c r="BN40" s="426"/>
      <c r="BO40" s="426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6"/>
      <c r="AK41" s="426"/>
      <c r="AL41" s="426"/>
      <c r="AM41" s="426"/>
      <c r="AN41" s="426"/>
      <c r="AO41" s="426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51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6"/>
      <c r="AK42" s="426"/>
      <c r="AL42" s="426"/>
      <c r="AM42" s="426"/>
      <c r="AN42" s="426"/>
      <c r="AO42" s="426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9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5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60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9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60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8">
        <v>2</v>
      </c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abSelected="1" topLeftCell="A28" zoomScale="161" workbookViewId="0">
      <selection activeCell="E49" sqref="E49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13" t="s">
        <v>317</v>
      </c>
      <c r="E4" s="313"/>
      <c r="F4" s="313"/>
      <c r="G4" s="313"/>
      <c r="H4" s="164"/>
      <c r="I4" s="164"/>
      <c r="P4" s="164"/>
      <c r="Q4" s="164"/>
      <c r="R4" s="164"/>
      <c r="S4" s="400" t="s">
        <v>355</v>
      </c>
      <c r="T4" s="400"/>
      <c r="U4" s="400"/>
      <c r="V4" s="400"/>
      <c r="W4" s="164"/>
    </row>
    <row r="5" spans="1:23" x14ac:dyDescent="0.2">
      <c r="A5" s="164"/>
      <c r="B5" s="166"/>
      <c r="C5" s="166"/>
      <c r="D5" s="398" t="s">
        <v>82</v>
      </c>
      <c r="E5" s="398"/>
      <c r="F5" s="398"/>
      <c r="G5" s="398"/>
      <c r="H5" s="164"/>
      <c r="I5" s="164"/>
      <c r="P5" s="164"/>
      <c r="Q5" s="164"/>
      <c r="R5" s="164"/>
      <c r="S5" s="400"/>
      <c r="T5" s="400"/>
      <c r="U5" s="400"/>
      <c r="V5" s="400"/>
      <c r="W5" s="164"/>
    </row>
    <row r="6" spans="1:23" ht="15" customHeight="1" x14ac:dyDescent="0.2">
      <c r="A6" s="164"/>
      <c r="B6" s="403" t="s">
        <v>4</v>
      </c>
      <c r="C6" s="3"/>
      <c r="D6" s="194" t="s">
        <v>364</v>
      </c>
      <c r="E6" s="194" t="s">
        <v>189</v>
      </c>
      <c r="F6" s="194" t="s">
        <v>176</v>
      </c>
      <c r="G6" s="194" t="s">
        <v>350</v>
      </c>
      <c r="H6" s="164"/>
      <c r="I6" s="164"/>
      <c r="P6" s="164"/>
      <c r="Q6" s="164"/>
      <c r="R6" s="164"/>
      <c r="S6" s="400"/>
      <c r="T6" s="400"/>
      <c r="U6" s="400"/>
      <c r="V6" s="400"/>
      <c r="W6" s="164"/>
    </row>
    <row r="7" spans="1:23" ht="16" thickBot="1" x14ac:dyDescent="0.25">
      <c r="A7" s="164"/>
      <c r="B7" s="403"/>
      <c r="C7" s="145" t="s">
        <v>341</v>
      </c>
      <c r="D7" s="3">
        <f>Bejan_MEROI_Iron</f>
        <v>0.71020207646031153</v>
      </c>
      <c r="E7" s="3" t="e">
        <f>Bejan_IronExtraction</f>
        <v>#REF!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1"/>
      <c r="T7" s="401"/>
      <c r="U7" s="401"/>
      <c r="V7" s="401"/>
      <c r="W7" s="164"/>
    </row>
    <row r="8" spans="1:23" x14ac:dyDescent="0.2">
      <c r="A8" s="164"/>
      <c r="B8" s="403"/>
      <c r="C8" s="147" t="s">
        <v>342</v>
      </c>
      <c r="D8" s="3" t="e">
        <f>Rational_MEROI_Iron</f>
        <v>#REF!</v>
      </c>
      <c r="E8" s="3" t="e">
        <f>Rational_IronExtraction</f>
        <v>#REF!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0" t="s">
        <v>354</v>
      </c>
      <c r="R8" s="416"/>
      <c r="S8" s="418" t="s">
        <v>341</v>
      </c>
      <c r="T8" s="419"/>
      <c r="U8" s="404" t="s">
        <v>404</v>
      </c>
      <c r="V8" s="405"/>
      <c r="W8" s="164"/>
    </row>
    <row r="9" spans="1:23" x14ac:dyDescent="0.2">
      <c r="A9" s="164"/>
      <c r="B9" s="403"/>
      <c r="C9" s="146" t="s">
        <v>404</v>
      </c>
      <c r="D9" s="163" t="e">
        <f>Resource_MEROI_Iron</f>
        <v>#REF!</v>
      </c>
      <c r="E9" s="3" t="e">
        <f>Resource_IronExtraction</f>
        <v>#REF!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0"/>
      <c r="R9" s="416"/>
      <c r="S9" s="420"/>
      <c r="T9" s="421"/>
      <c r="U9" s="406"/>
      <c r="V9" s="407"/>
      <c r="W9" s="164"/>
    </row>
    <row r="10" spans="1:23" x14ac:dyDescent="0.2">
      <c r="A10" s="164"/>
      <c r="C10" s="132"/>
      <c r="D10" s="164"/>
      <c r="E10" s="200"/>
      <c r="F10" s="200"/>
      <c r="G10" s="200"/>
      <c r="H10" s="166"/>
      <c r="I10" s="164"/>
      <c r="P10" s="164"/>
      <c r="Q10" s="400"/>
      <c r="R10" s="416"/>
      <c r="S10" s="420"/>
      <c r="T10" s="421"/>
      <c r="U10" s="406"/>
      <c r="V10" s="407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0"/>
      <c r="R11" s="416"/>
      <c r="S11" s="420"/>
      <c r="T11" s="421"/>
      <c r="U11" s="406"/>
      <c r="V11" s="407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1" t="s">
        <v>403</v>
      </c>
      <c r="R12" s="416"/>
      <c r="S12" s="412" t="s">
        <v>316</v>
      </c>
      <c r="T12" s="413"/>
      <c r="U12" s="408" t="s">
        <v>342</v>
      </c>
      <c r="V12" s="409"/>
      <c r="W12" s="164"/>
    </row>
    <row r="13" spans="1:23" x14ac:dyDescent="0.2">
      <c r="A13" s="164"/>
      <c r="B13" s="166"/>
      <c r="C13" s="166"/>
      <c r="D13" s="313" t="s">
        <v>317</v>
      </c>
      <c r="E13" s="313"/>
      <c r="F13" s="313"/>
      <c r="G13" s="313"/>
      <c r="H13" s="313"/>
      <c r="I13" s="164"/>
      <c r="P13" s="164"/>
      <c r="Q13" s="400"/>
      <c r="R13" s="416"/>
      <c r="S13" s="412"/>
      <c r="T13" s="413"/>
      <c r="U13" s="408"/>
      <c r="V13" s="409"/>
      <c r="W13" s="164"/>
    </row>
    <row r="14" spans="1:23" ht="15" customHeight="1" x14ac:dyDescent="0.2">
      <c r="A14" s="164"/>
      <c r="B14" s="166"/>
      <c r="C14" s="166"/>
      <c r="D14" s="398" t="s">
        <v>82</v>
      </c>
      <c r="E14" s="398"/>
      <c r="F14" s="398"/>
      <c r="G14" s="398"/>
      <c r="H14" s="398"/>
      <c r="I14" s="164"/>
      <c r="P14" s="164"/>
      <c r="Q14" s="400"/>
      <c r="R14" s="416"/>
      <c r="S14" s="412"/>
      <c r="T14" s="413"/>
      <c r="U14" s="408"/>
      <c r="V14" s="409"/>
      <c r="W14" s="164"/>
    </row>
    <row r="15" spans="1:23" ht="16" thickBot="1" x14ac:dyDescent="0.25">
      <c r="A15" s="164"/>
      <c r="B15" s="402" t="s">
        <v>20</v>
      </c>
      <c r="C15" s="3"/>
      <c r="D15" s="195" t="s">
        <v>364</v>
      </c>
      <c r="E15" s="195" t="s">
        <v>189</v>
      </c>
      <c r="F15" s="195" t="s">
        <v>176</v>
      </c>
      <c r="G15" s="195" t="s">
        <v>350</v>
      </c>
      <c r="H15" s="195" t="s">
        <v>351</v>
      </c>
      <c r="I15" s="164"/>
      <c r="P15" s="164"/>
      <c r="Q15" s="400"/>
      <c r="R15" s="416"/>
      <c r="S15" s="414"/>
      <c r="T15" s="415"/>
      <c r="U15" s="410"/>
      <c r="V15" s="411"/>
      <c r="W15" s="164"/>
    </row>
    <row r="16" spans="1:23" x14ac:dyDescent="0.2">
      <c r="A16" s="164"/>
      <c r="B16" s="402"/>
      <c r="C16" s="145" t="s">
        <v>341</v>
      </c>
      <c r="D16" s="3">
        <f>Bejan_MEROI_Limestone</f>
        <v>20716.65209277975</v>
      </c>
      <c r="E16" s="3" t="e">
        <f>Bejan_LimeExtraction</f>
        <v>#REF!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2"/>
      <c r="C17" s="147" t="s">
        <v>342</v>
      </c>
      <c r="D17" s="3">
        <f>Rational_MEROI_Limestone</f>
        <v>25394.240916408646</v>
      </c>
      <c r="E17" s="3" t="e">
        <f>Rational_LimeExtraction</f>
        <v>#REF!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2"/>
      <c r="C18" s="146" t="s">
        <v>404</v>
      </c>
      <c r="D18" s="163">
        <f>Resource_MEROI_Limestone</f>
        <v>22010.978428607345</v>
      </c>
      <c r="E18" s="3" t="e">
        <f>Resource_LimeExtraction</f>
        <v>#REF!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200"/>
      <c r="F19" s="200"/>
      <c r="G19" s="200"/>
      <c r="H19" s="200"/>
      <c r="I19" s="164"/>
      <c r="L19" t="s">
        <v>445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13" t="s">
        <v>317</v>
      </c>
      <c r="E21" s="313"/>
      <c r="F21" s="313"/>
      <c r="G21" s="313"/>
      <c r="H21" s="164"/>
      <c r="I21" s="164"/>
    </row>
    <row r="22" spans="1:12" ht="15" customHeight="1" x14ac:dyDescent="0.2">
      <c r="A22" s="164"/>
      <c r="B22" s="166"/>
      <c r="C22" s="166"/>
      <c r="D22" s="398" t="s">
        <v>82</v>
      </c>
      <c r="E22" s="398"/>
      <c r="F22" s="398"/>
      <c r="G22" s="398"/>
      <c r="H22" s="164"/>
      <c r="I22" s="164"/>
    </row>
    <row r="23" spans="1:12" x14ac:dyDescent="0.2">
      <c r="A23" s="164"/>
      <c r="B23" s="399" t="s">
        <v>353</v>
      </c>
      <c r="C23" s="3"/>
      <c r="D23" s="154" t="s">
        <v>364</v>
      </c>
      <c r="E23" s="154" t="s">
        <v>189</v>
      </c>
      <c r="F23" s="154" t="s">
        <v>176</v>
      </c>
      <c r="G23" s="154" t="s">
        <v>377</v>
      </c>
      <c r="H23" s="164"/>
      <c r="I23" s="164"/>
    </row>
    <row r="24" spans="1:12" x14ac:dyDescent="0.2">
      <c r="A24" s="164"/>
      <c r="B24" s="399"/>
      <c r="C24" s="145" t="s">
        <v>341</v>
      </c>
      <c r="D24" s="3" t="e">
        <f>Bejan_MEROI_Coal</f>
        <v>#REF!</v>
      </c>
      <c r="E24" s="3" t="e">
        <f>Bejan_CoalExtraction</f>
        <v>#REF!</v>
      </c>
      <c r="F24" s="3" t="e">
        <f>Bejan_CoalHauling</f>
        <v>#REF!</v>
      </c>
      <c r="G24" s="3" t="str">
        <f>Bejan_Cokeoven</f>
        <v>[-]</v>
      </c>
      <c r="H24" s="164"/>
      <c r="I24" s="164"/>
    </row>
    <row r="25" spans="1:12" x14ac:dyDescent="0.2">
      <c r="A25" s="164"/>
      <c r="B25" s="399"/>
      <c r="C25" s="147" t="s">
        <v>342</v>
      </c>
      <c r="D25" s="3" t="e">
        <f>Rational_MEROI_Coal</f>
        <v>#REF!</v>
      </c>
      <c r="E25" s="3" t="e">
        <f>Rational_CoalExtraction</f>
        <v>#REF!</v>
      </c>
      <c r="F25" s="3" t="e">
        <f>Rational_CoalHauling</f>
        <v>#REF!</v>
      </c>
      <c r="G25" s="3" t="e">
        <f>Rational_Cokeoven</f>
        <v>#REF!</v>
      </c>
      <c r="H25" s="164"/>
      <c r="I25" s="164"/>
    </row>
    <row r="26" spans="1:12" x14ac:dyDescent="0.2">
      <c r="A26" s="164"/>
      <c r="B26" s="399"/>
      <c r="C26" s="146" t="s">
        <v>404</v>
      </c>
      <c r="D26" s="163" t="e">
        <f>Resource_MEROI_Coal</f>
        <v>#REF!</v>
      </c>
      <c r="E26" s="3" t="e">
        <f>Resource_CoalExtraction</f>
        <v>#REF!</v>
      </c>
      <c r="F26" s="3" t="e">
        <f>Resource_CoalHauling</f>
        <v>#REF!</v>
      </c>
      <c r="G26" s="3" t="e">
        <f>Resource_CokeBeneficiation</f>
        <v>#REF!</v>
      </c>
      <c r="I26" s="164"/>
    </row>
    <row r="27" spans="1:12" x14ac:dyDescent="0.2">
      <c r="A27" s="164"/>
      <c r="B27" s="164"/>
      <c r="C27" s="201"/>
      <c r="D27" s="164"/>
      <c r="E27" s="200"/>
      <c r="F27" s="200"/>
      <c r="G27" s="200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397" t="s">
        <v>400</v>
      </c>
      <c r="D32" s="193" t="s">
        <v>81</v>
      </c>
      <c r="E32" s="193" t="s">
        <v>352</v>
      </c>
      <c r="F32" s="164"/>
      <c r="G32" s="164"/>
      <c r="H32" s="164"/>
      <c r="I32" s="164"/>
    </row>
    <row r="33" spans="1:9" x14ac:dyDescent="0.2">
      <c r="A33" s="164"/>
      <c r="B33" s="397"/>
      <c r="C33" s="145" t="s">
        <v>341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397"/>
      <c r="C34" s="147" t="s">
        <v>342</v>
      </c>
      <c r="D34" s="3">
        <f>Rational_mixer</f>
        <v>0.99300939590335358</v>
      </c>
      <c r="E34" s="3">
        <f>Rational_BF</f>
        <v>0.3660238419002077</v>
      </c>
      <c r="F34" s="164"/>
      <c r="G34" s="164"/>
      <c r="H34" s="164"/>
      <c r="I34" s="164"/>
    </row>
    <row r="35" spans="1:9" x14ac:dyDescent="0.2">
      <c r="A35" s="164"/>
      <c r="B35" s="397"/>
      <c r="C35" s="146" t="s">
        <v>404</v>
      </c>
      <c r="D35" s="3">
        <f>Resource_Mixer</f>
        <v>1.0717776463170951E-2</v>
      </c>
      <c r="E35" s="3">
        <f>Resource_BF</f>
        <v>0.32907203079392555</v>
      </c>
      <c r="F35" s="164"/>
      <c r="G35" s="164"/>
      <c r="H35" s="164"/>
      <c r="I35" s="164"/>
    </row>
    <row r="36" spans="1:9" x14ac:dyDescent="0.2">
      <c r="A36" s="164"/>
      <c r="B36" s="164"/>
      <c r="C36" s="201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6"/>
      <c r="E49" s="296"/>
    </row>
    <row r="50" spans="2:5" x14ac:dyDescent="0.2">
      <c r="C50" s="202" t="s">
        <v>685</v>
      </c>
      <c r="D50" s="202" t="s">
        <v>686</v>
      </c>
      <c r="E50" s="202" t="s">
        <v>687</v>
      </c>
    </row>
    <row r="51" spans="2:5" x14ac:dyDescent="0.2">
      <c r="B51" s="202" t="s">
        <v>412</v>
      </c>
      <c r="C51" s="3" t="e">
        <f>Bejan_IronExtraction</f>
        <v>#REF!</v>
      </c>
      <c r="D51" s="3" t="e">
        <f>Rational_IronExtraction</f>
        <v>#REF!</v>
      </c>
      <c r="E51" s="3" t="e">
        <f>Resource_IronExtraction</f>
        <v>#REF!</v>
      </c>
    </row>
    <row r="52" spans="2:5" x14ac:dyDescent="0.2">
      <c r="B52" s="202" t="s">
        <v>413</v>
      </c>
      <c r="C52" s="3" t="e">
        <f>Bejan_LimeExtraction</f>
        <v>#REF!</v>
      </c>
      <c r="D52" s="3" t="e">
        <f>Rational_LimeExtraction</f>
        <v>#REF!</v>
      </c>
      <c r="E52" s="3" t="e">
        <f>Resource_LimeExtraction</f>
        <v>#REF!</v>
      </c>
    </row>
    <row r="53" spans="2:5" x14ac:dyDescent="0.2">
      <c r="B53" s="202" t="s">
        <v>414</v>
      </c>
      <c r="C53" s="3" t="e">
        <f>Bejan_CoalExtraction</f>
        <v>#REF!</v>
      </c>
      <c r="D53" s="3" t="e">
        <f>Rational_CoalExtraction</f>
        <v>#REF!</v>
      </c>
      <c r="E53" s="3" t="e">
        <f>Resource_CoalExtraction</f>
        <v>#REF!</v>
      </c>
    </row>
    <row r="54" spans="2:5" x14ac:dyDescent="0.2">
      <c r="B54" s="202" t="s">
        <v>561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2" t="s">
        <v>540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2" t="s">
        <v>539</v>
      </c>
      <c r="C56" s="3" t="e">
        <f>Bejan_CoalHauling</f>
        <v>#REF!</v>
      </c>
      <c r="D56" s="3" t="e">
        <f>Rational_CoalHauling</f>
        <v>#REF!</v>
      </c>
      <c r="E56" s="3" t="e">
        <f>Resource_CoalHauling</f>
        <v>#REF!</v>
      </c>
    </row>
    <row r="57" spans="2:5" x14ac:dyDescent="0.2">
      <c r="B57" s="202" t="s">
        <v>439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2" t="s">
        <v>436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2" t="s">
        <v>454</v>
      </c>
      <c r="C59" s="3" t="e">
        <f>Bejan_CoalBeneficiation</f>
        <v>#REF!</v>
      </c>
      <c r="D59" s="3" t="e">
        <f>Rational_Coalbeneficiation</f>
        <v>#REF!</v>
      </c>
      <c r="E59" s="3" t="e">
        <f>Resource_Coalbeneficiation</f>
        <v>#REF!</v>
      </c>
    </row>
    <row r="60" spans="2:5" x14ac:dyDescent="0.2">
      <c r="B60" s="202" t="s">
        <v>437</v>
      </c>
      <c r="C60" s="3" t="s">
        <v>386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2" t="s">
        <v>432</v>
      </c>
      <c r="C61" s="3" t="s">
        <v>386</v>
      </c>
      <c r="D61" s="3" t="e">
        <f>Rational_Cokeoven</f>
        <v>#REF!</v>
      </c>
      <c r="E61" s="3" t="e">
        <f>Resource_Cokeoven</f>
        <v>#REF!</v>
      </c>
    </row>
    <row r="62" spans="2:5" x14ac:dyDescent="0.2">
      <c r="B62" s="202" t="s">
        <v>665</v>
      </c>
      <c r="C62" s="3" t="e">
        <f>Bejan_COGtreatment</f>
        <v>#REF!</v>
      </c>
      <c r="D62" s="3" t="e">
        <f>Rational_COGtreatment</f>
        <v>#REF!</v>
      </c>
      <c r="E62" s="3" t="e">
        <f>Resource_COGtreatment</f>
        <v>#REF!</v>
      </c>
    </row>
    <row r="63" spans="2:5" x14ac:dyDescent="0.2">
      <c r="B63" s="202" t="s">
        <v>668</v>
      </c>
      <c r="C63" s="3" t="s">
        <v>386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2" t="s">
        <v>81</v>
      </c>
      <c r="C64" s="3" t="s">
        <v>386</v>
      </c>
      <c r="D64" s="3">
        <f>Rational_mixer</f>
        <v>0.99300939590335358</v>
      </c>
      <c r="E64" s="3">
        <f>Resource_Mixer</f>
        <v>1.0717776463170951E-2</v>
      </c>
    </row>
    <row r="65" spans="2:5" x14ac:dyDescent="0.2">
      <c r="B65" s="202" t="s">
        <v>424</v>
      </c>
      <c r="C65" s="3" t="s">
        <v>386</v>
      </c>
      <c r="D65" s="3">
        <f>Rational_BF</f>
        <v>0.3660238419002077</v>
      </c>
      <c r="E65" s="3">
        <f>Resource_BF</f>
        <v>0.32907203079392555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321</vt:i4>
      </vt:variant>
    </vt:vector>
  </HeadingPairs>
  <TitlesOfParts>
    <vt:vector size="334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MW_C10H8</vt:lpstr>
      <vt:lpstr>MW_C12H23</vt:lpstr>
      <vt:lpstr>MW_C14H10</vt:lpstr>
      <vt:lpstr>MW_C16H10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2025-07-18T19:22:51Z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