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A92ED8A6-AA31-DF4A-97F4-C189CB31F6F5}" xr6:coauthVersionLast="47" xr6:coauthVersionMax="47" xr10:uidLastSave="{00000000-0000-0000-0000-000000000000}"/>
  <bookViews>
    <workbookView xWindow="22060" yWindow="740" windowWidth="30500" windowHeight="27120" activeTab="4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ash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56" i="9" l="1"/>
  <c r="BO151" i="9"/>
  <c r="BN151" i="9"/>
  <c r="BQ156" i="9"/>
  <c r="H139" i="22" l="1"/>
  <c r="H157" i="22"/>
  <c r="AI123" i="22"/>
  <c r="AJ123" i="22"/>
  <c r="AK124" i="22"/>
  <c r="AL124" i="22"/>
  <c r="O210" i="9"/>
  <c r="N210" i="9"/>
  <c r="M210" i="9"/>
  <c r="AI210" i="9"/>
  <c r="AH210" i="9"/>
  <c r="AG210" i="9"/>
  <c r="BB210" i="9"/>
  <c r="BA210" i="9"/>
  <c r="AZ210" i="9"/>
  <c r="AS68" i="22" l="1"/>
  <c r="AT68" i="22"/>
  <c r="AU68" i="22"/>
  <c r="AV68" i="22"/>
  <c r="AW68" i="22"/>
  <c r="AX68" i="22"/>
  <c r="AY68" i="22"/>
  <c r="AZ68" i="22"/>
  <c r="BA68" i="22"/>
  <c r="BB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AD162" i="22"/>
  <c r="CP281" i="9"/>
  <c r="CP280" i="9"/>
  <c r="CP279" i="9"/>
  <c r="CP278" i="9"/>
  <c r="CP277" i="9"/>
  <c r="CP276" i="9"/>
  <c r="CP275" i="9"/>
  <c r="CP274" i="9"/>
  <c r="CP273" i="9"/>
  <c r="CP272" i="9"/>
  <c r="CP271" i="9"/>
  <c r="CP210" i="9"/>
  <c r="CN210" i="9"/>
  <c r="CN211" i="9" s="1"/>
  <c r="BS210" i="9"/>
  <c r="BU210" i="9"/>
  <c r="BJ114" i="20"/>
  <c r="J201" i="20"/>
  <c r="J202" i="20"/>
  <c r="J203" i="20"/>
  <c r="J207" i="20"/>
  <c r="J208" i="20"/>
  <c r="J209" i="20"/>
  <c r="AG166" i="20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I187" i="11"/>
  <c r="G198" i="11"/>
  <c r="F195" i="11"/>
  <c r="C195" i="11"/>
  <c r="FB147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N163" i="11"/>
  <c r="L23" i="11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D89" i="11"/>
  <c r="D94" i="11" s="1"/>
  <c r="CL236" i="11"/>
  <c r="K201" i="11" l="1"/>
  <c r="I204" i="11"/>
  <c r="K171" i="11"/>
  <c r="F200" i="11"/>
  <c r="P193" i="11"/>
  <c r="AB80" i="11"/>
  <c r="AG218" i="9"/>
  <c r="CV199" i="11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K202" i="11" l="1"/>
  <c r="J204" i="11"/>
  <c r="M194" i="1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G112" i="22"/>
  <c r="G199" i="22" s="1"/>
  <c r="BG111" i="22"/>
  <c r="G198" i="22" s="1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M218" i="9" l="1"/>
  <c r="N194" i="1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I158" i="22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226" i="9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M64" i="9" l="1"/>
  <c r="O63" i="9"/>
  <c r="O64" i="9" s="1"/>
  <c r="AR88" i="22" s="1"/>
  <c r="AR47" i="22" s="1"/>
  <c r="ED106" i="9"/>
  <c r="EG105" i="9"/>
  <c r="EF105" i="9"/>
  <c r="EF106" i="9" s="1"/>
  <c r="M227" i="9"/>
  <c r="O226" i="9"/>
  <c r="O227" i="9" s="1"/>
  <c r="AT88" i="22" s="1"/>
  <c r="AT47" i="22" s="1"/>
  <c r="M145" i="9"/>
  <c r="O144" i="9"/>
  <c r="O145" i="9" s="1"/>
  <c r="AS88" i="22" s="1"/>
  <c r="AS47" i="22" s="1"/>
  <c r="CN258" i="9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AS89" i="22"/>
  <c r="AS48" i="22" s="1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J159" i="22" l="1"/>
  <c r="BF90" i="22"/>
  <c r="BF49" i="22" s="1"/>
  <c r="V129" i="22"/>
  <c r="V139" i="22" s="1"/>
  <c r="L11" i="21"/>
  <c r="AT86" i="22"/>
  <c r="AT45" i="22" s="1"/>
  <c r="P167" i="9"/>
  <c r="EF239" i="9"/>
  <c r="EF241" i="9" s="1"/>
  <c r="BL116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F12" i="17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BE64" i="15" l="1"/>
  <c r="BG105" i="15"/>
  <c r="AX57" i="15"/>
  <c r="BG98" i="15"/>
  <c r="BE60" i="15"/>
  <c r="BG101" i="15"/>
  <c r="N46" i="9"/>
  <c r="K52" i="9"/>
  <c r="AU92" i="22"/>
  <c r="AU51" i="22" s="1"/>
  <c r="L123" i="22"/>
  <c r="O132" i="9" a="1"/>
  <c r="O132" i="9" s="1"/>
  <c r="U139" i="22"/>
  <c r="BG101" i="22"/>
  <c r="G188" i="22" s="1"/>
  <c r="AX120" i="22"/>
  <c r="BG98" i="22"/>
  <c r="G185" i="22" s="1"/>
  <c r="R139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G186" i="15"/>
  <c r="AU92" i="15"/>
  <c r="G193" i="15"/>
  <c r="G189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U51" i="15" l="1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S43" i="15" l="1"/>
  <c r="BG84" i="15"/>
  <c r="C91" i="11"/>
  <c r="C192" i="11" s="1"/>
  <c r="C92" i="11"/>
  <c r="C193" i="11" s="1"/>
  <c r="C93" i="11"/>
  <c r="C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CL210" i="9" l="1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CP211" i="9" l="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BE108" i="22" l="1"/>
  <c r="AB133" i="22"/>
  <c r="AB139" i="22" s="1"/>
  <c r="AR47" i="15"/>
  <c r="BJ88" i="20"/>
  <c r="J175" i="20" s="1"/>
  <c r="Y63" i="9"/>
  <c r="AA62" i="9"/>
  <c r="Z61" i="9"/>
  <c r="AA61" i="9" s="1"/>
  <c r="Z63" i="9"/>
  <c r="AD67" i="9"/>
  <c r="AD68" i="9"/>
  <c r="K76" i="9"/>
  <c r="BE67" i="22" l="1"/>
  <c r="BG108" i="22"/>
  <c r="G195" i="22" s="1"/>
  <c r="BE120" i="22"/>
  <c r="AE133" i="22"/>
  <c r="BM111" i="22"/>
  <c r="Y64" i="9"/>
  <c r="AG69" i="9"/>
  <c r="Z64" i="9" s="1"/>
  <c r="AA63" i="9"/>
  <c r="K77" i="9"/>
  <c r="K78" i="9" l="1"/>
  <c r="U72" i="9" s="1"/>
  <c r="AR86" i="15" s="1"/>
  <c r="AA64" i="9"/>
  <c r="AR120" i="22"/>
  <c r="L77" i="9"/>
  <c r="L76" i="9"/>
  <c r="AD69" i="9"/>
  <c r="AG70" i="9"/>
  <c r="AR45" i="15" l="1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9" i="22"/>
  <c r="M123" i="22"/>
  <c r="BM93" i="22"/>
  <c r="AH130" i="9"/>
  <c r="AR137" i="9" s="1"/>
  <c r="BG104" i="22"/>
  <c r="G191" i="22" s="1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AV94" i="15"/>
  <c r="AV120" i="15" s="1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C227" i="22"/>
  <c r="L155" i="9"/>
  <c r="L156" i="9" s="1"/>
  <c r="U151" i="9" s="1"/>
  <c r="F11" i="17"/>
  <c r="H11" i="17" s="1"/>
  <c r="C220" i="22"/>
  <c r="DY107" i="9"/>
  <c r="K156" i="9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G203" i="15"/>
  <c r="AU130" i="9"/>
  <c r="S14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C106" i="9"/>
  <c r="EL101" i="9" s="1"/>
  <c r="J160" i="15" s="1"/>
  <c r="J163" i="15" s="1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FB145" i="9" l="1"/>
  <c r="FB146" i="9"/>
  <c r="AS48" i="15"/>
  <c r="BG89" i="15"/>
  <c r="G177" i="15" s="1"/>
  <c r="BA62" i="15"/>
  <c r="BG103" i="15"/>
  <c r="G191" i="15" s="1"/>
  <c r="BF90" i="15"/>
  <c r="H162" i="22"/>
  <c r="BG90" i="22"/>
  <c r="G177" i="22" s="1"/>
  <c r="BG89" i="22"/>
  <c r="G176" i="22" s="1"/>
  <c r="W139" i="22"/>
  <c r="BG103" i="22"/>
  <c r="G190" i="22" s="1"/>
  <c r="E280" i="11"/>
  <c r="G280" i="11" s="1"/>
  <c r="H280" i="11" s="1"/>
  <c r="E274" i="11"/>
  <c r="G274" i="11" s="1"/>
  <c r="EB144" i="9" s="1"/>
  <c r="W140" i="15"/>
  <c r="BJ98" i="20"/>
  <c r="Y142" i="9"/>
  <c r="Y139" i="9"/>
  <c r="BB103" i="20"/>
  <c r="BB58" i="20" s="1"/>
  <c r="CF141" i="9"/>
  <c r="CG141" i="9" s="1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G187" i="22" s="1"/>
  <c r="T139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CC130" i="9"/>
  <c r="O12" i="13" s="1"/>
  <c r="BP111" i="20"/>
  <c r="BQ111" i="20" s="1"/>
  <c r="H17" i="14" l="1"/>
  <c r="D60" i="14"/>
  <c r="AP136" i="20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D134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H112" i="20"/>
  <c r="AE137" i="20"/>
  <c r="AE143" i="20" s="1"/>
  <c r="DX132" i="9"/>
  <c r="DU131" i="9"/>
  <c r="BI119" i="20" l="1"/>
  <c r="AL140" i="20"/>
  <c r="D34" i="14"/>
  <c r="D32" i="12"/>
  <c r="D64" i="14"/>
  <c r="BH67" i="20"/>
  <c r="BJ112" i="20"/>
  <c r="J199" i="20" s="1"/>
  <c r="BH124" i="20"/>
  <c r="E64" i="14"/>
  <c r="D35" i="14"/>
  <c r="D33" i="12"/>
  <c r="AL143" i="20" l="1"/>
  <c r="AP140" i="20"/>
  <c r="H229" i="20" s="1"/>
  <c r="BJ119" i="20"/>
  <c r="J206" i="20" s="1"/>
  <c r="BI74" i="20"/>
  <c r="BB120" i="22"/>
  <c r="BB73" i="22" l="1"/>
  <c r="BB73" i="15"/>
  <c r="BE118" i="20" l="1"/>
  <c r="BE73" i="20" l="1"/>
  <c r="G74" i="11" l="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CO271" i="9" l="1"/>
  <c r="CP282" i="9" a="1"/>
  <c r="CP282" i="9" s="1"/>
  <c r="AC88" i="11"/>
  <c r="AG78" i="11" s="1"/>
  <c r="AH78" i="11" s="1"/>
  <c r="AH77" i="11"/>
  <c r="AC80" i="11"/>
  <c r="F98" i="11"/>
  <c r="C118" i="11"/>
  <c r="F102" i="11"/>
  <c r="F99" i="11"/>
  <c r="CO278" i="9"/>
  <c r="CO274" i="9"/>
  <c r="CO240" i="9"/>
  <c r="CZ246" i="9" s="1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Z247" i="9" s="1"/>
  <c r="CL243" i="9"/>
  <c r="CV234" i="9" s="1"/>
  <c r="F100" i="11"/>
  <c r="I111" i="11"/>
  <c r="CL226" i="9"/>
  <c r="BM110" i="15" l="1"/>
  <c r="BN110" i="15" s="1"/>
  <c r="AD134" i="15"/>
  <c r="AD140" i="15" s="1"/>
  <c r="BM110" i="22"/>
  <c r="BN110" i="22" s="1"/>
  <c r="AD133" i="22"/>
  <c r="AD139" i="22" s="1"/>
  <c r="Z88" i="11"/>
  <c r="CP243" i="9" a="1"/>
  <c r="CP243" i="9" s="1"/>
  <c r="BC109" i="22" s="1"/>
  <c r="BC68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BN111" i="15" s="1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C224" i="22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C95" i="20"/>
  <c r="BC50" i="20" s="1"/>
  <c r="AX218" i="9"/>
  <c r="L216" i="9" s="1"/>
  <c r="AE210" i="9"/>
  <c r="AY210" i="9"/>
  <c r="C218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P114" i="20" l="1"/>
  <c r="BQ114" i="20" s="1"/>
  <c r="AG137" i="20"/>
  <c r="AG143" i="20" s="1"/>
  <c r="BB218" i="9" a="1"/>
  <c r="BB218" i="9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R221" i="9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DA247" i="9" l="1"/>
  <c r="BG217" i="9"/>
  <c r="BH217" i="9" s="1"/>
  <c r="BI217" i="9" s="1"/>
  <c r="AM125" i="22"/>
  <c r="AI107" i="11"/>
  <c r="AA135" i="20"/>
  <c r="AP135" i="20" s="1"/>
  <c r="H224" i="20" s="1"/>
  <c r="T140" i="15"/>
  <c r="AM129" i="15"/>
  <c r="E218" i="15" s="1"/>
  <c r="E154" i="22"/>
  <c r="E162" i="22" s="1"/>
  <c r="C170" i="22" s="1" a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AA143" i="20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C170" i="22" l="1"/>
  <c r="AQ210" i="9"/>
  <c r="M17" i="13" s="1"/>
  <c r="AU212" i="9"/>
  <c r="AR210" i="9"/>
  <c r="S129" i="20"/>
  <c r="S143" i="20" s="1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EG237" i="9"/>
  <c r="AC107" i="11"/>
  <c r="EB157" i="9"/>
  <c r="CR255" i="9"/>
  <c r="CR256" i="9"/>
  <c r="DA237" i="9"/>
  <c r="BD113" i="15"/>
  <c r="BG113" i="15" s="1"/>
  <c r="AG135" i="15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C215" i="22"/>
  <c r="AC195" i="9"/>
  <c r="F15" i="17"/>
  <c r="CP258" i="9" a="1"/>
  <c r="CP258" i="9" s="1"/>
  <c r="AF139" i="22" s="1"/>
  <c r="EY238" i="9"/>
  <c r="EY240" i="9"/>
  <c r="EE158" i="9"/>
  <c r="EC158" i="9"/>
  <c r="DQ238" i="9"/>
  <c r="C62" i="14"/>
  <c r="EF160" i="9" a="1"/>
  <c r="EF160" i="9" s="1"/>
  <c r="BF114" i="22" s="1"/>
  <c r="BG114" i="22" s="1"/>
  <c r="G201" i="22" s="1"/>
  <c r="EE156" i="9"/>
  <c r="EQ145" i="9" s="1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EQ143" i="9" s="1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N165" i="11" s="1"/>
  <c r="EV241" i="9"/>
  <c r="FF233" i="9" s="1"/>
  <c r="BL114" i="15" s="1"/>
  <c r="BN114" i="15" s="1"/>
  <c r="EY237" i="9"/>
  <c r="F165" i="11"/>
  <c r="F164" i="11"/>
  <c r="BJ104" i="20"/>
  <c r="J191" i="20" s="1"/>
  <c r="BC59" i="20"/>
  <c r="N164" i="11" l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FC237" i="9"/>
  <c r="FD237" i="9" s="1"/>
  <c r="FE237" i="9" s="1"/>
  <c r="FF237" i="9" s="1"/>
  <c r="FG237" i="9" s="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241" i="9" l="1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J204" i="20" s="1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C171" i="11" s="1"/>
  <c r="C172" i="11" s="1"/>
  <c r="BI118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J118" i="20"/>
  <c r="J205" i="20" s="1"/>
  <c r="BI73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AK138" i="15"/>
  <c r="BM117" i="15"/>
  <c r="BN117" i="15" s="1"/>
  <c r="I171" i="15" s="1" a="1"/>
  <c r="E34" i="1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G215" i="15" l="1"/>
  <c r="G225" i="15"/>
  <c r="G226" i="15"/>
  <c r="I171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K197" i="22" s="1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6" i="15" l="1"/>
  <c r="K205" i="15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K185" i="22"/>
  <c r="K188" i="22"/>
  <c r="K205" i="22"/>
  <c r="K178" i="22"/>
  <c r="K190" i="22"/>
  <c r="K198" i="22"/>
  <c r="K183" i="22"/>
  <c r="K177" i="22"/>
  <c r="K194" i="22"/>
  <c r="K203" i="22"/>
  <c r="K184" i="22"/>
  <c r="K199" i="22"/>
  <c r="K204" i="22"/>
  <c r="K202" i="22"/>
  <c r="K191" i="22"/>
  <c r="K192" i="22"/>
  <c r="K189" i="22"/>
  <c r="K193" i="22"/>
  <c r="K186" i="22"/>
  <c r="K196" i="22"/>
  <c r="E170" i="22"/>
  <c r="K170" i="22" s="1"/>
  <c r="K180" i="22"/>
  <c r="K176" i="22"/>
  <c r="K195" i="22"/>
  <c r="K181" i="22"/>
  <c r="K179" i="22"/>
  <c r="K200" i="22"/>
  <c r="K182" i="22"/>
  <c r="K187" i="22"/>
  <c r="K171" i="22"/>
  <c r="K173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<sst xmlns="http://schemas.openxmlformats.org/spreadsheetml/2006/main" count="5692" uniqueCount="701">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</sst>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7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3" fillId="0" borderId="0" applyNumberFormat="0" applyFill="0" applyBorder="0" applyAlignment="0" applyProtection="0"/>
  </cellStyleXfs>
  <cellXfs count="442">
    <xf numFmtId="0" fontId="0" fillId="0" borderId="0" xfId="0"/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8" fillId="0" borderId="6" xfId="0" applyFont="1" applyBorder="1" applyAlignment="1">
      <alignment horizontal="center"/>
    </xf>
    <xf numFmtId="0" fontId="23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19" fillId="5" borderId="6" xfId="0" applyFont="1" applyFill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1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5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8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9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9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0" borderId="0" xfId="0" applyFont="1" applyAlignment="1">
      <alignment horizontal="center" vertical="center" textRotation="90"/>
    </xf>
    <xf numFmtId="1" fontId="11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4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14" fillId="0" borderId="0" xfId="0" applyFont="1"/>
    <xf numFmtId="0" fontId="12" fillId="0" borderId="0" xfId="0" applyFont="1"/>
    <xf numFmtId="0" fontId="11" fillId="0" borderId="10" xfId="0" applyFont="1" applyBorder="1" applyAlignment="1">
      <alignment horizontal="center"/>
    </xf>
    <xf numFmtId="0" fontId="20" fillId="0" borderId="0" xfId="0" applyFont="1" applyAlignment="1">
      <alignment vertical="center" textRotation="90"/>
    </xf>
    <xf numFmtId="0" fontId="17" fillId="0" borderId="0" xfId="0" applyFont="1" applyAlignment="1">
      <alignment vertical="center" textRotation="90"/>
    </xf>
    <xf numFmtId="0" fontId="25" fillId="0" borderId="22" xfId="0" applyFont="1" applyBorder="1" applyAlignment="1">
      <alignment horizontal="center"/>
    </xf>
    <xf numFmtId="0" fontId="19" fillId="0" borderId="19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1" fillId="0" borderId="26" xfId="0" applyFont="1" applyBorder="1" applyAlignment="1">
      <alignment horizont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horizontal="center"/>
    </xf>
    <xf numFmtId="0" fontId="11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5" fillId="0" borderId="0" xfId="0" applyNumberFormat="1" applyFont="1" applyAlignment="1">
      <alignment horizontal="center"/>
    </xf>
    <xf numFmtId="0" fontId="11" fillId="9" borderId="0" xfId="0" applyFont="1" applyFill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1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1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1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15" fillId="0" borderId="30" xfId="0" applyFont="1" applyBorder="1" applyAlignment="1">
      <alignment horizontal="center"/>
    </xf>
    <xf numFmtId="0" fontId="11" fillId="10" borderId="16" xfId="0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1" fillId="11" borderId="16" xfId="0" applyFont="1" applyFill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26" fillId="0" borderId="7" xfId="0" applyFont="1" applyBorder="1" applyAlignment="1">
      <alignment horizontal="center"/>
    </xf>
    <xf numFmtId="0" fontId="15" fillId="0" borderId="9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8" fillId="0" borderId="18" xfId="0" applyFon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8" fillId="0" borderId="26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0" fontId="41" fillId="0" borderId="3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0" fontId="18" fillId="5" borderId="17" xfId="0" applyFont="1" applyFill="1" applyBorder="1" applyAlignment="1">
      <alignment horizontal="center"/>
    </xf>
    <xf numFmtId="0" fontId="43" fillId="0" borderId="0" xfId="0" applyFont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18" xfId="0" applyFont="1" applyBorder="1" applyAlignment="1">
      <alignment horizontal="center"/>
    </xf>
    <xf numFmtId="0" fontId="45" fillId="0" borderId="0" xfId="1" applyFont="1" applyAlignment="1">
      <alignment horizontal="center"/>
    </xf>
    <xf numFmtId="0" fontId="18" fillId="0" borderId="6" xfId="0" applyFont="1" applyBorder="1" applyAlignment="1">
      <alignment horizontal="center" wrapText="1"/>
    </xf>
    <xf numFmtId="0" fontId="43" fillId="0" borderId="25" xfId="0" applyFont="1" applyBorder="1" applyAlignment="1">
      <alignment horizontal="center"/>
    </xf>
    <xf numFmtId="0" fontId="46" fillId="0" borderId="22" xfId="0" applyFont="1" applyBorder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3" fillId="0" borderId="27" xfId="0" applyFont="1" applyBorder="1" applyAlignment="1">
      <alignment horizontal="center"/>
    </xf>
    <xf numFmtId="0" fontId="43" fillId="0" borderId="2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43" fillId="0" borderId="17" xfId="0" applyFont="1" applyBorder="1" applyAlignment="1">
      <alignment horizontal="center"/>
    </xf>
    <xf numFmtId="0" fontId="43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8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8" fillId="0" borderId="0" xfId="0" applyFont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5" xfId="0" applyFont="1" applyBorder="1" applyAlignment="1">
      <alignment horizontal="center"/>
    </xf>
    <xf numFmtId="0" fontId="11" fillId="0" borderId="3" xfId="0" applyFont="1" applyBorder="1" applyAlignment="1">
      <alignment horizontal="center" wrapText="1"/>
    </xf>
    <xf numFmtId="0" fontId="15" fillId="0" borderId="23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11" fillId="0" borderId="22" xfId="0" applyFont="1" applyBorder="1" applyAlignment="1">
      <alignment horizontal="center"/>
    </xf>
    <xf numFmtId="0" fontId="15" fillId="0" borderId="31" xfId="0" applyFont="1" applyBorder="1" applyAlignment="1">
      <alignment horizontal="center"/>
    </xf>
    <xf numFmtId="0" fontId="15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0" fillId="0" borderId="30" xfId="0" applyFont="1" applyBorder="1" applyAlignment="1">
      <alignment horizontal="center" vertical="center" textRotation="90"/>
    </xf>
    <xf numFmtId="0" fontId="11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8" fillId="0" borderId="25" xfId="0" applyFont="1" applyBorder="1" applyAlignment="1">
      <alignment horizontal="center"/>
    </xf>
    <xf numFmtId="0" fontId="43" fillId="0" borderId="26" xfId="0" applyFont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43" fillId="19" borderId="6" xfId="0" applyFont="1" applyFill="1" applyBorder="1" applyAlignment="1">
      <alignment horizontal="center"/>
    </xf>
    <xf numFmtId="0" fontId="11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1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2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1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1" fillId="0" borderId="0" xfId="0" applyNumberFormat="1" applyFont="1" applyAlignment="1">
      <alignment horizontal="center"/>
    </xf>
    <xf numFmtId="169" fontId="11" fillId="0" borderId="0" xfId="0" applyNumberFormat="1" applyFont="1" applyAlignment="1">
      <alignment horizontal="center"/>
    </xf>
    <xf numFmtId="2" fontId="15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5" fillId="0" borderId="22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/>
    </xf>
    <xf numFmtId="2" fontId="11" fillId="0" borderId="23" xfId="0" applyNumberFormat="1" applyFont="1" applyBorder="1" applyAlignment="1">
      <alignment horizontal="center"/>
    </xf>
    <xf numFmtId="169" fontId="11" fillId="0" borderId="1" xfId="0" applyNumberFormat="1" applyFont="1" applyBorder="1" applyAlignment="1">
      <alignment horizontal="center"/>
    </xf>
    <xf numFmtId="2" fontId="11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5" fillId="0" borderId="0" xfId="0" applyFont="1" applyAlignment="1">
      <alignment horizontal="center"/>
    </xf>
    <xf numFmtId="0" fontId="15" fillId="0" borderId="44" xfId="0" applyFont="1" applyBorder="1" applyAlignment="1">
      <alignment horizontal="center"/>
    </xf>
    <xf numFmtId="0" fontId="38" fillId="0" borderId="45" xfId="0" applyFont="1" applyBorder="1" applyAlignment="1">
      <alignment horizontal="center"/>
    </xf>
    <xf numFmtId="0" fontId="11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6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170" fontId="15" fillId="0" borderId="2" xfId="0" applyNumberFormat="1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8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1" fillId="0" borderId="0" xfId="0" applyFont="1" applyAlignment="1">
      <alignment horizontal="right"/>
    </xf>
    <xf numFmtId="0" fontId="15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1" fillId="0" borderId="0" xfId="0" applyFont="1" applyAlignment="1">
      <alignment horizontal="center" textRotation="90"/>
    </xf>
    <xf numFmtId="0" fontId="15" fillId="0" borderId="0" xfId="0" applyFont="1" applyAlignment="1">
      <alignment horizontal="center" textRotation="90"/>
    </xf>
    <xf numFmtId="0" fontId="32" fillId="0" borderId="0" xfId="0" applyFont="1" applyAlignment="1">
      <alignment horizontal="center" vertical="center"/>
    </xf>
    <xf numFmtId="0" fontId="59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1" fillId="0" borderId="0" xfId="0" applyFont="1"/>
    <xf numFmtId="0" fontId="61" fillId="23" borderId="7" xfId="0" applyFont="1" applyFill="1" applyBorder="1" applyAlignment="1">
      <alignment horizontal="center"/>
    </xf>
    <xf numFmtId="0" fontId="61" fillId="23" borderId="38" xfId="0" applyFont="1" applyFill="1" applyBorder="1" applyAlignment="1">
      <alignment horizontal="center"/>
    </xf>
    <xf numFmtId="0" fontId="61" fillId="23" borderId="36" xfId="0" applyFont="1" applyFill="1" applyBorder="1" applyAlignment="1">
      <alignment horizontal="center"/>
    </xf>
    <xf numFmtId="0" fontId="61" fillId="21" borderId="43" xfId="0" applyFont="1" applyFill="1" applyBorder="1" applyAlignment="1">
      <alignment horizontal="center"/>
    </xf>
    <xf numFmtId="0" fontId="61" fillId="21" borderId="39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22" xfId="0" applyFont="1" applyFill="1" applyBorder="1" applyAlignment="1">
      <alignment horizontal="center"/>
    </xf>
    <xf numFmtId="0" fontId="53" fillId="0" borderId="0" xfId="0" applyFont="1" applyAlignment="1">
      <alignment horizontal="center"/>
    </xf>
    <xf numFmtId="0" fontId="0" fillId="24" borderId="0" xfId="0" applyFill="1"/>
    <xf numFmtId="0" fontId="25" fillId="21" borderId="0" xfId="0" applyFont="1" applyFill="1" applyAlignment="1">
      <alignment horizontal="center" vertical="center"/>
    </xf>
    <xf numFmtId="0" fontId="25" fillId="9" borderId="0" xfId="0" applyFont="1" applyFill="1" applyAlignment="1">
      <alignment horizontal="center" vertical="center"/>
    </xf>
    <xf numFmtId="0" fontId="25" fillId="16" borderId="0" xfId="0" applyFont="1" applyFill="1" applyAlignment="1">
      <alignment horizontal="center" vertical="center"/>
    </xf>
    <xf numFmtId="0" fontId="25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8" fillId="0" borderId="0" xfId="0" applyFont="1" applyAlignment="1">
      <alignment horizontal="center" textRotation="90"/>
    </xf>
    <xf numFmtId="0" fontId="32" fillId="0" borderId="0" xfId="0" applyFont="1" applyAlignment="1">
      <alignment horizontal="center"/>
    </xf>
    <xf numFmtId="0" fontId="32" fillId="0" borderId="0" xfId="0" applyFont="1"/>
    <xf numFmtId="0" fontId="0" fillId="0" borderId="11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5" fillId="0" borderId="0" xfId="0" applyFont="1"/>
    <xf numFmtId="0" fontId="24" fillId="0" borderId="0" xfId="0" applyFont="1" applyAlignment="1">
      <alignment horizontal="right"/>
    </xf>
    <xf numFmtId="0" fontId="25" fillId="24" borderId="0" xfId="0" applyFont="1" applyFill="1" applyAlignment="1">
      <alignment horizontal="center"/>
    </xf>
    <xf numFmtId="0" fontId="25" fillId="17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7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8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9" fillId="0" borderId="0" xfId="0" applyFont="1" applyAlignment="1">
      <alignment horizontal="center"/>
    </xf>
    <xf numFmtId="0" fontId="70" fillId="0" borderId="0" xfId="0" applyFont="1" applyAlignment="1">
      <alignment horizontal="center"/>
    </xf>
    <xf numFmtId="0" fontId="38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2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2" fillId="0" borderId="18" xfId="0" applyFont="1" applyBorder="1" applyAlignment="1">
      <alignment horizontal="center"/>
    </xf>
    <xf numFmtId="0" fontId="52" fillId="0" borderId="6" xfId="0" applyFont="1" applyBorder="1" applyAlignment="1">
      <alignment horizontal="center"/>
    </xf>
    <xf numFmtId="0" fontId="52" fillId="0" borderId="46" xfId="0" applyFont="1" applyBorder="1" applyAlignment="1">
      <alignment horizontal="center"/>
    </xf>
    <xf numFmtId="0" fontId="53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8" fillId="0" borderId="18" xfId="0" applyFont="1" applyBorder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46" xfId="0" applyFont="1" applyBorder="1" applyAlignment="1">
      <alignment horizontal="center"/>
    </xf>
    <xf numFmtId="0" fontId="15" fillId="0" borderId="0" xfId="0" applyFont="1"/>
    <xf numFmtId="0" fontId="19" fillId="0" borderId="17" xfId="0" applyFont="1" applyBorder="1" applyAlignment="1">
      <alignment horizontal="center"/>
    </xf>
    <xf numFmtId="0" fontId="61" fillId="23" borderId="8" xfId="0" applyFont="1" applyFill="1" applyBorder="1" applyAlignment="1">
      <alignment horizontal="center"/>
    </xf>
    <xf numFmtId="0" fontId="61" fillId="21" borderId="0" xfId="0" applyFont="1" applyFill="1" applyAlignment="1">
      <alignment horizontal="center"/>
    </xf>
    <xf numFmtId="0" fontId="61" fillId="18" borderId="23" xfId="0" applyFont="1" applyFill="1" applyBorder="1" applyAlignment="1">
      <alignment horizontal="center"/>
    </xf>
    <xf numFmtId="0" fontId="61" fillId="18" borderId="6" xfId="0" applyFont="1" applyFill="1" applyBorder="1" applyAlignment="1">
      <alignment horizontal="center"/>
    </xf>
    <xf numFmtId="0" fontId="63" fillId="21" borderId="6" xfId="0" applyFont="1" applyFill="1" applyBorder="1" applyAlignment="1">
      <alignment horizontal="center"/>
    </xf>
    <xf numFmtId="0" fontId="63" fillId="18" borderId="37" xfId="0" applyFont="1" applyFill="1" applyBorder="1" applyAlignment="1">
      <alignment horizontal="center"/>
    </xf>
    <xf numFmtId="0" fontId="61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5" fillId="0" borderId="5" xfId="0" applyNumberFormat="1" applyFont="1" applyBorder="1" applyAlignment="1">
      <alignment horizontal="center"/>
    </xf>
    <xf numFmtId="0" fontId="53" fillId="0" borderId="0" xfId="0" applyFont="1" applyAlignment="1">
      <alignment horizontal="right"/>
    </xf>
    <xf numFmtId="0" fontId="54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4" fillId="0" borderId="0" xfId="0" applyFont="1" applyAlignment="1">
      <alignment horizontal="center" vertical="center"/>
    </xf>
    <xf numFmtId="0" fontId="15" fillId="11" borderId="0" xfId="0" applyFont="1" applyFill="1" applyAlignment="1">
      <alignment horizontal="center"/>
    </xf>
    <xf numFmtId="0" fontId="54" fillId="11" borderId="0" xfId="0" applyFont="1" applyFill="1" applyAlignment="1">
      <alignment horizontal="center"/>
    </xf>
    <xf numFmtId="0" fontId="11" fillId="11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1" fillId="0" borderId="0" xfId="0" applyFont="1" applyAlignment="1">
      <alignment horizontal="center" wrapText="1"/>
    </xf>
    <xf numFmtId="0" fontId="38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52" fillId="0" borderId="13" xfId="0" applyFont="1" applyBorder="1" applyAlignment="1">
      <alignment horizont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27" borderId="0" xfId="0" applyFont="1" applyFill="1" applyAlignment="1">
      <alignment horizontal="center"/>
    </xf>
    <xf numFmtId="0" fontId="75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3" fillId="0" borderId="6" xfId="0" applyFont="1" applyBorder="1" applyAlignment="1">
      <alignment horizontal="center"/>
    </xf>
    <xf numFmtId="0" fontId="54" fillId="0" borderId="2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textRotation="90" wrapText="1"/>
    </xf>
    <xf numFmtId="0" fontId="53" fillId="0" borderId="0" xfId="0" applyFont="1" applyAlignment="1">
      <alignment horizontal="center" vertical="center" textRotation="90"/>
    </xf>
    <xf numFmtId="0" fontId="3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1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5" fillId="0" borderId="1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4" fillId="0" borderId="6" xfId="0" applyFont="1" applyBorder="1" applyAlignment="1">
      <alignment horizontal="center"/>
    </xf>
    <xf numFmtId="0" fontId="27" fillId="0" borderId="18" xfId="0" applyFont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57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6" xfId="0" applyFont="1" applyBorder="1" applyAlignment="1">
      <alignment horizontal="center"/>
    </xf>
    <xf numFmtId="0" fontId="19" fillId="0" borderId="6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7" fillId="0" borderId="13" xfId="0" applyFont="1" applyBorder="1" applyAlignment="1">
      <alignment horizontal="center" vertical="center"/>
    </xf>
    <xf numFmtId="0" fontId="65" fillId="0" borderId="4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7" fillId="0" borderId="43" xfId="0" applyFont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10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23" fillId="0" borderId="12" xfId="1" applyBorder="1" applyAlignment="1">
      <alignment horizontal="center" wrapText="1"/>
    </xf>
    <xf numFmtId="0" fontId="53" fillId="0" borderId="0" xfId="0" applyFont="1" applyAlignment="1">
      <alignment horizontal="center" vertical="center" textRotation="90" wrapText="1"/>
    </xf>
    <xf numFmtId="0" fontId="39" fillId="15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2" fillId="17" borderId="0" xfId="0" applyFont="1" applyFill="1" applyAlignment="1">
      <alignment horizontal="center" vertical="center"/>
    </xf>
    <xf numFmtId="0" fontId="71" fillId="26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53" fillId="0" borderId="0" xfId="0" applyFont="1" applyAlignment="1">
      <alignment horizontal="center" textRotation="90" wrapText="1"/>
    </xf>
    <xf numFmtId="0" fontId="66" fillId="17" borderId="0" xfId="0" applyFont="1" applyFill="1" applyAlignment="1">
      <alignment horizontal="center" vertical="center"/>
    </xf>
    <xf numFmtId="0" fontId="67" fillId="17" borderId="0" xfId="0" applyFont="1" applyFill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2" fillId="0" borderId="0" xfId="0" applyFont="1" applyAlignment="1">
      <alignment horizontal="center" vertical="center" textRotation="90"/>
    </xf>
    <xf numFmtId="0" fontId="12" fillId="18" borderId="0" xfId="0" applyFont="1" applyFill="1" applyAlignment="1">
      <alignment horizontal="center" vertical="center"/>
    </xf>
    <xf numFmtId="0" fontId="11" fillId="0" borderId="3" xfId="0" applyFont="1" applyBorder="1" applyAlignment="1">
      <alignment horizontal="center" wrapText="1"/>
    </xf>
    <xf numFmtId="0" fontId="11" fillId="0" borderId="4" xfId="0" applyFont="1" applyBorder="1" applyAlignment="1">
      <alignment horizontal="center" wrapText="1"/>
    </xf>
    <xf numFmtId="0" fontId="39" fillId="15" borderId="30" xfId="0" applyFont="1" applyFill="1" applyBorder="1" applyAlignment="1">
      <alignment horizontal="center" vertical="center"/>
    </xf>
    <xf numFmtId="0" fontId="71" fillId="26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0" fontId="52" fillId="17" borderId="0" xfId="0" applyFont="1" applyFill="1" applyAlignment="1">
      <alignment horizontal="center" vertical="center"/>
    </xf>
    <xf numFmtId="0" fontId="57" fillId="19" borderId="0" xfId="0" applyFont="1" applyFill="1" applyAlignment="1">
      <alignment horizontal="center" vertical="center"/>
    </xf>
    <xf numFmtId="0" fontId="57" fillId="19" borderId="30" xfId="0" applyFont="1" applyFill="1" applyBorder="1" applyAlignment="1">
      <alignment horizontal="center" vertical="center"/>
    </xf>
    <xf numFmtId="0" fontId="52" fillId="0" borderId="18" xfId="0" applyFont="1" applyBorder="1" applyAlignment="1">
      <alignment horizontal="center"/>
    </xf>
    <xf numFmtId="0" fontId="52" fillId="0" borderId="15" xfId="0" applyFont="1" applyBorder="1" applyAlignment="1">
      <alignment horizontal="center"/>
    </xf>
    <xf numFmtId="0" fontId="41" fillId="14" borderId="0" xfId="0" applyFont="1" applyFill="1" applyAlignment="1">
      <alignment horizontal="center" vertical="center"/>
    </xf>
    <xf numFmtId="0" fontId="50" fillId="16" borderId="0" xfId="0" applyFont="1" applyFill="1" applyAlignment="1">
      <alignment horizontal="center" vertical="center"/>
    </xf>
    <xf numFmtId="0" fontId="50" fillId="16" borderId="30" xfId="0" applyFont="1" applyFill="1" applyBorder="1" applyAlignment="1">
      <alignment horizontal="center" vertical="center"/>
    </xf>
    <xf numFmtId="0" fontId="11" fillId="0" borderId="22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39" fillId="13" borderId="0" xfId="0" applyFont="1" applyFill="1" applyAlignment="1">
      <alignment horizontal="center" vertical="center"/>
    </xf>
    <xf numFmtId="0" fontId="39" fillId="13" borderId="30" xfId="0" applyFont="1" applyFill="1" applyBorder="1" applyAlignment="1">
      <alignment horizontal="center" vertical="center"/>
    </xf>
    <xf numFmtId="0" fontId="50" fillId="9" borderId="0" xfId="0" applyFont="1" applyFill="1" applyAlignment="1">
      <alignment horizontal="center" vertical="center"/>
    </xf>
    <xf numFmtId="0" fontId="50" fillId="9" borderId="30" xfId="0" applyFont="1" applyFill="1" applyBorder="1" applyAlignment="1">
      <alignment horizontal="center" vertical="center"/>
    </xf>
    <xf numFmtId="0" fontId="18" fillId="12" borderId="1" xfId="0" applyFont="1" applyFill="1" applyBorder="1" applyAlignment="1">
      <alignment horizontal="center"/>
    </xf>
    <xf numFmtId="0" fontId="41" fillId="14" borderId="30" xfId="0" applyFont="1" applyFill="1" applyBorder="1" applyAlignment="1">
      <alignment horizontal="center" vertical="center"/>
    </xf>
    <xf numFmtId="0" fontId="18" fillId="12" borderId="19" xfId="0" applyFont="1" applyFill="1" applyBorder="1" applyAlignment="1">
      <alignment horizontal="center"/>
    </xf>
    <xf numFmtId="0" fontId="53" fillId="0" borderId="0" xfId="0" applyFont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wrapText="1"/>
    </xf>
    <xf numFmtId="0" fontId="62" fillId="9" borderId="7" xfId="0" applyFont="1" applyFill="1" applyBorder="1" applyAlignment="1">
      <alignment horizontal="center" vertical="center"/>
    </xf>
    <xf numFmtId="0" fontId="62" fillId="9" borderId="9" xfId="0" applyFont="1" applyFill="1" applyBorder="1" applyAlignment="1">
      <alignment horizontal="center" vertical="center"/>
    </xf>
    <xf numFmtId="0" fontId="62" fillId="16" borderId="7" xfId="0" applyFont="1" applyFill="1" applyBorder="1" applyAlignment="1">
      <alignment horizontal="center" vertical="center"/>
    </xf>
    <xf numFmtId="0" fontId="62" fillId="16" borderId="8" xfId="0" applyFont="1" applyFill="1" applyBorder="1" applyAlignment="1">
      <alignment horizontal="center" vertical="center"/>
    </xf>
    <xf numFmtId="0" fontId="62" fillId="16" borderId="9" xfId="0" applyFont="1" applyFill="1" applyBorder="1" applyAlignment="1">
      <alignment horizontal="center" vertical="center"/>
    </xf>
    <xf numFmtId="0" fontId="62" fillId="20" borderId="7" xfId="0" applyFont="1" applyFill="1" applyBorder="1" applyAlignment="1">
      <alignment horizontal="center" vertical="center"/>
    </xf>
    <xf numFmtId="0" fontId="62" fillId="20" borderId="8" xfId="0" applyFont="1" applyFill="1" applyBorder="1" applyAlignment="1">
      <alignment horizontal="center" vertical="center"/>
    </xf>
    <xf numFmtId="0" fontId="62" fillId="20" borderId="9" xfId="0" applyFont="1" applyFill="1" applyBorder="1" applyAlignment="1">
      <alignment horizontal="center" vertical="center"/>
    </xf>
    <xf numFmtId="0" fontId="62" fillId="22" borderId="4" xfId="0" applyFont="1" applyFill="1" applyBorder="1" applyAlignment="1">
      <alignment horizontal="center" vertical="center"/>
    </xf>
    <xf numFmtId="0" fontId="62" fillId="22" borderId="5" xfId="0" applyFont="1" applyFill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10" fillId="0" borderId="6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25" fillId="16" borderId="0" xfId="0" applyFont="1" applyFill="1" applyAlignment="1">
      <alignment horizontal="center" vertical="center" textRotation="90"/>
    </xf>
    <xf numFmtId="0" fontId="25" fillId="9" borderId="0" xfId="0" applyFont="1" applyFill="1" applyAlignment="1">
      <alignment horizontal="center" vertical="center" textRotation="90"/>
    </xf>
    <xf numFmtId="0" fontId="49" fillId="3" borderId="34" xfId="0" applyFont="1" applyFill="1" applyBorder="1" applyAlignment="1">
      <alignment horizontal="center" vertical="center"/>
    </xf>
    <xf numFmtId="0" fontId="49" fillId="3" borderId="35" xfId="0" applyFont="1" applyFill="1" applyBorder="1" applyAlignment="1">
      <alignment horizontal="center" vertical="center"/>
    </xf>
    <xf numFmtId="0" fontId="49" fillId="3" borderId="6" xfId="0" applyFont="1" applyFill="1" applyBorder="1" applyAlignment="1">
      <alignment horizontal="center" vertical="center"/>
    </xf>
    <xf numFmtId="0" fontId="49" fillId="3" borderId="37" xfId="0" applyFont="1" applyFill="1" applyBorder="1" applyAlignment="1">
      <alignment horizontal="center" vertical="center"/>
    </xf>
    <xf numFmtId="0" fontId="49" fillId="8" borderId="6" xfId="0" applyFont="1" applyFill="1" applyBorder="1" applyAlignment="1">
      <alignment horizontal="center" vertical="center"/>
    </xf>
    <xf numFmtId="0" fontId="49" fillId="8" borderId="37" xfId="0" applyFont="1" applyFill="1" applyBorder="1" applyAlignment="1">
      <alignment horizontal="center" vertical="center"/>
    </xf>
    <xf numFmtId="0" fontId="49" fillId="8" borderId="39" xfId="0" applyFont="1" applyFill="1" applyBorder="1" applyAlignment="1">
      <alignment horizontal="center" vertical="center"/>
    </xf>
    <xf numFmtId="0" fontId="49" fillId="8" borderId="40" xfId="0" applyFont="1" applyFill="1" applyBorder="1" applyAlignment="1">
      <alignment horizontal="center" vertical="center"/>
    </xf>
    <xf numFmtId="0" fontId="49" fillId="0" borderId="36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38" xfId="0" applyFont="1" applyBorder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49" fillId="11" borderId="33" xfId="0" applyFont="1" applyFill="1" applyBorder="1" applyAlignment="1">
      <alignment horizontal="center" vertical="center"/>
    </xf>
    <xf numFmtId="0" fontId="49" fillId="11" borderId="34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6" xfId="0" applyFont="1" applyFill="1" applyBorder="1" applyAlignment="1">
      <alignment horizontal="center" vertical="center"/>
    </xf>
    <xf numFmtId="0" fontId="25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5" fillId="19" borderId="0" xfId="0" applyFont="1" applyFill="1" applyAlignment="1">
      <alignment horizontal="center" vertical="center" textRotation="90"/>
    </xf>
    <xf numFmtId="0" fontId="52" fillId="0" borderId="0" xfId="0" applyFont="1" applyAlignment="1">
      <alignment horizontal="center"/>
    </xf>
    <xf numFmtId="0" fontId="35" fillId="8" borderId="0" xfId="0" applyFont="1" applyFill="1" applyAlignment="1">
      <alignment horizontal="center"/>
    </xf>
    <xf numFmtId="0" fontId="34" fillId="8" borderId="0" xfId="0" applyFont="1" applyFill="1" applyAlignment="1">
      <alignment horizontal="center"/>
    </xf>
    <xf numFmtId="0" fontId="20" fillId="3" borderId="0" xfId="0" applyFont="1" applyFill="1" applyAlignment="1">
      <alignment horizontal="center" vertical="center" textRotation="90" wrapText="1"/>
    </xf>
    <xf numFmtId="0" fontId="17" fillId="7" borderId="0" xfId="0" applyFont="1" applyFill="1" applyAlignment="1">
      <alignment horizontal="center" vertical="center" textRotation="90"/>
    </xf>
    <xf numFmtId="0" fontId="14" fillId="6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 textRotation="90"/>
    </xf>
    <xf numFmtId="0" fontId="35" fillId="10" borderId="0" xfId="0" applyFont="1" applyFill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1249068</xdr:colOff>
      <xdr:row>83</xdr:row>
      <xdr:rowOff>154205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ispatguru.com/calcination-of-limestone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Y1" zoomScale="173" workbookViewId="0">
      <selection activeCell="AH3" sqref="AH3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22" t="s">
        <v>102</v>
      </c>
      <c r="S2" s="323"/>
      <c r="T2" s="322" t="s">
        <v>108</v>
      </c>
      <c r="U2" s="323"/>
      <c r="W2" s="324" t="s">
        <v>233</v>
      </c>
      <c r="X2" s="324"/>
      <c r="Y2" s="13" t="s">
        <v>52</v>
      </c>
      <c r="AB2" s="3" t="s">
        <v>342</v>
      </c>
      <c r="AH2" s="3" t="s">
        <v>418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444</v>
      </c>
      <c r="AA5" s="61" t="s">
        <v>469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486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470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5" t="s">
        <v>382</v>
      </c>
      <c r="R12" s="325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6" t="s">
        <v>678</v>
      </c>
      <c r="R16" s="326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469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470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486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665</v>
      </c>
      <c r="B42" s="3" t="s">
        <v>652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668</v>
      </c>
      <c r="B43" s="3" t="s">
        <v>653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 x14ac:dyDescent="0.25">
      <c r="A44" s="3" t="s">
        <v>669</v>
      </c>
      <c r="B44" s="3" t="s">
        <v>654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667</v>
      </c>
      <c r="B45" s="3" t="s">
        <v>666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670</v>
      </c>
      <c r="B46" s="3" t="s">
        <v>673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671</v>
      </c>
      <c r="B47" s="3" t="s">
        <v>675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672</v>
      </c>
      <c r="B48" s="4" t="s">
        <v>676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 x14ac:dyDescent="0.25">
      <c r="B49" s="1" t="s">
        <v>693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639</v>
      </c>
    </row>
    <row r="64" spans="2:7" x14ac:dyDescent="0.2">
      <c r="B64" s="128" t="s">
        <v>388</v>
      </c>
      <c r="C64" s="3" t="s">
        <v>391</v>
      </c>
    </row>
    <row r="65" spans="2:3" x14ac:dyDescent="0.2">
      <c r="B65" s="13" t="s">
        <v>398</v>
      </c>
      <c r="C65" s="3" t="s">
        <v>335</v>
      </c>
    </row>
    <row r="66" spans="2:3" x14ac:dyDescent="0.2">
      <c r="B66" s="13" t="s">
        <v>480</v>
      </c>
      <c r="C66" s="3" t="s">
        <v>481</v>
      </c>
    </row>
    <row r="67" spans="2:3" ht="17" x14ac:dyDescent="0.25">
      <c r="B67" s="13" t="s">
        <v>472</v>
      </c>
      <c r="C67" s="3" t="s">
        <v>471</v>
      </c>
    </row>
    <row r="68" spans="2:3" x14ac:dyDescent="0.2">
      <c r="B68" s="13" t="s">
        <v>40</v>
      </c>
      <c r="C68" s="3" t="s">
        <v>634</v>
      </c>
    </row>
    <row r="69" spans="2:3" x14ac:dyDescent="0.2">
      <c r="B69" s="13" t="s">
        <v>637</v>
      </c>
      <c r="C69" s="16" t="s">
        <v>699</v>
      </c>
    </row>
    <row r="70" spans="2:3" x14ac:dyDescent="0.2">
      <c r="B70" s="13" t="s">
        <v>651</v>
      </c>
      <c r="C70" s="3" t="s">
        <v>674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  <hyperlink ref="C69" r:id="rId6" xr:uid="{1F794011-A030-3D4B-86C9-1C2767D0111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601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591</v>
      </c>
      <c r="E3" s="3" t="s">
        <v>590</v>
      </c>
      <c r="F3" s="288" t="s">
        <v>585</v>
      </c>
      <c r="G3" s="288" t="s">
        <v>593</v>
      </c>
      <c r="H3" s="3" t="s">
        <v>594</v>
      </c>
      <c r="I3" s="288" t="s">
        <v>595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602</v>
      </c>
      <c r="V3" s="3" t="s">
        <v>603</v>
      </c>
    </row>
    <row r="4" spans="2:22" x14ac:dyDescent="0.2">
      <c r="B4" s="3"/>
      <c r="C4" s="169" t="s">
        <v>574</v>
      </c>
      <c r="D4" s="13" t="s">
        <v>592</v>
      </c>
      <c r="E4" s="13" t="s">
        <v>63</v>
      </c>
      <c r="F4" s="13" t="s">
        <v>343</v>
      </c>
      <c r="G4" s="13" t="s">
        <v>592</v>
      </c>
      <c r="H4" s="13" t="s">
        <v>98</v>
      </c>
      <c r="I4" s="13" t="s">
        <v>592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574</v>
      </c>
      <c r="U4" s="13" t="s">
        <v>58</v>
      </c>
      <c r="V4" s="13" t="s">
        <v>58</v>
      </c>
    </row>
    <row r="5" spans="2:22" ht="15" customHeight="1" x14ac:dyDescent="0.2">
      <c r="B5" s="327" t="s">
        <v>568</v>
      </c>
      <c r="C5" s="3" t="s">
        <v>573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573</v>
      </c>
      <c r="U5" s="3">
        <f>K5</f>
        <v>-9.8484726160779719</v>
      </c>
      <c r="V5">
        <f>K15</f>
        <v>880.83108552905367</v>
      </c>
    </row>
    <row r="6" spans="2:22" ht="18" x14ac:dyDescent="0.25">
      <c r="B6" s="327"/>
      <c r="C6" s="3"/>
      <c r="D6" s="3" t="s">
        <v>54</v>
      </c>
      <c r="E6" s="1" t="s">
        <v>578</v>
      </c>
      <c r="F6" s="1" t="s">
        <v>579</v>
      </c>
      <c r="G6" s="1" t="s">
        <v>580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576</v>
      </c>
      <c r="U6" s="3">
        <f>H8</f>
        <v>831.8</v>
      </c>
      <c r="V6" s="3">
        <f>H18</f>
        <v>831.8</v>
      </c>
    </row>
    <row r="7" spans="2:22" ht="16" x14ac:dyDescent="0.2">
      <c r="B7" s="327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575</v>
      </c>
      <c r="U7" s="3">
        <f>Q11</f>
        <v>-293.51452993154498</v>
      </c>
      <c r="V7">
        <f>P21</f>
        <v>-2123.0450060933322</v>
      </c>
    </row>
    <row r="8" spans="2:22" x14ac:dyDescent="0.2">
      <c r="B8" s="327"/>
      <c r="C8" s="3" t="s">
        <v>576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7"/>
      <c r="C9" s="3"/>
      <c r="D9" s="3" t="s">
        <v>40</v>
      </c>
      <c r="E9" s="3" t="s">
        <v>570</v>
      </c>
      <c r="F9" s="3" t="s">
        <v>571</v>
      </c>
      <c r="G9" s="288" t="s">
        <v>582</v>
      </c>
      <c r="H9" s="288" t="s">
        <v>583</v>
      </c>
      <c r="I9" s="3" t="s">
        <v>584</v>
      </c>
      <c r="J9" s="288" t="s">
        <v>585</v>
      </c>
      <c r="K9" s="288" t="s">
        <v>586</v>
      </c>
      <c r="L9" s="288" t="s">
        <v>101</v>
      </c>
      <c r="M9" s="288" t="s">
        <v>587</v>
      </c>
      <c r="N9" s="288" t="s">
        <v>588</v>
      </c>
      <c r="O9" s="3" t="s">
        <v>54</v>
      </c>
      <c r="P9" s="288" t="s">
        <v>589</v>
      </c>
      <c r="Q9" s="288" t="s">
        <v>34</v>
      </c>
    </row>
    <row r="10" spans="2:22" ht="17" x14ac:dyDescent="0.25">
      <c r="B10" s="327"/>
      <c r="C10" s="3"/>
      <c r="D10" s="13" t="s">
        <v>604</v>
      </c>
      <c r="E10" s="13" t="s">
        <v>240</v>
      </c>
      <c r="F10" s="13" t="s">
        <v>240</v>
      </c>
      <c r="G10" s="13" t="s">
        <v>478</v>
      </c>
      <c r="H10" s="13" t="s">
        <v>478</v>
      </c>
      <c r="I10" s="13" t="s">
        <v>240</v>
      </c>
      <c r="J10" s="13" t="s">
        <v>478</v>
      </c>
      <c r="K10" s="13" t="s">
        <v>479</v>
      </c>
      <c r="L10" s="13" t="s">
        <v>479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602</v>
      </c>
      <c r="V10" s="3" t="s">
        <v>603</v>
      </c>
    </row>
    <row r="11" spans="2:22" x14ac:dyDescent="0.2">
      <c r="B11" s="327"/>
      <c r="C11" s="3" t="s">
        <v>575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574</v>
      </c>
      <c r="U11" s="13" t="s">
        <v>58</v>
      </c>
      <c r="V11" s="13" t="s">
        <v>58</v>
      </c>
    </row>
    <row r="12" spans="2:22" x14ac:dyDescent="0.2">
      <c r="S12" s="328" t="s">
        <v>605</v>
      </c>
      <c r="T12" s="13" t="s">
        <v>573</v>
      </c>
      <c r="U12" s="236" t="s">
        <v>459</v>
      </c>
      <c r="V12" s="236">
        <v>880.83</v>
      </c>
    </row>
    <row r="13" spans="2:22" x14ac:dyDescent="0.2">
      <c r="B13" s="236"/>
      <c r="C13" s="236"/>
      <c r="D13" s="236" t="s">
        <v>572</v>
      </c>
      <c r="E13" s="236" t="s">
        <v>570</v>
      </c>
      <c r="F13" s="236" t="s">
        <v>571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8"/>
      <c r="T13" s="13" t="s">
        <v>576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577</v>
      </c>
      <c r="H14" s="290" t="s">
        <v>577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8"/>
      <c r="T14" s="13" t="s">
        <v>575</v>
      </c>
      <c r="U14" s="236">
        <v>869.44899999999996</v>
      </c>
      <c r="V14" s="236">
        <v>858.81600000000003</v>
      </c>
    </row>
    <row r="15" spans="2:22" x14ac:dyDescent="0.2">
      <c r="B15" s="327" t="s">
        <v>569</v>
      </c>
      <c r="C15" s="236" t="s">
        <v>573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7"/>
      <c r="C16" s="236"/>
      <c r="D16" s="236" t="s">
        <v>54</v>
      </c>
      <c r="E16" s="291" t="s">
        <v>578</v>
      </c>
      <c r="F16" s="291" t="s">
        <v>579</v>
      </c>
      <c r="G16" s="291" t="s">
        <v>580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7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7"/>
      <c r="C18" s="236" t="s">
        <v>576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7"/>
      <c r="C19" s="236"/>
      <c r="D19" s="236" t="s">
        <v>477</v>
      </c>
      <c r="E19" s="236" t="s">
        <v>477</v>
      </c>
      <c r="F19" s="293" t="s">
        <v>597</v>
      </c>
      <c r="G19" s="293" t="s">
        <v>598</v>
      </c>
      <c r="H19" s="293" t="s">
        <v>585</v>
      </c>
      <c r="I19" s="293" t="s">
        <v>595</v>
      </c>
      <c r="J19" s="293" t="s">
        <v>595</v>
      </c>
      <c r="K19" s="236" t="s">
        <v>40</v>
      </c>
      <c r="L19" s="293" t="s">
        <v>587</v>
      </c>
      <c r="M19" s="293" t="s">
        <v>588</v>
      </c>
      <c r="N19" s="293" t="s">
        <v>599</v>
      </c>
      <c r="O19" s="293" t="s">
        <v>600</v>
      </c>
      <c r="P19" s="293" t="s">
        <v>34</v>
      </c>
    </row>
    <row r="20" spans="2:16" x14ac:dyDescent="0.2">
      <c r="B20" s="327"/>
      <c r="C20" s="236"/>
      <c r="D20" s="290" t="s">
        <v>478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479</v>
      </c>
      <c r="J20" s="290" t="s">
        <v>596</v>
      </c>
      <c r="K20" s="290" t="s">
        <v>581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7"/>
      <c r="C21" s="236" t="s">
        <v>575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547</v>
      </c>
    </row>
    <row r="33" spans="3:3" x14ac:dyDescent="0.2">
      <c r="C33" s="3" t="s">
        <v>548</v>
      </c>
    </row>
    <row r="34" spans="3:3" x14ac:dyDescent="0.2">
      <c r="C34" s="3" t="s">
        <v>532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25" zoomScale="138" zoomScaleNormal="83" workbookViewId="0">
      <selection activeCell="B51" sqref="B51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24" t="s">
        <v>125</v>
      </c>
      <c r="P10" s="324"/>
      <c r="Q10" s="324"/>
      <c r="R10" s="324"/>
      <c r="S10" s="324"/>
      <c r="T10" s="324"/>
      <c r="U10" s="324"/>
      <c r="V10" s="324" t="s">
        <v>125</v>
      </c>
      <c r="W10" s="324"/>
      <c r="X10" s="324"/>
      <c r="Y10" s="324"/>
      <c r="Z10" s="324"/>
      <c r="AA10" s="324"/>
      <c r="AB10" s="324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24" t="s">
        <v>305</v>
      </c>
      <c r="P11" s="324"/>
      <c r="Q11" s="324"/>
      <c r="R11" s="322"/>
      <c r="S11" s="323"/>
      <c r="T11" s="342" t="s">
        <v>304</v>
      </c>
      <c r="U11" s="332"/>
      <c r="V11" s="324" t="str">
        <f>_xlfn.CONCAT(E19," ",C19," ","+"," ",E21," ",C21," ","--&gt;"," ",E22," ",C22," ","+"," ",E20*E21," ",C20)</f>
        <v>1.5 C + 1.5 O2 --&gt; 1.5 CO2 + 5.64 N2</v>
      </c>
      <c r="W11" s="324"/>
      <c r="X11" s="324"/>
      <c r="Y11" s="324"/>
      <c r="Z11" s="324"/>
      <c r="AA11" s="324"/>
      <c r="AB11" s="324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24" t="s">
        <v>225</v>
      </c>
      <c r="P12" s="324"/>
      <c r="Q12" s="324"/>
      <c r="R12" s="322"/>
      <c r="S12" s="323"/>
      <c r="T12" s="324" t="s">
        <v>224</v>
      </c>
      <c r="U12" s="324"/>
      <c r="V12" s="324" t="str">
        <f>_xlfn.CONCAT(E25," ",C25," ","+"," ",E26," ",C26," ","--&gt;"," ",E27," ",C27)</f>
        <v>1.5 CO2 + 1.5 C --&gt; 3 CO</v>
      </c>
      <c r="W12" s="324"/>
      <c r="X12" s="324"/>
      <c r="Y12" s="324"/>
      <c r="Z12" s="324"/>
      <c r="AA12" s="324"/>
      <c r="AB12" s="324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24" t="s">
        <v>226</v>
      </c>
      <c r="P13" s="324"/>
      <c r="Q13" s="324"/>
      <c r="R13" s="322"/>
      <c r="S13" s="323"/>
      <c r="T13" s="342" t="s">
        <v>227</v>
      </c>
      <c r="U13" s="332"/>
      <c r="V13" s="324" t="str">
        <f>_xlfn.CONCAT(E29," ",C29," ","+"," ",E30," ",C30," ","--&gt;"," ",E31," ",C31," ","+"," ",E32," ",C32)</f>
        <v>1 Fe2O3 + 3 CO --&gt; 2 Fe + 3 CO2</v>
      </c>
      <c r="W13" s="324"/>
      <c r="X13" s="324"/>
      <c r="Y13" s="324"/>
      <c r="Z13" s="324"/>
      <c r="AA13" s="324"/>
      <c r="AB13" s="324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24"/>
      <c r="P14" s="324"/>
      <c r="Q14" s="324"/>
      <c r="R14" s="322"/>
      <c r="S14" s="323"/>
      <c r="T14" s="324"/>
      <c r="U14" s="324"/>
      <c r="V14" s="324" t="str">
        <f>_xlfn.CONCAT(E36," ",C36," ","--&gt;"," ",E37," ",C37," ","+"," ",E39," ",C39)</f>
        <v>1 CaCO3 --&gt; 1 CaO + 0.0624775822865075 MgO</v>
      </c>
      <c r="W14" s="324"/>
      <c r="X14" s="324"/>
      <c r="Y14" s="324"/>
      <c r="Z14" s="324"/>
      <c r="AA14" s="324"/>
      <c r="AB14" s="324"/>
    </row>
    <row r="15" spans="1:28" ht="17" x14ac:dyDescent="0.25">
      <c r="O15" s="324" t="s">
        <v>228</v>
      </c>
      <c r="P15" s="324"/>
      <c r="Q15" s="324"/>
      <c r="R15" s="322"/>
      <c r="S15" s="323"/>
      <c r="T15" s="324" t="s">
        <v>229</v>
      </c>
      <c r="U15" s="324"/>
      <c r="V15" s="324" t="str">
        <f>_xlfn.CONCAT(E41," ",C41," ","+"," ",E42," ",C42," ","--&gt;"," ",E43," ",C43)</f>
        <v>1 CaO + 1 SiO2 --&gt; 1 CaSiO3</v>
      </c>
      <c r="W15" s="324"/>
      <c r="X15" s="324"/>
      <c r="Y15" s="324"/>
      <c r="Z15" s="324"/>
      <c r="AA15" s="324"/>
      <c r="AB15" s="324"/>
    </row>
    <row r="16" spans="1:28" x14ac:dyDescent="0.2">
      <c r="L16" s="77" t="s">
        <v>403</v>
      </c>
      <c r="M16" s="83" t="s">
        <v>404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24" t="s">
        <v>331</v>
      </c>
      <c r="P17" s="324"/>
      <c r="Q17" s="324"/>
      <c r="R17" s="324"/>
      <c r="S17" s="324"/>
      <c r="T17" s="324"/>
      <c r="U17" s="324"/>
      <c r="V17" s="324" t="s">
        <v>125</v>
      </c>
      <c r="W17" s="324"/>
      <c r="X17" s="324"/>
      <c r="Y17" s="324"/>
      <c r="Z17" s="324"/>
      <c r="AA17" s="324"/>
      <c r="AB17" s="324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24" t="s">
        <v>332</v>
      </c>
      <c r="P18" s="324"/>
      <c r="Q18" s="324"/>
      <c r="R18" s="324"/>
      <c r="S18" s="324"/>
      <c r="T18" s="324" t="s">
        <v>333</v>
      </c>
      <c r="U18" s="322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" x14ac:dyDescent="0.2">
      <c r="B19" s="343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x14ac:dyDescent="0.25">
      <c r="A20" s="1"/>
      <c r="B20" s="344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6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7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8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8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8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9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50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52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53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8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4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43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8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8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6" t="s">
        <v>19</v>
      </c>
      <c r="C44" s="32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6" t="s">
        <v>348</v>
      </c>
      <c r="D47" s="336"/>
      <c r="E47" s="336"/>
      <c r="F47" s="336"/>
    </row>
    <row r="48" spans="2:23" x14ac:dyDescent="0.2">
      <c r="C48" s="354"/>
      <c r="D48" s="354"/>
      <c r="E48" s="354"/>
      <c r="F48" s="354"/>
      <c r="H48" s="324" t="s">
        <v>70</v>
      </c>
      <c r="I48" s="324"/>
      <c r="J48" s="324"/>
      <c r="K48" s="324"/>
      <c r="L48" s="324"/>
      <c r="M48" s="324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24" t="s">
        <v>74</v>
      </c>
      <c r="I49" s="324"/>
      <c r="J49" s="324"/>
      <c r="K49" s="13"/>
      <c r="L49" s="342" t="s">
        <v>355</v>
      </c>
      <c r="M49" s="332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51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51"/>
      <c r="J51" s="351"/>
      <c r="K51" s="351"/>
      <c r="L51" s="351"/>
      <c r="M51" s="351"/>
    </row>
    <row r="52" spans="1:17" ht="16.25" customHeight="1" x14ac:dyDescent="0.2">
      <c r="C52" s="7"/>
      <c r="H52" s="351"/>
      <c r="I52" s="351"/>
      <c r="J52" s="351"/>
      <c r="K52" s="351"/>
      <c r="L52" s="351"/>
      <c r="M52" s="351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55" t="s">
        <v>627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34" t="s">
        <v>628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9"/>
      <c r="K60" s="297" t="s">
        <v>626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34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9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9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6" t="s">
        <v>372</v>
      </c>
      <c r="C69" s="336"/>
      <c r="D69" s="336"/>
      <c r="E69" s="336"/>
      <c r="F69" s="336"/>
      <c r="G69" s="336"/>
      <c r="Y69" s="335" t="s">
        <v>640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7"/>
      <c r="C70" s="337"/>
      <c r="D70" s="337"/>
      <c r="E70" s="337"/>
      <c r="F70" s="337"/>
      <c r="G70" s="337"/>
      <c r="K70" s="3" t="s">
        <v>650</v>
      </c>
      <c r="Y70" s="335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374</v>
      </c>
      <c r="G71" s="13" t="s">
        <v>374</v>
      </c>
      <c r="Y71" s="335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648</v>
      </c>
      <c r="G72" s="13" t="s">
        <v>649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646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647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679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651</v>
      </c>
      <c r="F78" s="13">
        <v>1415</v>
      </c>
      <c r="G78" s="13">
        <f>(G74*F78)/F74</f>
        <v>23.982067525572877</v>
      </c>
      <c r="H78" s="325"/>
      <c r="I78" s="325"/>
      <c r="J78" s="325"/>
      <c r="K78" s="325"/>
      <c r="L78" s="325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698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689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663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657</v>
      </c>
      <c r="M88" s="132" t="s">
        <v>387</v>
      </c>
      <c r="N88" s="132" t="s">
        <v>465</v>
      </c>
      <c r="X88" s="339" t="s">
        <v>631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33" t="s">
        <v>684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9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33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9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33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680</v>
      </c>
      <c r="M91" s="19" t="s">
        <v>681</v>
      </c>
      <c r="N91" s="3" t="s">
        <v>691</v>
      </c>
      <c r="X91" s="339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33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33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686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700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392</v>
      </c>
      <c r="X95" s="315"/>
      <c r="AG95" s="132"/>
    </row>
    <row r="96" spans="1:38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656</v>
      </c>
      <c r="M96" s="3" t="s">
        <v>657</v>
      </c>
      <c r="N96" s="132" t="s">
        <v>387</v>
      </c>
      <c r="O96" s="132" t="s">
        <v>389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 x14ac:dyDescent="0.2">
      <c r="A98" s="334" t="s">
        <v>629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34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680</v>
      </c>
      <c r="M99" s="19" t="s">
        <v>378</v>
      </c>
      <c r="N99" s="1"/>
      <c r="Y99" s="24"/>
    </row>
    <row r="100" spans="1:38" ht="16" x14ac:dyDescent="0.2">
      <c r="A100" s="334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34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685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613</v>
      </c>
      <c r="N101" s="6"/>
      <c r="Y101" s="298" t="s">
        <v>439</v>
      </c>
      <c r="AG101" s="169" t="s">
        <v>690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8" t="s">
        <v>630</v>
      </c>
      <c r="I103" s="338"/>
      <c r="J103" s="338"/>
      <c r="K103" s="338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661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662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664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665</v>
      </c>
      <c r="B107" s="13" t="s">
        <v>652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33" t="s">
        <v>683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668</v>
      </c>
      <c r="B108" s="13" t="s">
        <v>653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33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669</v>
      </c>
      <c r="B109" s="13" t="s">
        <v>654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33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667</v>
      </c>
      <c r="B110" s="13" t="s">
        <v>666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33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670</v>
      </c>
      <c r="B111" s="13" t="s">
        <v>673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33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671</v>
      </c>
      <c r="B112" s="13" t="s">
        <v>675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33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672</v>
      </c>
      <c r="B113" s="61" t="s">
        <v>676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655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677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5" t="s">
        <v>687</v>
      </c>
      <c r="E143" s="325"/>
      <c r="F143" s="325"/>
      <c r="G143" s="325"/>
      <c r="H143" s="325"/>
      <c r="I143" s="325"/>
      <c r="J143" s="325"/>
      <c r="K143" s="325"/>
      <c r="L143" s="325"/>
      <c r="M143" s="325"/>
      <c r="N143" s="325"/>
      <c r="O143" s="325"/>
      <c r="P143" s="325"/>
      <c r="Q143" s="325"/>
      <c r="R143" s="325"/>
      <c r="S143" s="325"/>
    </row>
    <row r="155" spans="1:30" x14ac:dyDescent="0.2">
      <c r="D155" s="3" t="s">
        <v>688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40" t="s">
        <v>632</v>
      </c>
      <c r="D158" s="340"/>
      <c r="E158" s="340"/>
      <c r="F158" s="340"/>
      <c r="G158" s="340"/>
    </row>
    <row r="159" spans="1:30" x14ac:dyDescent="0.2">
      <c r="B159" s="169" t="s">
        <v>439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4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399</v>
      </c>
    </row>
    <row r="162" spans="2:14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</row>
    <row r="163" spans="2:14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</row>
    <row r="164" spans="2:14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</row>
    <row r="165" spans="2:14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K165" s="317" t="s">
        <v>692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</row>
    <row r="166" spans="2:14" ht="18" x14ac:dyDescent="0.25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</row>
    <row r="167" spans="2:14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</row>
    <row r="169" spans="2:14" x14ac:dyDescent="0.2">
      <c r="B169" s="169" t="s">
        <v>113</v>
      </c>
    </row>
    <row r="170" spans="2:14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I170" s="3" t="s">
        <v>113</v>
      </c>
      <c r="J170" s="3" t="s">
        <v>114</v>
      </c>
    </row>
    <row r="171" spans="2:14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4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4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4" x14ac:dyDescent="0.2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4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4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694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399</v>
      </c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399</v>
      </c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</row>
    <row r="190" spans="2:21" ht="17" x14ac:dyDescent="0.25">
      <c r="B190" s="319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30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K191" s="3" t="s">
        <v>696</v>
      </c>
      <c r="L191" s="320" t="s">
        <v>695</v>
      </c>
      <c r="M191" s="321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30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L192" s="317" t="s">
        <v>692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</row>
    <row r="193" spans="2:101" ht="18" x14ac:dyDescent="0.25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3">
        <f>(F193/2)+F199</f>
        <v>1002.4673483864684</v>
      </c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5"/>
    </row>
    <row r="202" spans="2:101" x14ac:dyDescent="0.2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5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5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5"/>
    </row>
    <row r="205" spans="2:101" x14ac:dyDescent="0.2">
      <c r="CJ205" s="325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5"/>
    </row>
    <row r="208" spans="2:101" ht="18" x14ac:dyDescent="0.25">
      <c r="B208" s="329" t="s">
        <v>473</v>
      </c>
      <c r="C208" s="329"/>
      <c r="D208" s="329"/>
      <c r="E208" s="329"/>
      <c r="G208" s="20" t="s">
        <v>67</v>
      </c>
      <c r="H208" s="233" t="s">
        <v>24</v>
      </c>
      <c r="J208" s="324" t="s">
        <v>70</v>
      </c>
      <c r="K208" s="324"/>
      <c r="L208" s="324"/>
      <c r="M208" s="324"/>
      <c r="N208" s="324"/>
      <c r="O208" s="324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24" t="s">
        <v>475</v>
      </c>
      <c r="K209" s="324"/>
      <c r="L209" s="324"/>
      <c r="M209" s="13"/>
      <c r="N209" s="331" t="s">
        <v>75</v>
      </c>
      <c r="O209" s="332"/>
    </row>
    <row r="210" spans="2:88" x14ac:dyDescent="0.2">
      <c r="B210" s="329"/>
      <c r="C210" s="329"/>
      <c r="D210" s="329"/>
      <c r="E210" s="329"/>
      <c r="J210" s="324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4"/>
      <c r="L210" s="324"/>
      <c r="M210" s="324"/>
      <c r="N210" s="324"/>
      <c r="O210" s="324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5" t="s">
        <v>633</v>
      </c>
      <c r="C211" s="325"/>
      <c r="D211" s="325"/>
      <c r="E211" s="325"/>
    </row>
    <row r="213" spans="2:88" ht="17" x14ac:dyDescent="0.25">
      <c r="C213" s="3" t="s">
        <v>1</v>
      </c>
      <c r="D213" s="3" t="s">
        <v>5</v>
      </c>
      <c r="E213" s="198" t="s">
        <v>399</v>
      </c>
      <c r="H213" s="169" t="s">
        <v>380</v>
      </c>
      <c r="I213" s="3" t="s">
        <v>1</v>
      </c>
      <c r="J213" s="3" t="s">
        <v>5</v>
      </c>
      <c r="K213" s="198" t="s">
        <v>399</v>
      </c>
    </row>
    <row r="214" spans="2:88" ht="18" x14ac:dyDescent="0.25">
      <c r="B214" s="169" t="s">
        <v>474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470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5"/>
      <c r="BL216" s="325"/>
      <c r="BM216" s="325"/>
      <c r="BN216" s="325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5"/>
      <c r="BL217" s="325"/>
      <c r="BM217" s="325"/>
      <c r="BN217" s="325"/>
      <c r="CJ217" s="325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5"/>
      <c r="BQ218" s="3" t="e">
        <f>BS218*BT218</f>
        <v>#DIV/0!</v>
      </c>
      <c r="BT218" s="3" t="e">
        <f>O2_Naturalgas_molcoeff*BT230</f>
        <v>#DIV/0!</v>
      </c>
      <c r="CJ218" s="325"/>
    </row>
    <row r="219" spans="2:88" x14ac:dyDescent="0.2">
      <c r="BO219" s="325"/>
      <c r="BQ219" s="3">
        <f>N2_for_coke_oven_comb</f>
        <v>0</v>
      </c>
      <c r="CJ219" s="325"/>
    </row>
    <row r="220" spans="2:88" x14ac:dyDescent="0.2">
      <c r="CJ220" s="325"/>
    </row>
    <row r="221" spans="2:88" x14ac:dyDescent="0.2">
      <c r="J221" s="132" t="s">
        <v>616</v>
      </c>
      <c r="K221" s="132" t="s">
        <v>619</v>
      </c>
      <c r="L221" s="3" t="s">
        <v>383</v>
      </c>
      <c r="M221" s="3" t="s">
        <v>40</v>
      </c>
      <c r="N221" s="4" t="s">
        <v>35</v>
      </c>
      <c r="O221" s="132" t="s">
        <v>617</v>
      </c>
      <c r="P221" s="132" t="s">
        <v>618</v>
      </c>
      <c r="CJ221" s="325"/>
    </row>
    <row r="222" spans="2:88" x14ac:dyDescent="0.2">
      <c r="C222" s="3" t="s">
        <v>615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470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620</v>
      </c>
    </row>
    <row r="228" spans="2:94" x14ac:dyDescent="0.2">
      <c r="C228" s="3" t="s">
        <v>563</v>
      </c>
      <c r="N228" s="3" t="s">
        <v>621</v>
      </c>
      <c r="BI228"/>
      <c r="BJ228"/>
      <c r="BK228" s="325" t="s">
        <v>457</v>
      </c>
      <c r="BL228" s="325"/>
      <c r="BM228" s="325"/>
      <c r="BN228" s="325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5"/>
      <c r="BL229" s="325"/>
      <c r="BM229" s="325"/>
      <c r="BN229" s="325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470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483</v>
      </c>
      <c r="C233" s="329"/>
      <c r="D233" s="329"/>
      <c r="E233" s="329"/>
      <c r="J233" s="324" t="s">
        <v>70</v>
      </c>
      <c r="K233" s="324"/>
      <c r="L233" s="324"/>
      <c r="M233" s="324"/>
      <c r="N233" s="324"/>
      <c r="O233" s="324"/>
    </row>
    <row r="234" spans="2:94" ht="22" customHeight="1" x14ac:dyDescent="0.25">
      <c r="B234" s="329"/>
      <c r="C234" s="329"/>
      <c r="D234" s="329"/>
      <c r="E234" s="329"/>
      <c r="J234" s="324" t="s">
        <v>485</v>
      </c>
      <c r="K234" s="324"/>
      <c r="L234" s="324"/>
      <c r="M234" s="13"/>
      <c r="N234" s="331" t="s">
        <v>75</v>
      </c>
      <c r="O234" s="332"/>
      <c r="CJ234" s="325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24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4"/>
      <c r="L235" s="324"/>
      <c r="M235" s="324"/>
      <c r="N235" s="324"/>
      <c r="O235" s="324"/>
      <c r="CJ235" s="325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5" t="s">
        <v>633</v>
      </c>
      <c r="C236" s="325"/>
      <c r="D236" s="325"/>
      <c r="E236" s="325"/>
      <c r="CJ236" s="325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399</v>
      </c>
      <c r="H238" s="169" t="s">
        <v>380</v>
      </c>
      <c r="I238" s="3" t="s">
        <v>1</v>
      </c>
      <c r="J238" s="3" t="s">
        <v>5</v>
      </c>
      <c r="K238" s="198" t="s">
        <v>399</v>
      </c>
    </row>
    <row r="239" spans="2:94" ht="18" x14ac:dyDescent="0.25">
      <c r="B239" s="169" t="s">
        <v>484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469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616</v>
      </c>
      <c r="C245" s="132" t="s">
        <v>619</v>
      </c>
      <c r="D245" s="3" t="s">
        <v>383</v>
      </c>
      <c r="E245" s="3" t="s">
        <v>40</v>
      </c>
      <c r="F245" s="4" t="s">
        <v>35</v>
      </c>
      <c r="G245" s="132" t="s">
        <v>617</v>
      </c>
      <c r="H245" s="132" t="s">
        <v>622</v>
      </c>
    </row>
    <row r="246" spans="2:88" x14ac:dyDescent="0.2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488</v>
      </c>
      <c r="C250" s="329"/>
      <c r="D250" s="329"/>
      <c r="E250" s="329"/>
      <c r="J250" s="324" t="s">
        <v>70</v>
      </c>
      <c r="K250" s="324"/>
      <c r="L250" s="324"/>
      <c r="M250" s="324"/>
      <c r="N250" s="324"/>
      <c r="O250" s="324"/>
      <c r="CJ250" s="325"/>
    </row>
    <row r="251" spans="2:88" ht="18" x14ac:dyDescent="0.25">
      <c r="B251" s="329"/>
      <c r="C251" s="329"/>
      <c r="D251" s="329"/>
      <c r="E251" s="329"/>
      <c r="J251" s="324" t="s">
        <v>490</v>
      </c>
      <c r="K251" s="324"/>
      <c r="L251" s="324"/>
      <c r="M251" s="13"/>
      <c r="N251" s="331" t="s">
        <v>75</v>
      </c>
      <c r="O251" s="332"/>
      <c r="CJ251" s="325"/>
    </row>
    <row r="252" spans="2:88" x14ac:dyDescent="0.2">
      <c r="B252" s="329"/>
      <c r="C252" s="329"/>
      <c r="D252" s="329"/>
      <c r="E252" s="329"/>
      <c r="J252" s="324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4"/>
      <c r="L252" s="324"/>
      <c r="M252" s="324"/>
      <c r="N252" s="324"/>
      <c r="O252" s="324"/>
      <c r="CJ252" s="325"/>
    </row>
    <row r="253" spans="2:88" x14ac:dyDescent="0.2">
      <c r="B253" s="325" t="s">
        <v>633</v>
      </c>
      <c r="C253" s="325"/>
      <c r="D253" s="325"/>
      <c r="E253" s="325"/>
      <c r="CJ253" s="325"/>
    </row>
    <row r="254" spans="2:88" x14ac:dyDescent="0.2">
      <c r="CJ254" s="325"/>
    </row>
    <row r="255" spans="2:88" ht="17" x14ac:dyDescent="0.25">
      <c r="C255" s="3" t="s">
        <v>1</v>
      </c>
      <c r="D255" s="3" t="s">
        <v>5</v>
      </c>
      <c r="E255" s="198" t="s">
        <v>399</v>
      </c>
      <c r="H255" s="169" t="s">
        <v>380</v>
      </c>
      <c r="I255" s="3" t="s">
        <v>1</v>
      </c>
      <c r="J255" s="3" t="s">
        <v>5</v>
      </c>
      <c r="K255" s="198" t="s">
        <v>399</v>
      </c>
      <c r="CJ255" s="325"/>
    </row>
    <row r="256" spans="2:88" ht="18" x14ac:dyDescent="0.25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5"/>
    </row>
    <row r="257" spans="2:88" ht="18" x14ac:dyDescent="0.25">
      <c r="B257" s="61" t="s">
        <v>486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5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5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5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5"/>
    </row>
    <row r="262" spans="2:88" x14ac:dyDescent="0.2">
      <c r="B262" s="132" t="s">
        <v>616</v>
      </c>
      <c r="C262" s="132" t="s">
        <v>619</v>
      </c>
      <c r="D262" s="3" t="s">
        <v>383</v>
      </c>
      <c r="E262" s="3" t="s">
        <v>40</v>
      </c>
      <c r="F262" s="4" t="s">
        <v>35</v>
      </c>
      <c r="G262" s="132" t="s">
        <v>617</v>
      </c>
      <c r="H262" s="132" t="s">
        <v>623</v>
      </c>
    </row>
    <row r="263" spans="2:88" x14ac:dyDescent="0.2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487</v>
      </c>
      <c r="C266" s="329"/>
      <c r="D266" s="329"/>
      <c r="E266" s="329"/>
      <c r="J266" s="324" t="s">
        <v>70</v>
      </c>
      <c r="K266" s="324"/>
      <c r="L266" s="324"/>
      <c r="M266" s="324"/>
      <c r="N266" s="324"/>
      <c r="O266" s="324"/>
    </row>
    <row r="267" spans="2:88" ht="18" x14ac:dyDescent="0.25">
      <c r="B267" s="329"/>
      <c r="C267" s="329"/>
      <c r="D267" s="329"/>
      <c r="E267" s="329"/>
      <c r="J267" s="324" t="s">
        <v>74</v>
      </c>
      <c r="K267" s="324"/>
      <c r="L267" s="324"/>
      <c r="M267" s="13"/>
      <c r="N267" s="331" t="s">
        <v>75</v>
      </c>
      <c r="O267" s="332"/>
    </row>
    <row r="268" spans="2:88" x14ac:dyDescent="0.2">
      <c r="B268" s="329"/>
      <c r="C268" s="329"/>
      <c r="D268" s="329"/>
      <c r="E268" s="329"/>
      <c r="J268" s="324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4"/>
      <c r="L268" s="324"/>
      <c r="M268" s="324"/>
      <c r="N268" s="324"/>
      <c r="O268" s="324"/>
    </row>
    <row r="269" spans="2:88" x14ac:dyDescent="0.2">
      <c r="B269" s="325" t="s">
        <v>633</v>
      </c>
      <c r="C269" s="325"/>
      <c r="D269" s="325"/>
      <c r="E269" s="325"/>
    </row>
    <row r="271" spans="2:88" ht="17" x14ac:dyDescent="0.25">
      <c r="C271" s="3" t="s">
        <v>1</v>
      </c>
      <c r="D271" s="3" t="s">
        <v>5</v>
      </c>
      <c r="E271" s="198" t="s">
        <v>399</v>
      </c>
      <c r="H271" s="169" t="s">
        <v>380</v>
      </c>
      <c r="I271" s="3" t="s">
        <v>1</v>
      </c>
      <c r="J271" s="3" t="s">
        <v>5</v>
      </c>
      <c r="K271" s="198" t="s">
        <v>399</v>
      </c>
    </row>
    <row r="272" spans="2:88" ht="18" x14ac:dyDescent="0.25">
      <c r="B272" s="169" t="s">
        <v>489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567</v>
      </c>
      <c r="H278" s="3" t="s">
        <v>567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565</v>
      </c>
      <c r="C283" s="3">
        <f>C280/C281</f>
        <v>0.33567230039130802</v>
      </c>
    </row>
    <row r="284" spans="2:13" x14ac:dyDescent="0.2">
      <c r="B284" s="3" t="s">
        <v>566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display="https://www.ispatguru.com/coke-oven-gas-generation-and-usage/ 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BD1" zoomScale="137" zoomScaleNormal="120" workbookViewId="0">
      <selection activeCell="DB225" sqref="DB225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8" t="s">
        <v>361</v>
      </c>
      <c r="Q23" s="388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9"/>
      <c r="Q24" s="389"/>
    </row>
    <row r="25" spans="14:66" ht="16" x14ac:dyDescent="0.2">
      <c r="P25" s="358" t="s">
        <v>341</v>
      </c>
      <c r="Q25" s="138" t="s">
        <v>314</v>
      </c>
      <c r="AO25" s="368" t="s">
        <v>427</v>
      </c>
      <c r="AP25" s="368"/>
      <c r="AQ25" s="368"/>
      <c r="AR25" s="368"/>
      <c r="AS25" s="368"/>
      <c r="AT25" s="368"/>
      <c r="AU25" s="368"/>
      <c r="BH25" s="368" t="s">
        <v>431</v>
      </c>
      <c r="BI25" s="368"/>
      <c r="BJ25" s="368"/>
      <c r="BK25" s="368"/>
      <c r="BL25" s="368"/>
      <c r="BM25" s="368"/>
      <c r="BN25" s="368"/>
    </row>
    <row r="26" spans="14:66" x14ac:dyDescent="0.2">
      <c r="P26" s="359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611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6" t="s">
        <v>412</v>
      </c>
      <c r="F42" s="376"/>
      <c r="G42" s="376"/>
      <c r="H42" s="376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6" t="s">
        <v>405</v>
      </c>
      <c r="X42" s="386"/>
      <c r="Y42" s="386"/>
      <c r="Z42" s="386"/>
      <c r="AA42" s="386"/>
      <c r="AB42" s="4"/>
      <c r="AC42" s="4"/>
      <c r="AD42" s="4"/>
      <c r="AE42" s="4"/>
      <c r="AF42" s="4"/>
      <c r="AG42" s="4"/>
      <c r="AH42" s="4"/>
      <c r="AI42" s="97"/>
      <c r="AJ42" s="4" t="s">
        <v>526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6" t="s">
        <v>540</v>
      </c>
      <c r="AQ42" s="386"/>
      <c r="AR42" s="386"/>
      <c r="AS42" s="386"/>
      <c r="AT42" s="386"/>
      <c r="AV42" s="4"/>
      <c r="AW42" s="4"/>
      <c r="AX42" s="4"/>
      <c r="AY42" s="4"/>
      <c r="AZ42" s="4"/>
      <c r="BA42" s="4"/>
      <c r="BB42" s="4"/>
      <c r="BC42" s="4" t="s">
        <v>525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6" t="s">
        <v>432</v>
      </c>
      <c r="BJ42" s="386"/>
      <c r="BK42" s="386"/>
      <c r="BL42" s="386"/>
      <c r="BM42" s="386"/>
      <c r="BV42" s="3" t="s">
        <v>523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6"/>
      <c r="F43" s="376"/>
      <c r="G43" s="376"/>
      <c r="H43" s="376"/>
      <c r="J43" s="4"/>
      <c r="K43" s="4"/>
      <c r="L43" s="4"/>
      <c r="M43" s="4"/>
      <c r="N43" s="4"/>
      <c r="O43" s="4"/>
      <c r="P43" s="4"/>
      <c r="Q43" s="4"/>
      <c r="R43" s="4"/>
      <c r="S43" s="4"/>
      <c r="W43" s="387"/>
      <c r="X43" s="387"/>
      <c r="Y43" s="387"/>
      <c r="Z43" s="387"/>
      <c r="AA43" s="387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6"/>
      <c r="AQ43" s="386"/>
      <c r="AR43" s="386"/>
      <c r="AS43" s="386"/>
      <c r="AT43" s="38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6"/>
      <c r="BJ43" s="386"/>
      <c r="BK43" s="386"/>
      <c r="BL43" s="386"/>
      <c r="BM43" s="386"/>
    </row>
    <row r="44" spans="5:80" ht="19.25" customHeight="1" x14ac:dyDescent="0.25">
      <c r="J44" s="4"/>
      <c r="K44" s="1" t="s">
        <v>533</v>
      </c>
      <c r="L44" s="1" t="s">
        <v>534</v>
      </c>
      <c r="M44" s="1" t="s">
        <v>536</v>
      </c>
      <c r="N44" s="1" t="s">
        <v>85</v>
      </c>
      <c r="O44" s="1" t="s">
        <v>635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535</v>
      </c>
      <c r="V44" s="1" t="s">
        <v>50</v>
      </c>
      <c r="W44" s="22" t="s">
        <v>420</v>
      </c>
      <c r="X44" s="100" t="s">
        <v>460</v>
      </c>
      <c r="Y44" s="189" t="s">
        <v>334</v>
      </c>
      <c r="Z44" s="384" t="s">
        <v>341</v>
      </c>
      <c r="AA44" s="138" t="s">
        <v>314</v>
      </c>
      <c r="AB44" s="4"/>
      <c r="AC44" s="4"/>
      <c r="AD44" s="1" t="s">
        <v>533</v>
      </c>
      <c r="AE44" s="1" t="s">
        <v>534</v>
      </c>
      <c r="AF44" s="1" t="s">
        <v>536</v>
      </c>
      <c r="AG44" s="1" t="s">
        <v>85</v>
      </c>
      <c r="AH44" s="1" t="s">
        <v>635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535</v>
      </c>
      <c r="AO44" s="1" t="s">
        <v>50</v>
      </c>
      <c r="AP44" s="22" t="s">
        <v>420</v>
      </c>
      <c r="AQ44" s="22" t="s">
        <v>460</v>
      </c>
      <c r="AR44" s="159" t="s">
        <v>334</v>
      </c>
      <c r="AS44" s="358" t="s">
        <v>341</v>
      </c>
      <c r="AT44" s="138" t="s">
        <v>314</v>
      </c>
      <c r="AU44" s="4"/>
      <c r="AV44" s="4"/>
      <c r="AW44" s="1" t="s">
        <v>533</v>
      </c>
      <c r="AX44" s="1" t="s">
        <v>534</v>
      </c>
      <c r="AY44" s="1" t="s">
        <v>536</v>
      </c>
      <c r="AZ44" s="1" t="s">
        <v>85</v>
      </c>
      <c r="BA44" s="1" t="s">
        <v>635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535</v>
      </c>
      <c r="BH44" s="1" t="s">
        <v>50</v>
      </c>
      <c r="BI44" s="22" t="s">
        <v>420</v>
      </c>
      <c r="BJ44" s="22" t="s">
        <v>460</v>
      </c>
      <c r="BK44" s="189" t="s">
        <v>334</v>
      </c>
      <c r="BL44" s="358" t="s">
        <v>341</v>
      </c>
      <c r="BM44" s="138" t="s">
        <v>314</v>
      </c>
      <c r="BN44" s="1"/>
      <c r="BO44" s="4"/>
      <c r="BP44" s="1" t="s">
        <v>533</v>
      </c>
      <c r="BQ44" s="1" t="s">
        <v>534</v>
      </c>
      <c r="BR44" s="1" t="s">
        <v>536</v>
      </c>
      <c r="BS44" s="1" t="s">
        <v>85</v>
      </c>
      <c r="BT44" s="1" t="s">
        <v>635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535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5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9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9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6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338</v>
      </c>
      <c r="AA46" s="136">
        <f>(($AG$46*($AN$46-$U$46))/V59)</f>
        <v>0</v>
      </c>
      <c r="AB46" s="356" t="s">
        <v>526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6" t="s">
        <v>525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6" t="s">
        <v>523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6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611</v>
      </c>
      <c r="AA47" s="136">
        <f>($AO$42+AO63)/(V59+V72+$V$42)</f>
        <v>0.54834789034775577</v>
      </c>
      <c r="AB47" s="356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611</v>
      </c>
      <c r="AT47" s="136">
        <f>BH42/(AU28+AO42)</f>
        <v>0.15191900995389168</v>
      </c>
      <c r="AU47" s="356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611</v>
      </c>
      <c r="BM47" s="136">
        <f>(CA42+CA55)/(BN35+BH42)</f>
        <v>0.9084965360427989</v>
      </c>
      <c r="BN47" s="356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6" t="s">
        <v>528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56" t="s">
        <v>527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56" t="s">
        <v>524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6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6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6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636</v>
      </c>
      <c r="BU49" s="4"/>
      <c r="BV49" s="4"/>
      <c r="BZ49" s="3" t="s">
        <v>96</v>
      </c>
      <c r="CA49" s="1" t="s">
        <v>93</v>
      </c>
    </row>
    <row r="50" spans="2:86" x14ac:dyDescent="0.2">
      <c r="I50" s="356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6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6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6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6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6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560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560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560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636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562</v>
      </c>
      <c r="Z53" s="1" t="s">
        <v>562</v>
      </c>
      <c r="AA53" s="1" t="s">
        <v>562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636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562</v>
      </c>
      <c r="AS53" s="1" t="s">
        <v>562</v>
      </c>
      <c r="AT53" s="1" t="s">
        <v>562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636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562</v>
      </c>
      <c r="BK53" s="1" t="s">
        <v>562</v>
      </c>
      <c r="BL53" s="1" t="s">
        <v>562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561</v>
      </c>
      <c r="Z54" s="3" t="s">
        <v>561</v>
      </c>
      <c r="AA54" s="3" t="s">
        <v>561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561</v>
      </c>
      <c r="AS54" s="3" t="s">
        <v>561</v>
      </c>
      <c r="AT54" s="3" t="s">
        <v>561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561</v>
      </c>
      <c r="BK54" s="3" t="s">
        <v>561</v>
      </c>
      <c r="BL54" s="3" t="s">
        <v>561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522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533</v>
      </c>
      <c r="BQ57" s="1" t="s">
        <v>534</v>
      </c>
      <c r="BR57" s="1" t="s">
        <v>536</v>
      </c>
      <c r="BS57" s="1" t="s">
        <v>85</v>
      </c>
      <c r="BT57" s="1" t="s">
        <v>635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535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551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6" t="s">
        <v>522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6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61" t="s">
        <v>467</v>
      </c>
      <c r="C61" s="361"/>
      <c r="D61" s="361"/>
      <c r="E61" s="361"/>
      <c r="F61" s="361"/>
      <c r="G61" s="361"/>
      <c r="H61" s="361"/>
      <c r="J61" s="4"/>
      <c r="K61" s="3" t="s">
        <v>539</v>
      </c>
      <c r="L61" s="1" t="s">
        <v>533</v>
      </c>
      <c r="M61" s="1" t="s">
        <v>536</v>
      </c>
      <c r="N61" s="1" t="s">
        <v>85</v>
      </c>
      <c r="O61" s="1" t="s">
        <v>635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535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6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74"/>
      <c r="C62" s="374"/>
      <c r="D62" s="374"/>
      <c r="E62" s="374"/>
      <c r="F62" s="374"/>
      <c r="G62" s="374"/>
      <c r="H62" s="374"/>
      <c r="J62" s="4" t="s">
        <v>41</v>
      </c>
      <c r="K62" s="3" t="s">
        <v>538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625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6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551</v>
      </c>
      <c r="J63" s="62" t="s">
        <v>470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493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636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636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533</v>
      </c>
      <c r="AE65" s="1" t="s">
        <v>534</v>
      </c>
      <c r="AF65" s="1" t="s">
        <v>536</v>
      </c>
      <c r="AG65" s="1" t="s">
        <v>85</v>
      </c>
      <c r="AH65" s="1" t="s">
        <v>635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535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6" t="s">
        <v>493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6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6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6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636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504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61" t="s">
        <v>498</v>
      </c>
      <c r="F74" s="361"/>
      <c r="G74" s="361"/>
      <c r="H74" s="361"/>
      <c r="K74" s="1" t="s">
        <v>533</v>
      </c>
      <c r="L74" s="1" t="s">
        <v>534</v>
      </c>
      <c r="M74" s="1" t="s">
        <v>536</v>
      </c>
      <c r="N74" s="1" t="s">
        <v>85</v>
      </c>
      <c r="O74" s="1" t="s">
        <v>635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535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61"/>
      <c r="F75" s="361"/>
      <c r="G75" s="361"/>
      <c r="H75" s="361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6" t="s">
        <v>504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6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636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495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61" t="s">
        <v>494</v>
      </c>
      <c r="DU103" s="361"/>
      <c r="DV103" s="361"/>
      <c r="DW103" s="361"/>
      <c r="DX103" s="361"/>
      <c r="DY103" s="361"/>
      <c r="EA103" s="4"/>
      <c r="EB103" s="3" t="s">
        <v>539</v>
      </c>
      <c r="EC103" s="1" t="s">
        <v>533</v>
      </c>
      <c r="ED103" s="3" t="s">
        <v>5</v>
      </c>
      <c r="EE103" s="1" t="s">
        <v>85</v>
      </c>
      <c r="EF103" s="1" t="s">
        <v>635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535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74"/>
      <c r="DU104" s="374"/>
      <c r="DV104" s="374"/>
      <c r="DW104" s="374"/>
      <c r="DX104" s="374"/>
      <c r="DY104" s="374"/>
      <c r="EA104" s="4" t="s">
        <v>41</v>
      </c>
      <c r="EB104" s="3" t="s">
        <v>538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542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495</v>
      </c>
      <c r="EA105" s="96" t="s">
        <v>486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534</v>
      </c>
      <c r="FD106" s="1" t="s">
        <v>5</v>
      </c>
      <c r="FE106" s="1" t="s">
        <v>85</v>
      </c>
      <c r="FF106" s="1" t="s">
        <v>635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535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532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636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537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542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92" t="s">
        <v>427</v>
      </c>
      <c r="AP110" s="390"/>
      <c r="AQ110" s="390"/>
      <c r="AR110" s="390"/>
      <c r="AS110" s="390"/>
      <c r="AT110" s="390"/>
      <c r="AU110" s="390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90" t="s">
        <v>431</v>
      </c>
      <c r="BH110" s="390"/>
      <c r="BI110" s="390"/>
      <c r="BJ110" s="390"/>
      <c r="BK110" s="390"/>
      <c r="BL110" s="390"/>
      <c r="BM110" s="390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636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82" t="s">
        <v>361</v>
      </c>
      <c r="Q111" s="382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83"/>
      <c r="Q112" s="383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8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9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511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458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90" t="s">
        <v>433</v>
      </c>
      <c r="EQ114" s="390"/>
      <c r="ER114" s="390"/>
      <c r="ES114" s="390"/>
      <c r="ET114" s="390"/>
      <c r="EU114" s="390"/>
    </row>
    <row r="115" spans="5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611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533</v>
      </c>
      <c r="CM116" s="1" t="s">
        <v>534</v>
      </c>
      <c r="CN116" s="1" t="s">
        <v>536</v>
      </c>
      <c r="CO116" s="1" t="s">
        <v>85</v>
      </c>
      <c r="CP116" s="1" t="s">
        <v>635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535</v>
      </c>
      <c r="CW116" s="1" t="s">
        <v>50</v>
      </c>
      <c r="CX116" s="6"/>
      <c r="CY116" s="4"/>
      <c r="DB116" s="4"/>
      <c r="DC116" s="4"/>
      <c r="DT116" s="361" t="s">
        <v>457</v>
      </c>
      <c r="DU116" s="361"/>
      <c r="DV116" s="361"/>
      <c r="DW116" s="361"/>
      <c r="DX116" s="361"/>
      <c r="DY116" s="361"/>
      <c r="EA116" s="4"/>
      <c r="EB116" s="3" t="s">
        <v>539</v>
      </c>
      <c r="EC116" s="1" t="s">
        <v>533</v>
      </c>
      <c r="ED116" s="3" t="s">
        <v>5</v>
      </c>
      <c r="EE116" s="1" t="s">
        <v>85</v>
      </c>
      <c r="EF116" s="1" t="s">
        <v>635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535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74"/>
      <c r="DU117" s="374"/>
      <c r="DV117" s="374"/>
      <c r="DW117" s="374"/>
      <c r="DX117" s="374"/>
      <c r="DY117" s="374"/>
      <c r="EA117" s="4" t="s">
        <v>41</v>
      </c>
      <c r="EB117" s="3" t="s">
        <v>538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511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458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636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636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509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6" t="s">
        <v>497</v>
      </c>
      <c r="F126" s="376"/>
      <c r="G126" s="376"/>
      <c r="H126" s="376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81" t="s">
        <v>406</v>
      </c>
      <c r="X126" s="381"/>
      <c r="Y126" s="381"/>
      <c r="Z126" s="381"/>
      <c r="AA126" s="381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496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81" t="s">
        <v>519</v>
      </c>
      <c r="AR126" s="381"/>
      <c r="AS126" s="381"/>
      <c r="AT126" s="381"/>
      <c r="AU126" s="381"/>
      <c r="AV126" s="6"/>
      <c r="AW126" s="6"/>
      <c r="AX126" s="121"/>
      <c r="AY126" s="6"/>
      <c r="AZ126" s="6"/>
      <c r="BA126" s="6"/>
      <c r="BB126" s="6"/>
      <c r="BC126" s="6"/>
      <c r="BD126" s="6" t="s">
        <v>520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81" t="s">
        <v>429</v>
      </c>
      <c r="BK126" s="381"/>
      <c r="BL126" s="381"/>
      <c r="BM126" s="381"/>
      <c r="BN126" s="381"/>
      <c r="BO126" s="6"/>
      <c r="BP126" s="6"/>
      <c r="BQ126" s="121"/>
      <c r="BR126" s="6"/>
      <c r="BS126" s="6"/>
      <c r="BT126" s="6"/>
      <c r="BU126" s="6"/>
      <c r="BV126" s="6"/>
      <c r="BW126" s="6" t="s">
        <v>463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81" t="s">
        <v>430</v>
      </c>
      <c r="CD126" s="381"/>
      <c r="CE126" s="381"/>
      <c r="CF126" s="381"/>
      <c r="CG126" s="381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70" t="s">
        <v>81</v>
      </c>
      <c r="DT126" s="370"/>
      <c r="DU126" s="370"/>
      <c r="DV126" s="370"/>
      <c r="DW126" s="370"/>
      <c r="DX126" s="370"/>
      <c r="DY126" s="370"/>
      <c r="EG126" s="3" t="s">
        <v>529</v>
      </c>
      <c r="EL126" s="170">
        <f>EB134</f>
        <v>1314.2879334772852</v>
      </c>
      <c r="EM126" s="171">
        <f>EM134</f>
        <v>6688312.3779436089</v>
      </c>
      <c r="EN126" s="360" t="s">
        <v>417</v>
      </c>
      <c r="EO126" s="360"/>
      <c r="EP126" s="360"/>
      <c r="EQ126" s="360"/>
      <c r="ER126" s="360"/>
      <c r="ES126" s="360"/>
      <c r="ET126" s="360"/>
      <c r="EY126" s="1"/>
      <c r="EZ126" s="1"/>
      <c r="FA126" s="1"/>
      <c r="FB126" s="1"/>
      <c r="FC126" s="1"/>
      <c r="FD126" s="1"/>
      <c r="FE126" s="3" t="s">
        <v>530</v>
      </c>
      <c r="FL126" s="50">
        <f>FB131</f>
        <v>616.23583583508366</v>
      </c>
      <c r="FM126" s="48">
        <f>FM131</f>
        <v>4157895.2984628798</v>
      </c>
      <c r="FN126" s="360" t="s">
        <v>411</v>
      </c>
      <c r="FO126" s="360"/>
      <c r="FP126" s="360"/>
      <c r="FQ126" s="360"/>
      <c r="FR126" s="360"/>
      <c r="FS126" s="360"/>
      <c r="FT126" s="360"/>
    </row>
    <row r="127" spans="5:176" ht="16.25" customHeight="1" thickBot="1" x14ac:dyDescent="0.25">
      <c r="E127" s="376"/>
      <c r="F127" s="376"/>
      <c r="G127" s="376"/>
      <c r="H127" s="37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91"/>
      <c r="X127" s="391"/>
      <c r="Y127" s="391"/>
      <c r="Z127" s="391"/>
      <c r="AA127" s="391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81"/>
      <c r="AR127" s="381"/>
      <c r="AS127" s="381"/>
      <c r="AT127" s="381"/>
      <c r="AU127" s="381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81"/>
      <c r="BK127" s="381"/>
      <c r="BL127" s="381"/>
      <c r="BM127" s="381"/>
      <c r="BN127" s="381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81"/>
      <c r="CD127" s="381"/>
      <c r="CE127" s="381"/>
      <c r="CF127" s="381"/>
      <c r="CG127" s="381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70"/>
      <c r="DT127" s="370"/>
      <c r="DU127" s="370"/>
      <c r="DV127" s="370"/>
      <c r="DW127" s="370"/>
      <c r="DX127" s="370"/>
      <c r="DY127" s="370"/>
      <c r="EN127" s="360"/>
      <c r="EO127" s="360"/>
      <c r="EP127" s="360"/>
      <c r="EQ127" s="360"/>
      <c r="ER127" s="360"/>
      <c r="ES127" s="360"/>
      <c r="ET127" s="360"/>
      <c r="EY127" s="1"/>
      <c r="EZ127" s="1"/>
      <c r="FA127" s="1"/>
      <c r="FB127" s="1"/>
      <c r="FC127" s="1"/>
      <c r="FD127" s="1"/>
      <c r="FE127" s="1"/>
      <c r="FF127" s="1"/>
      <c r="FG127" s="1"/>
      <c r="FN127" s="360"/>
      <c r="FO127" s="360"/>
      <c r="FP127" s="360"/>
      <c r="FQ127" s="360"/>
      <c r="FR127" s="360"/>
      <c r="FS127" s="360"/>
      <c r="FT127" s="360"/>
    </row>
    <row r="128" spans="5:176" ht="19.75" customHeight="1" thickBot="1" x14ac:dyDescent="0.3">
      <c r="J128" s="4"/>
      <c r="K128" s="1" t="s">
        <v>533</v>
      </c>
      <c r="L128" s="1" t="s">
        <v>534</v>
      </c>
      <c r="M128" s="1" t="s">
        <v>536</v>
      </c>
      <c r="N128" s="1" t="s">
        <v>85</v>
      </c>
      <c r="O128" s="1" t="s">
        <v>635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535</v>
      </c>
      <c r="V128" s="1" t="s">
        <v>50</v>
      </c>
      <c r="W128" s="22" t="s">
        <v>420</v>
      </c>
      <c r="X128" s="100" t="s">
        <v>460</v>
      </c>
      <c r="Y128" s="135" t="s">
        <v>345</v>
      </c>
      <c r="Z128" s="358" t="s">
        <v>341</v>
      </c>
      <c r="AA128" s="138" t="s">
        <v>314</v>
      </c>
      <c r="AB128" s="1"/>
      <c r="AC128" s="6"/>
      <c r="AD128" s="4"/>
      <c r="AE128" s="1" t="s">
        <v>533</v>
      </c>
      <c r="AF128" s="1" t="s">
        <v>534</v>
      </c>
      <c r="AG128" s="1" t="s">
        <v>536</v>
      </c>
      <c r="AH128" s="1" t="s">
        <v>85</v>
      </c>
      <c r="AI128" s="1" t="s">
        <v>635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535</v>
      </c>
      <c r="AP128" s="1" t="s">
        <v>50</v>
      </c>
      <c r="AQ128" s="22" t="s">
        <v>420</v>
      </c>
      <c r="AR128" s="100" t="s">
        <v>460</v>
      </c>
      <c r="AS128" s="135" t="s">
        <v>345</v>
      </c>
      <c r="AT128" s="358" t="s">
        <v>341</v>
      </c>
      <c r="AU128" s="138" t="s">
        <v>314</v>
      </c>
      <c r="AV128" s="1"/>
      <c r="AW128" s="4"/>
      <c r="AX128" s="1" t="s">
        <v>533</v>
      </c>
      <c r="AY128" s="1" t="s">
        <v>534</v>
      </c>
      <c r="AZ128" s="1" t="s">
        <v>536</v>
      </c>
      <c r="BA128" s="1" t="s">
        <v>85</v>
      </c>
      <c r="BB128" s="1" t="s">
        <v>635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535</v>
      </c>
      <c r="BI128" s="1" t="s">
        <v>50</v>
      </c>
      <c r="BJ128" s="22" t="s">
        <v>420</v>
      </c>
      <c r="BK128" s="100" t="s">
        <v>460</v>
      </c>
      <c r="BL128" s="135" t="s">
        <v>345</v>
      </c>
      <c r="BM128" s="358" t="s">
        <v>341</v>
      </c>
      <c r="BN128" s="138" t="s">
        <v>314</v>
      </c>
      <c r="BO128" s="1"/>
      <c r="BP128" s="4"/>
      <c r="BQ128" s="1" t="s">
        <v>533</v>
      </c>
      <c r="BR128" s="1" t="s">
        <v>534</v>
      </c>
      <c r="BS128" s="1" t="s">
        <v>536</v>
      </c>
      <c r="BT128" s="1" t="s">
        <v>85</v>
      </c>
      <c r="BU128" s="1" t="s">
        <v>635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535</v>
      </c>
      <c r="CB128" s="1" t="s">
        <v>50</v>
      </c>
      <c r="CC128" s="22" t="s">
        <v>420</v>
      </c>
      <c r="CD128" s="100" t="s">
        <v>460</v>
      </c>
      <c r="CE128" s="135" t="s">
        <v>345</v>
      </c>
      <c r="CF128" s="358" t="s">
        <v>341</v>
      </c>
      <c r="CG128" s="138" t="s">
        <v>314</v>
      </c>
      <c r="CH128" s="113"/>
      <c r="CI128" s="113"/>
      <c r="CJ128" s="113"/>
      <c r="CK128" s="4"/>
      <c r="CL128" s="1" t="s">
        <v>533</v>
      </c>
      <c r="CM128" s="1" t="s">
        <v>534</v>
      </c>
      <c r="CN128" s="1" t="s">
        <v>536</v>
      </c>
      <c r="CO128" s="1" t="s">
        <v>85</v>
      </c>
      <c r="CP128" s="1" t="s">
        <v>635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535</v>
      </c>
      <c r="CW128" s="1" t="s">
        <v>50</v>
      </c>
      <c r="DS128" s="370"/>
      <c r="DT128" s="370"/>
      <c r="DU128" s="370"/>
      <c r="DV128" s="370"/>
      <c r="DW128" s="370"/>
      <c r="DX128" s="370"/>
      <c r="DY128" s="370"/>
      <c r="EA128" s="4"/>
      <c r="EB128" s="1" t="s">
        <v>533</v>
      </c>
      <c r="EC128" s="1" t="s">
        <v>534</v>
      </c>
      <c r="ED128" s="1" t="s">
        <v>536</v>
      </c>
      <c r="EE128" s="1" t="s">
        <v>85</v>
      </c>
      <c r="EF128" s="1" t="s">
        <v>635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535</v>
      </c>
      <c r="EM128" s="1" t="s">
        <v>50</v>
      </c>
      <c r="EN128" s="360"/>
      <c r="EO128" s="360"/>
      <c r="EP128" s="360"/>
      <c r="EQ128" s="360"/>
      <c r="ER128" s="360"/>
      <c r="ES128" s="360"/>
      <c r="ET128" s="360"/>
      <c r="EZ128" s="1"/>
      <c r="FA128" s="1"/>
      <c r="FB128" s="1" t="s">
        <v>533</v>
      </c>
      <c r="FC128" s="1" t="s">
        <v>534</v>
      </c>
      <c r="FD128" s="1" t="s">
        <v>536</v>
      </c>
      <c r="FE128" s="1" t="s">
        <v>85</v>
      </c>
      <c r="FF128" s="1" t="s">
        <v>635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535</v>
      </c>
      <c r="FM128" s="1" t="s">
        <v>50</v>
      </c>
      <c r="FN128" s="360"/>
      <c r="FO128" s="360"/>
      <c r="FP128" s="360"/>
      <c r="FQ128" s="360"/>
      <c r="FR128" s="360"/>
      <c r="FS128" s="360"/>
      <c r="FT128" s="360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9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9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9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9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460</v>
      </c>
      <c r="DV129" s="159" t="s">
        <v>334</v>
      </c>
      <c r="DW129" s="371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537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460</v>
      </c>
      <c r="EQ129" s="189" t="s">
        <v>334</v>
      </c>
      <c r="ER129" s="362" t="s">
        <v>341</v>
      </c>
      <c r="ES129" s="102" t="s">
        <v>314</v>
      </c>
      <c r="FA129" s="2" t="s">
        <v>41</v>
      </c>
      <c r="FB129" s="1" t="s">
        <v>88</v>
      </c>
      <c r="FC129" s="1" t="s">
        <v>537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64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64" t="s">
        <v>496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64" t="s">
        <v>520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64" t="s">
        <v>508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509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72"/>
      <c r="DX130" s="136" t="s">
        <v>82</v>
      </c>
      <c r="DY130" s="4"/>
      <c r="DZ130" s="364" t="s">
        <v>529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63"/>
      <c r="ES130" s="136" t="s">
        <v>82</v>
      </c>
      <c r="EZ130" s="219" t="s">
        <v>530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64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611</v>
      </c>
      <c r="AA131" s="136">
        <f>($AP$126+AP142)/(SUM(V126,V140,V163,V151))</f>
        <v>0.98926908455007689</v>
      </c>
      <c r="AB131" s="4"/>
      <c r="AC131" s="364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611</v>
      </c>
      <c r="AU131" s="136">
        <f>BI126/(AU113+AP126)</f>
        <v>0.89989464623142024</v>
      </c>
      <c r="AV131" s="364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611</v>
      </c>
      <c r="BN131" s="136">
        <f>CB126/(BM113+BI126)</f>
        <v>0.99885105550639652</v>
      </c>
      <c r="BO131" s="364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611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64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636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611</v>
      </c>
      <c r="DX132" s="103">
        <f>EM126/(CW126+CW206+CA42)</f>
        <v>0.99243862980242414</v>
      </c>
      <c r="DY132" s="4"/>
      <c r="DZ132" s="364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611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636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636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636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636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636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64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560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560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560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562</v>
      </c>
      <c r="AS135" s="1" t="s">
        <v>562</v>
      </c>
      <c r="AT135" s="1" t="s">
        <v>562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562</v>
      </c>
      <c r="BL135" s="1" t="s">
        <v>562</v>
      </c>
      <c r="BM135" s="1" t="s">
        <v>562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636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562</v>
      </c>
      <c r="Z136" s="1" t="s">
        <v>562</v>
      </c>
      <c r="AA136" s="1" t="s">
        <v>562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561</v>
      </c>
      <c r="AS136" s="3" t="s">
        <v>561</v>
      </c>
      <c r="AT136" s="3" t="s">
        <v>561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561</v>
      </c>
      <c r="BL136" s="3" t="s">
        <v>561</v>
      </c>
      <c r="BM136" s="3" t="s">
        <v>561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560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61" t="s">
        <v>467</v>
      </c>
      <c r="C137" s="361"/>
      <c r="D137" s="361"/>
      <c r="E137" s="361"/>
      <c r="F137" s="361"/>
      <c r="G137" s="361"/>
      <c r="H137" s="361"/>
      <c r="T137" s="4"/>
      <c r="U137" s="4"/>
      <c r="V137" s="4"/>
      <c r="W137" s="4"/>
      <c r="X137" s="4" t="s">
        <v>60</v>
      </c>
      <c r="Y137" s="3" t="s">
        <v>561</v>
      </c>
      <c r="Z137" s="3" t="s">
        <v>561</v>
      </c>
      <c r="AA137" s="3" t="s">
        <v>561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562</v>
      </c>
      <c r="CF137" s="1" t="s">
        <v>562</v>
      </c>
      <c r="CG137" s="1" t="s">
        <v>562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560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74"/>
      <c r="C138" s="374"/>
      <c r="D138" s="374"/>
      <c r="E138" s="374"/>
      <c r="F138" s="374"/>
      <c r="G138" s="374"/>
      <c r="H138" s="37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561</v>
      </c>
      <c r="CF138" s="3" t="s">
        <v>561</v>
      </c>
      <c r="CG138" s="3" t="s">
        <v>561</v>
      </c>
      <c r="CH138" s="1"/>
      <c r="CI138" s="1"/>
      <c r="CJ138" s="1"/>
      <c r="CK138" s="1"/>
      <c r="CL138" s="1"/>
      <c r="CO138" s="4"/>
      <c r="CP138" s="4"/>
      <c r="CQ138" s="4"/>
      <c r="CR138" s="3" t="s">
        <v>510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562</v>
      </c>
      <c r="ER138" s="1" t="s">
        <v>562</v>
      </c>
      <c r="ES138" s="1" t="s">
        <v>562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561</v>
      </c>
      <c r="ER139" s="3" t="s">
        <v>561</v>
      </c>
      <c r="ES139" s="3" t="s">
        <v>561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551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504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533</v>
      </c>
      <c r="CM140" s="1" t="s">
        <v>534</v>
      </c>
      <c r="CN140" s="1" t="s">
        <v>536</v>
      </c>
      <c r="CO140" s="1" t="s">
        <v>85</v>
      </c>
      <c r="CP140" s="1" t="s">
        <v>635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535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504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531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539</v>
      </c>
      <c r="L142" s="1" t="s">
        <v>533</v>
      </c>
      <c r="M142" s="1" t="s">
        <v>536</v>
      </c>
      <c r="N142" s="1" t="s">
        <v>85</v>
      </c>
      <c r="O142" s="1" t="s">
        <v>635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535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521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61" t="s">
        <v>498</v>
      </c>
      <c r="BL142" s="361"/>
      <c r="BM142" s="361"/>
      <c r="BN142" s="361"/>
      <c r="BP142" s="4"/>
      <c r="BQ142" s="1" t="s">
        <v>533</v>
      </c>
      <c r="BR142" s="1" t="s">
        <v>534</v>
      </c>
      <c r="BS142" s="1" t="s">
        <v>536</v>
      </c>
      <c r="BT142" s="1" t="s">
        <v>85</v>
      </c>
      <c r="BU142" s="1" t="s">
        <v>635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535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6" t="s">
        <v>510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-241.8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61" t="s">
        <v>498</v>
      </c>
      <c r="DW142" s="361"/>
      <c r="DX142" s="361"/>
      <c r="DY142" s="361"/>
      <c r="EA142" s="4"/>
      <c r="EB142" s="1" t="s">
        <v>533</v>
      </c>
      <c r="EC142" s="1" t="s">
        <v>534</v>
      </c>
      <c r="ED142" s="1" t="s">
        <v>536</v>
      </c>
      <c r="EE142" s="1" t="s">
        <v>85</v>
      </c>
      <c r="EF142" s="1" t="s">
        <v>635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535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538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624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61"/>
      <c r="BL143" s="361"/>
      <c r="BM143" s="361"/>
      <c r="BN143" s="361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6"/>
      <c r="CK143" s="3" t="s">
        <v>564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-393.5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61"/>
      <c r="DW143" s="361"/>
      <c r="DX143" s="361"/>
      <c r="DY143" s="361"/>
      <c r="EA143" s="94" t="s">
        <v>41</v>
      </c>
      <c r="EB143" s="183" t="s">
        <v>88</v>
      </c>
      <c r="EC143" s="1" t="s">
        <v>537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533</v>
      </c>
      <c r="FC143" s="1" t="s">
        <v>534</v>
      </c>
      <c r="FD143" s="1" t="s">
        <v>536</v>
      </c>
      <c r="FE143" s="1" t="s">
        <v>85</v>
      </c>
      <c r="FF143" s="1" t="s">
        <v>635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535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551</v>
      </c>
      <c r="J144" s="62" t="s">
        <v>470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533</v>
      </c>
      <c r="AF144" s="1" t="s">
        <v>534</v>
      </c>
      <c r="AG144" s="1" t="s">
        <v>536</v>
      </c>
      <c r="AH144" s="1" t="s">
        <v>85</v>
      </c>
      <c r="AI144" s="1" t="s">
        <v>635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535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6" t="s">
        <v>504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6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6" t="s">
        <v>504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537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6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6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-89.61674376121961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6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6" t="s">
        <v>531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636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6" t="s">
        <v>476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636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6"/>
      <c r="FA146" s="3" t="s">
        <v>440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6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636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636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6"/>
      <c r="FA147" s="318" t="s">
        <v>692</v>
      </c>
      <c r="FB147" s="318">
        <f>SO2_out_BF_from_COG+SO2_out_BF_from_coke</f>
        <v>5.4749631584591132</v>
      </c>
      <c r="FC147" s="1">
        <f>FB147/$FB$149</f>
        <v>1.6092111946469558E-3</v>
      </c>
      <c r="FD147" s="318">
        <f>MW_SO2</f>
        <v>6.4064800000000005E-2</v>
      </c>
      <c r="FE147" s="1">
        <f>FB147/FD147</f>
        <v>85.459771332449534</v>
      </c>
      <c r="FF147" s="318">
        <f>h_SO2</f>
        <v>-296.8</v>
      </c>
      <c r="FG147" s="31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6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6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636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636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552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>
        <f>4600000/(BQ132/1000)</f>
        <v>22056468.037826285</v>
      </c>
      <c r="BO151" s="4">
        <f>BN151/LHV_CH4</f>
        <v>441.12936075652567</v>
      </c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458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644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61" t="s">
        <v>468</v>
      </c>
      <c r="C153" s="361"/>
      <c r="D153" s="361"/>
      <c r="E153" s="361"/>
      <c r="F153" s="361"/>
      <c r="G153" s="361"/>
      <c r="H153" s="361"/>
      <c r="J153" s="4"/>
      <c r="K153" s="3" t="s">
        <v>539</v>
      </c>
      <c r="L153" s="1" t="s">
        <v>533</v>
      </c>
      <c r="M153" s="1" t="s">
        <v>536</v>
      </c>
      <c r="N153" s="1" t="s">
        <v>85</v>
      </c>
      <c r="O153" s="1" t="s">
        <v>635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535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74"/>
      <c r="C154" s="374"/>
      <c r="D154" s="374"/>
      <c r="E154" s="374"/>
      <c r="F154" s="374"/>
      <c r="G154" s="374"/>
      <c r="H154" s="374"/>
      <c r="J154" s="4" t="s">
        <v>41</v>
      </c>
      <c r="K154" s="3" t="s">
        <v>538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624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61" t="s">
        <v>457</v>
      </c>
      <c r="BL154" s="361"/>
      <c r="BM154" s="361"/>
      <c r="BN154" s="361"/>
      <c r="BP154" s="4"/>
      <c r="BQ154" s="3" t="s">
        <v>539</v>
      </c>
      <c r="BR154" s="1" t="s">
        <v>533</v>
      </c>
      <c r="BS154" s="3" t="s">
        <v>5</v>
      </c>
      <c r="BT154" s="3" t="s">
        <v>360</v>
      </c>
      <c r="BU154" s="1" t="s">
        <v>635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533</v>
      </c>
      <c r="EC154" s="1" t="s">
        <v>534</v>
      </c>
      <c r="ED154" s="1" t="s">
        <v>536</v>
      </c>
      <c r="EE154" s="1" t="s">
        <v>85</v>
      </c>
      <c r="EF154" s="1" t="s">
        <v>635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535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552</v>
      </c>
      <c r="J155" s="62" t="s">
        <v>469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61"/>
      <c r="BL155" s="361"/>
      <c r="BM155" s="361"/>
      <c r="BN155" s="361"/>
      <c r="BP155" s="4"/>
      <c r="BQ155" s="3" t="s">
        <v>538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537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458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65" t="s">
        <v>644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466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636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1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65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636</v>
      </c>
      <c r="BV158" s="4"/>
      <c r="BW158" s="4"/>
      <c r="CA158" s="3" t="s">
        <v>96</v>
      </c>
      <c r="CB158" s="1" t="s">
        <v>93</v>
      </c>
      <c r="DZ158" s="365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5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636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504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61" t="s">
        <v>498</v>
      </c>
      <c r="F165" s="361"/>
      <c r="G165" s="361"/>
      <c r="H165" s="361"/>
      <c r="J165" s="4"/>
      <c r="K165" s="1" t="s">
        <v>533</v>
      </c>
      <c r="L165" s="1" t="s">
        <v>534</v>
      </c>
      <c r="M165" s="1" t="s">
        <v>536</v>
      </c>
      <c r="N165" s="1" t="s">
        <v>85</v>
      </c>
      <c r="O165" s="1" t="s">
        <v>635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535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61"/>
      <c r="F166" s="361"/>
      <c r="G166" s="361"/>
      <c r="H166" s="361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6" t="s">
        <v>504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6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636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8" t="s">
        <v>426</v>
      </c>
      <c r="X182" s="368"/>
      <c r="Y182" s="368"/>
      <c r="Z182" s="368"/>
      <c r="AA182" s="368"/>
      <c r="AB182" s="368"/>
      <c r="AC182" s="368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8" t="s">
        <v>427</v>
      </c>
      <c r="AP187" s="368"/>
      <c r="AQ187" s="368"/>
      <c r="AR187" s="368"/>
      <c r="AS187" s="368"/>
      <c r="AT187" s="368"/>
      <c r="AU187" s="368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8" t="s">
        <v>428</v>
      </c>
      <c r="BH187" s="368"/>
      <c r="BI187" s="368"/>
      <c r="BJ187" s="368"/>
      <c r="BK187" s="368"/>
      <c r="BL187" s="368"/>
      <c r="BM187" s="368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7" t="s">
        <v>361</v>
      </c>
      <c r="Q189" s="377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8"/>
      <c r="Q190" s="378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8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9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611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9" t="s">
        <v>482</v>
      </c>
      <c r="X195" s="380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501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517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5" t="s">
        <v>416</v>
      </c>
      <c r="Q206" s="375"/>
      <c r="R206" s="375"/>
      <c r="S206" s="4"/>
      <c r="T206" s="4"/>
      <c r="U206" s="50">
        <f>K218</f>
        <v>298.6148747230165</v>
      </c>
      <c r="V206" s="48">
        <f>V218</f>
        <v>8851059.7091535721</v>
      </c>
      <c r="W206" s="357" t="s">
        <v>407</v>
      </c>
      <c r="X206" s="357"/>
      <c r="Y206" s="357"/>
      <c r="Z206" s="357"/>
      <c r="AA206" s="357"/>
      <c r="AB206" s="357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7" t="s">
        <v>518</v>
      </c>
      <c r="AR206" s="357"/>
      <c r="AS206" s="357"/>
      <c r="AT206" s="357"/>
      <c r="AU206" s="357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7" t="s">
        <v>443</v>
      </c>
      <c r="BK206" s="357"/>
      <c r="BL206" s="357"/>
      <c r="BM206" s="357"/>
      <c r="BN206" s="357"/>
      <c r="BO206" s="4"/>
      <c r="BP206" s="4"/>
      <c r="BQ206" s="4"/>
      <c r="BR206" s="4"/>
      <c r="BS206" s="4"/>
      <c r="BT206" s="4"/>
      <c r="BU206" s="4"/>
      <c r="BV206" s="4"/>
      <c r="BW206" s="4" t="s">
        <v>502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7" t="s">
        <v>425</v>
      </c>
      <c r="CE206" s="357"/>
      <c r="CF206" s="357"/>
      <c r="CG206" s="357"/>
      <c r="CH206" s="357"/>
      <c r="CI206" s="299"/>
      <c r="CR206" s="3" t="s">
        <v>606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7"/>
      <c r="X207" s="357"/>
      <c r="Y207" s="357"/>
      <c r="Z207" s="357"/>
      <c r="AA207" s="357"/>
      <c r="AB207" s="357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7"/>
      <c r="AR207" s="357"/>
      <c r="AS207" s="357"/>
      <c r="AT207" s="357"/>
      <c r="AU207" s="357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7"/>
      <c r="BK207" s="357"/>
      <c r="BL207" s="357"/>
      <c r="BM207" s="357"/>
      <c r="BN207" s="357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3"/>
      <c r="CE207" s="373"/>
      <c r="CF207" s="373"/>
      <c r="CG207" s="373"/>
      <c r="CH207" s="373"/>
      <c r="CI207" s="299"/>
      <c r="CU207" s="4"/>
      <c r="CV207" s="4"/>
    </row>
    <row r="208" spans="5:101" ht="19.25" customHeight="1" x14ac:dyDescent="0.25">
      <c r="E208" s="361" t="s">
        <v>437</v>
      </c>
      <c r="F208" s="361"/>
      <c r="G208" s="361"/>
      <c r="H208" s="361"/>
      <c r="J208" s="4"/>
      <c r="K208" s="1" t="s">
        <v>533</v>
      </c>
      <c r="L208" s="1" t="s">
        <v>534</v>
      </c>
      <c r="M208" s="1" t="s">
        <v>536</v>
      </c>
      <c r="N208" s="1" t="s">
        <v>85</v>
      </c>
      <c r="O208" s="1" t="s">
        <v>635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535</v>
      </c>
      <c r="V208" s="1" t="s">
        <v>50</v>
      </c>
      <c r="W208" s="4"/>
      <c r="X208" s="22" t="s">
        <v>420</v>
      </c>
      <c r="Y208" s="22" t="s">
        <v>460</v>
      </c>
      <c r="Z208" s="253" t="s">
        <v>334</v>
      </c>
      <c r="AA208" s="358" t="s">
        <v>341</v>
      </c>
      <c r="AB208" s="102" t="s">
        <v>314</v>
      </c>
      <c r="AC208" s="1"/>
      <c r="AD208" s="4"/>
      <c r="AE208" s="1" t="s">
        <v>533</v>
      </c>
      <c r="AF208" s="1" t="s">
        <v>534</v>
      </c>
      <c r="AG208" s="1" t="s">
        <v>536</v>
      </c>
      <c r="AH208" s="1" t="s">
        <v>85</v>
      </c>
      <c r="AI208" s="1" t="s">
        <v>635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535</v>
      </c>
      <c r="AP208" s="1" t="s">
        <v>50</v>
      </c>
      <c r="AQ208" s="22" t="s">
        <v>420</v>
      </c>
      <c r="AR208" s="22" t="s">
        <v>460</v>
      </c>
      <c r="AS208" s="159" t="s">
        <v>334</v>
      </c>
      <c r="AT208" s="358" t="s">
        <v>341</v>
      </c>
      <c r="AU208" s="138" t="s">
        <v>314</v>
      </c>
      <c r="AV208" s="1"/>
      <c r="AW208" s="4"/>
      <c r="AX208" s="1" t="s">
        <v>533</v>
      </c>
      <c r="AY208" s="1" t="s">
        <v>534</v>
      </c>
      <c r="AZ208" s="1" t="s">
        <v>536</v>
      </c>
      <c r="BA208" s="1" t="s">
        <v>85</v>
      </c>
      <c r="BB208" s="1" t="s">
        <v>635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535</v>
      </c>
      <c r="BI208" s="1" t="s">
        <v>50</v>
      </c>
      <c r="BJ208" s="22" t="s">
        <v>420</v>
      </c>
      <c r="BK208" s="22" t="s">
        <v>460</v>
      </c>
      <c r="BL208" s="159" t="s">
        <v>334</v>
      </c>
      <c r="BM208" s="358" t="s">
        <v>341</v>
      </c>
      <c r="BN208" s="138" t="s">
        <v>314</v>
      </c>
      <c r="BO208" s="1"/>
      <c r="BP208" s="4"/>
      <c r="BQ208" s="1" t="s">
        <v>533</v>
      </c>
      <c r="BR208" s="1" t="s">
        <v>534</v>
      </c>
      <c r="BS208" s="1" t="s">
        <v>536</v>
      </c>
      <c r="BT208" s="1" t="s">
        <v>85</v>
      </c>
      <c r="BU208" s="1" t="s">
        <v>635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535</v>
      </c>
      <c r="CB208" s="1" t="s">
        <v>50</v>
      </c>
      <c r="CD208" s="22" t="s">
        <v>420</v>
      </c>
      <c r="CE208" s="22" t="s">
        <v>460</v>
      </c>
      <c r="CF208" s="189" t="s">
        <v>334</v>
      </c>
      <c r="CG208" s="358" t="s">
        <v>341</v>
      </c>
      <c r="CH208" s="138" t="s">
        <v>314</v>
      </c>
      <c r="CI208" s="1"/>
      <c r="CJ208" s="1"/>
      <c r="CK208" s="4"/>
      <c r="CL208" s="1" t="s">
        <v>533</v>
      </c>
      <c r="CM208" s="1" t="s">
        <v>534</v>
      </c>
      <c r="CN208" s="1" t="s">
        <v>536</v>
      </c>
      <c r="CO208" s="1" t="s">
        <v>85</v>
      </c>
      <c r="CP208" s="1" t="s">
        <v>635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535</v>
      </c>
      <c r="CW208" s="1" t="s">
        <v>50</v>
      </c>
    </row>
    <row r="209" spans="2:101" ht="18" x14ac:dyDescent="0.25">
      <c r="E209" s="361"/>
      <c r="F209" s="361"/>
      <c r="G209" s="361"/>
      <c r="H209" s="361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9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9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9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94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>
        <f>MW_Coal</f>
        <v>753.76276356260666</v>
      </c>
      <c r="N210" s="62">
        <f>mol_Coal</f>
        <v>53256.078525349229</v>
      </c>
      <c r="O210" s="62">
        <f>NCV_bituminous*MW_Coal</f>
        <v>25184721.456153814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517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>
        <f>MW_Coal</f>
        <v>753.76276356260666</v>
      </c>
      <c r="AH210" s="62">
        <f>mol_Coal</f>
        <v>53256.078525349229</v>
      </c>
      <c r="AI210" s="62">
        <f>NCV_bituminous*MW_Coal</f>
        <v>25184721.456153814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517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>
        <f>MW_Coal</f>
        <v>753.76276356260666</v>
      </c>
      <c r="BA210" s="62">
        <f>mol_Coal</f>
        <v>53256.078525349229</v>
      </c>
      <c r="BB210" s="62">
        <f>NCV_bituminous*MW_Coal</f>
        <v>25184721.456153814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464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607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9" t="s">
        <v>515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611</v>
      </c>
      <c r="AB211" s="103">
        <f>(AP206+AP227)/($AC$195+V206+V222+V236)</f>
        <v>0.98904119275539903</v>
      </c>
      <c r="AC211" s="369" t="s">
        <v>513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611</v>
      </c>
      <c r="AU211" s="136">
        <f>BI206/(AP206+AU190)</f>
        <v>0.99996814476425233</v>
      </c>
      <c r="AV211" s="369" t="s">
        <v>513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611</v>
      </c>
      <c r="BN211" s="136">
        <f>CB206/(BM195+BI206)</f>
        <v>0.9999943139063141</v>
      </c>
      <c r="BO211" s="369" t="s">
        <v>512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611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>
        <f>SUM(CN210)</f>
        <v>217.63525920401193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9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69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69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69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636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9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9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9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9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9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9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9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9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9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560</v>
      </c>
      <c r="AB215" s="16"/>
      <c r="AC215" s="369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560</v>
      </c>
      <c r="AU215" s="4"/>
      <c r="AV215" s="369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560</v>
      </c>
      <c r="BN215" s="4"/>
      <c r="BO215" s="369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560</v>
      </c>
      <c r="CH215" s="132"/>
      <c r="CI215" s="132"/>
    </row>
    <row r="216" spans="2:101" ht="18.5" customHeight="1" x14ac:dyDescent="0.25">
      <c r="I216" s="369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9" t="s">
        <v>373</v>
      </c>
      <c r="X216" s="4"/>
      <c r="Y216" s="1" t="s">
        <v>562</v>
      </c>
      <c r="Z216" s="1" t="s">
        <v>562</v>
      </c>
      <c r="AA216" s="1" t="s">
        <v>562</v>
      </c>
      <c r="AC216" s="369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562</v>
      </c>
      <c r="AS216" s="1" t="s">
        <v>562</v>
      </c>
      <c r="AT216" s="1" t="s">
        <v>562</v>
      </c>
      <c r="AU216" s="4"/>
      <c r="AV216" s="369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562</v>
      </c>
      <c r="BL216" s="1" t="s">
        <v>562</v>
      </c>
      <c r="BM216" s="1" t="s">
        <v>562</v>
      </c>
      <c r="BN216" s="4"/>
      <c r="BO216" s="369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562</v>
      </c>
      <c r="CF216" s="1" t="s">
        <v>562</v>
      </c>
      <c r="CG216" s="1" t="s">
        <v>562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655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9"/>
      <c r="X217" s="4" t="s">
        <v>60</v>
      </c>
      <c r="Y217" s="3" t="s">
        <v>561</v>
      </c>
      <c r="Z217" s="3" t="s">
        <v>561</v>
      </c>
      <c r="AA217" s="3" t="s">
        <v>561</v>
      </c>
      <c r="AC217" s="4"/>
      <c r="AD217" s="1" t="s">
        <v>655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561</v>
      </c>
      <c r="AS217" s="3" t="s">
        <v>561</v>
      </c>
      <c r="AT217" s="3" t="s">
        <v>561</v>
      </c>
      <c r="AU217" s="4"/>
      <c r="AV217" s="4"/>
      <c r="AW217" s="1" t="s">
        <v>655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561</v>
      </c>
      <c r="BL217" s="3" t="s">
        <v>561</v>
      </c>
      <c r="BM217" s="3" t="s">
        <v>561</v>
      </c>
      <c r="BN217" s="4"/>
      <c r="BO217" s="4"/>
      <c r="BP217" s="1" t="s">
        <v>655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561</v>
      </c>
      <c r="CF217" s="3" t="s">
        <v>561</v>
      </c>
      <c r="CG217" s="3" t="s">
        <v>561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754.33705407660659</v>
      </c>
      <c r="N218" s="62">
        <f>SUM(N210:N217)</f>
        <v>53587.719182451103</v>
      </c>
      <c r="O218" s="17" cm="1">
        <f t="array" ref="O218">SUM(K210:K217*O210:O217) / K218</f>
        <v>23054812.906863328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9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23054812.906863328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23054812.906863328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505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636</v>
      </c>
      <c r="P219" s="4"/>
      <c r="Q219" s="4"/>
      <c r="U219" s="3" t="s">
        <v>96</v>
      </c>
      <c r="V219" s="1" t="s">
        <v>93</v>
      </c>
      <c r="W219" s="369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636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636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636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9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533</v>
      </c>
      <c r="CM220" s="1" t="s">
        <v>534</v>
      </c>
      <c r="CN220" s="1" t="s">
        <v>536</v>
      </c>
      <c r="CO220" s="1" t="s">
        <v>85</v>
      </c>
      <c r="CP220" s="1" t="s">
        <v>635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535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9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61" t="s">
        <v>467</v>
      </c>
      <c r="C222" s="361"/>
      <c r="D222" s="361"/>
      <c r="E222" s="361"/>
      <c r="F222" s="361"/>
      <c r="G222" s="361"/>
      <c r="H222" s="361"/>
      <c r="J222" s="4"/>
      <c r="K222" s="4"/>
      <c r="L222" s="4"/>
      <c r="M222" s="4"/>
      <c r="N222" s="4"/>
      <c r="O222" s="4"/>
      <c r="P222" s="4"/>
      <c r="Q222" s="201" t="s">
        <v>551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93" t="s">
        <v>505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74"/>
      <c r="C223" s="374"/>
      <c r="D223" s="374"/>
      <c r="E223" s="374"/>
      <c r="F223" s="374"/>
      <c r="G223" s="374"/>
      <c r="H223" s="37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93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539</v>
      </c>
      <c r="L224" s="1" t="s">
        <v>533</v>
      </c>
      <c r="M224" s="3" t="s">
        <v>5</v>
      </c>
      <c r="N224" s="1" t="s">
        <v>85</v>
      </c>
      <c r="O224" s="1" t="s">
        <v>635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535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93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538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624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93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608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551</v>
      </c>
      <c r="J226" s="96" t="s">
        <v>470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93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8" t="s">
        <v>428</v>
      </c>
      <c r="CZ226" s="368"/>
      <c r="DA226" s="368"/>
      <c r="DB226" s="368"/>
      <c r="DC226" s="368"/>
      <c r="DD226" s="368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500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93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636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93"/>
      <c r="CK228" s="1" t="s">
        <v>655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545</v>
      </c>
      <c r="DA228" s="13" t="s">
        <v>442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533</v>
      </c>
      <c r="AF229" s="1" t="s">
        <v>534</v>
      </c>
      <c r="AG229" s="1" t="s">
        <v>536</v>
      </c>
      <c r="AH229" s="1" t="s">
        <v>85</v>
      </c>
      <c r="AI229" s="1" t="s">
        <v>635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535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636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6" t="s">
        <v>500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6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504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6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7" t="s">
        <v>640</v>
      </c>
      <c r="CZ233" s="357"/>
      <c r="DA233" s="357"/>
      <c r="DB233" s="357"/>
      <c r="DC233" s="357"/>
      <c r="DL233" s="3" t="s">
        <v>641</v>
      </c>
      <c r="DP233" s="50">
        <f>DF241</f>
        <v>46.099804713468714</v>
      </c>
      <c r="DQ233" s="48">
        <f>DQ241</f>
        <v>4044220.3273382401</v>
      </c>
      <c r="DS233" s="357" t="s">
        <v>643</v>
      </c>
      <c r="DT233" s="357"/>
      <c r="DU233" s="357"/>
      <c r="DV233" s="357"/>
      <c r="DW233" s="357"/>
      <c r="EG233" s="3" t="s">
        <v>644</v>
      </c>
      <c r="EK233" s="50">
        <f>EA241</f>
        <v>46.099804713468714</v>
      </c>
      <c r="EL233" s="48">
        <f>EL241</f>
        <v>4044220.3273382401</v>
      </c>
      <c r="FA233" s="3" t="s">
        <v>644</v>
      </c>
      <c r="FF233" s="50">
        <f>EV241</f>
        <v>13.829941414040613</v>
      </c>
      <c r="FG233" s="48">
        <f>FG241</f>
        <v>1213266.0982014721</v>
      </c>
      <c r="FI233" s="366" t="s">
        <v>411</v>
      </c>
      <c r="FJ233" s="367"/>
      <c r="FK233" s="367"/>
      <c r="FL233" s="367"/>
      <c r="FM233" s="367"/>
    </row>
    <row r="234" spans="2:169" ht="18" customHeight="1" thickBot="1" x14ac:dyDescent="0.3">
      <c r="U234" s="63" t="s">
        <v>1</v>
      </c>
      <c r="V234" s="58" t="s">
        <v>0</v>
      </c>
      <c r="AC234" s="356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61" t="s">
        <v>498</v>
      </c>
      <c r="BL234" s="361"/>
      <c r="BM234" s="361"/>
      <c r="BN234" s="361"/>
      <c r="BP234" s="4"/>
      <c r="BQ234" s="1" t="s">
        <v>533</v>
      </c>
      <c r="BR234" s="1" t="s">
        <v>534</v>
      </c>
      <c r="BS234" s="1" t="s">
        <v>536</v>
      </c>
      <c r="BT234" s="1" t="s">
        <v>85</v>
      </c>
      <c r="BU234" s="1" t="s">
        <v>635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535</v>
      </c>
      <c r="CB234" s="1" t="s">
        <v>50</v>
      </c>
      <c r="CJ234" s="308"/>
      <c r="CR234" s="3" t="s">
        <v>506</v>
      </c>
      <c r="CV234" s="50">
        <f>CL243</f>
        <v>46.0998047134687</v>
      </c>
      <c r="CW234" s="48">
        <f>CW243</f>
        <v>4027024.8231933108</v>
      </c>
      <c r="CY234" s="357"/>
      <c r="CZ234" s="357"/>
      <c r="DA234" s="357"/>
      <c r="DB234" s="357"/>
      <c r="DC234" s="357"/>
      <c r="DS234" s="357"/>
      <c r="DT234" s="357"/>
      <c r="DU234" s="357"/>
      <c r="DV234" s="357"/>
      <c r="DW234" s="357"/>
      <c r="FI234" s="367"/>
      <c r="FJ234" s="367"/>
      <c r="FK234" s="367"/>
      <c r="FL234" s="367"/>
      <c r="FM234" s="367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636</v>
      </c>
      <c r="AJ235" s="4"/>
      <c r="AK235" s="4"/>
      <c r="AO235" s="3" t="s">
        <v>96</v>
      </c>
      <c r="AP235" s="1" t="s">
        <v>93</v>
      </c>
      <c r="BK235" s="361"/>
      <c r="BL235" s="361"/>
      <c r="BM235" s="361"/>
      <c r="BN235" s="361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460</v>
      </c>
      <c r="DA235" s="159" t="s">
        <v>334</v>
      </c>
      <c r="DB235" s="371" t="s">
        <v>341</v>
      </c>
      <c r="DC235" s="138" t="s">
        <v>314</v>
      </c>
      <c r="DE235" s="4"/>
      <c r="DF235" s="1" t="s">
        <v>533</v>
      </c>
      <c r="DG235" s="1" t="s">
        <v>534</v>
      </c>
      <c r="DH235" s="1" t="s">
        <v>536</v>
      </c>
      <c r="DI235" s="1" t="s">
        <v>85</v>
      </c>
      <c r="DJ235" s="1" t="s">
        <v>635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535</v>
      </c>
      <c r="DQ235" s="1" t="s">
        <v>50</v>
      </c>
      <c r="DS235" s="22" t="s">
        <v>420</v>
      </c>
      <c r="DT235" s="22" t="s">
        <v>460</v>
      </c>
      <c r="DU235" s="159" t="s">
        <v>334</v>
      </c>
      <c r="DV235" s="371" t="s">
        <v>341</v>
      </c>
      <c r="DW235" s="138" t="s">
        <v>314</v>
      </c>
      <c r="DZ235" s="4"/>
      <c r="EA235" s="1" t="s">
        <v>533</v>
      </c>
      <c r="EB235" s="1" t="s">
        <v>534</v>
      </c>
      <c r="EC235" s="1" t="s">
        <v>536</v>
      </c>
      <c r="ED235" s="1" t="s">
        <v>85</v>
      </c>
      <c r="EE235" s="1" t="s">
        <v>635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535</v>
      </c>
      <c r="EL235" s="1" t="s">
        <v>50</v>
      </c>
      <c r="EU235" s="4"/>
      <c r="EV235" s="1" t="s">
        <v>533</v>
      </c>
      <c r="EW235" s="1" t="s">
        <v>534</v>
      </c>
      <c r="EX235" s="1" t="s">
        <v>536</v>
      </c>
      <c r="EY235" s="1" t="s">
        <v>85</v>
      </c>
      <c r="EZ235" s="1" t="s">
        <v>635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535</v>
      </c>
      <c r="FG235" s="1" t="s">
        <v>50</v>
      </c>
      <c r="FI235" s="367"/>
      <c r="FJ235" s="367"/>
      <c r="FK235" s="367"/>
      <c r="FL235" s="367"/>
      <c r="FM235" s="367"/>
    </row>
    <row r="236" spans="2:169" ht="22" customHeight="1" thickBot="1" x14ac:dyDescent="0.3">
      <c r="Q236" s="3" t="s">
        <v>516</v>
      </c>
      <c r="U236" s="50">
        <f>K242</f>
        <v>7.4647476716394348</v>
      </c>
      <c r="V236" s="48">
        <f>V242</f>
        <v>58.434372046010559</v>
      </c>
      <c r="BO236" s="393" t="s">
        <v>499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533</v>
      </c>
      <c r="CM236" s="1" t="s">
        <v>534</v>
      </c>
      <c r="CN236" s="1" t="s">
        <v>536</v>
      </c>
      <c r="CO236" s="1" t="s">
        <v>85</v>
      </c>
      <c r="CP236" s="1" t="s">
        <v>635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535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72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72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93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64" t="s">
        <v>641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64" t="s">
        <v>503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5" t="s">
        <v>644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61" t="s">
        <v>498</v>
      </c>
      <c r="F238" s="361"/>
      <c r="G238" s="361"/>
      <c r="H238" s="361"/>
      <c r="J238" s="4"/>
      <c r="K238" s="1" t="s">
        <v>533</v>
      </c>
      <c r="L238" s="1" t="s">
        <v>534</v>
      </c>
      <c r="M238" s="1" t="s">
        <v>536</v>
      </c>
      <c r="N238" s="1" t="s">
        <v>85</v>
      </c>
      <c r="O238" s="1" t="s">
        <v>635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535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6" t="s">
        <v>506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611</v>
      </c>
      <c r="DC238" s="136">
        <f>DQ233/(CW234+DD229)</f>
        <v>0.99606022128883631</v>
      </c>
      <c r="DD238" s="364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611</v>
      </c>
      <c r="DW238" s="136">
        <f>EL233/DQ233</f>
        <v>1</v>
      </c>
      <c r="DY238" s="364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5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61"/>
      <c r="F239" s="361"/>
      <c r="G239" s="361"/>
      <c r="H239" s="361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636</v>
      </c>
      <c r="BV239" s="4"/>
      <c r="BW239" s="4"/>
      <c r="CA239" s="3" t="s">
        <v>96</v>
      </c>
      <c r="CB239" s="1" t="s">
        <v>93</v>
      </c>
      <c r="CJ239" s="356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64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397</v>
      </c>
      <c r="DW239" s="137">
        <f>EL233/DQ233</f>
        <v>1</v>
      </c>
      <c r="DY239" s="364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5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6" t="s">
        <v>504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6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64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64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5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6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6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6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636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636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560</v>
      </c>
      <c r="EV242" s="1" t="s">
        <v>89</v>
      </c>
      <c r="EW242" s="1"/>
      <c r="EX242" s="3" t="s">
        <v>91</v>
      </c>
      <c r="EY242" s="3" t="s">
        <v>87</v>
      </c>
      <c r="EZ242" s="1" t="s">
        <v>636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636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560</v>
      </c>
      <c r="EO243" s="4"/>
      <c r="EP243" s="1" t="s">
        <v>562</v>
      </c>
      <c r="EQ243" s="1" t="s">
        <v>562</v>
      </c>
      <c r="ER243" s="1" t="s">
        <v>562</v>
      </c>
    </row>
    <row r="244" spans="9:163" ht="24" customHeight="1" thickBot="1" x14ac:dyDescent="0.3">
      <c r="BW244" s="3" t="s">
        <v>458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636</v>
      </c>
      <c r="CQ244" s="4"/>
      <c r="CR244" s="4"/>
      <c r="CV244" s="3" t="s">
        <v>96</v>
      </c>
      <c r="CW244" s="1" t="s">
        <v>93</v>
      </c>
      <c r="CY244" s="4"/>
      <c r="CZ244" s="1" t="s">
        <v>562</v>
      </c>
      <c r="DA244" s="1" t="s">
        <v>562</v>
      </c>
      <c r="DB244" s="1" t="s">
        <v>562</v>
      </c>
      <c r="EO244" s="4" t="s">
        <v>60</v>
      </c>
      <c r="EP244" s="3" t="s">
        <v>561</v>
      </c>
      <c r="EQ244" s="3" t="s">
        <v>561</v>
      </c>
      <c r="ER244" s="3" t="s">
        <v>561</v>
      </c>
    </row>
    <row r="245" spans="9:163" x14ac:dyDescent="0.2">
      <c r="BO245" s="4"/>
      <c r="CY245" s="4" t="s">
        <v>60</v>
      </c>
      <c r="CZ245" s="3" t="s">
        <v>561</v>
      </c>
      <c r="DA245" s="3" t="s">
        <v>561</v>
      </c>
      <c r="DB245" s="3" t="s">
        <v>561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61" t="s">
        <v>457</v>
      </c>
      <c r="BL246" s="361"/>
      <c r="BM246" s="361"/>
      <c r="BN246" s="361"/>
      <c r="BO246" s="313"/>
      <c r="BP246" s="1"/>
      <c r="BQ246" s="3" t="s">
        <v>539</v>
      </c>
      <c r="BR246" s="1" t="s">
        <v>533</v>
      </c>
      <c r="BS246" s="3" t="s">
        <v>5</v>
      </c>
      <c r="BT246" s="1" t="s">
        <v>85</v>
      </c>
      <c r="BU246" s="1" t="s">
        <v>635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535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61"/>
      <c r="BL247" s="361"/>
      <c r="BM247" s="361"/>
      <c r="BN247" s="361"/>
      <c r="BO247" s="313"/>
      <c r="BP247" s="1"/>
      <c r="BQ247" s="3" t="s">
        <v>538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636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507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533</v>
      </c>
      <c r="CM253" s="1" t="s">
        <v>534</v>
      </c>
      <c r="CN253" s="1" t="s">
        <v>536</v>
      </c>
      <c r="CO253" s="1" t="s">
        <v>85</v>
      </c>
      <c r="CP253" s="1" t="s">
        <v>635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535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6" t="s">
        <v>507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6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6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636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507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533</v>
      </c>
      <c r="CM269" s="1" t="s">
        <v>534</v>
      </c>
      <c r="CN269" s="1" t="s">
        <v>536</v>
      </c>
      <c r="CO269" s="1" t="s">
        <v>85</v>
      </c>
      <c r="CP269" s="1" t="s">
        <v>635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535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93" t="s">
        <v>682</v>
      </c>
      <c r="CK271" s="17" t="s">
        <v>652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93"/>
      <c r="CK272" s="3" t="s">
        <v>653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93"/>
      <c r="CK273" s="3" t="s">
        <v>654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93"/>
      <c r="CK274" s="3" t="s">
        <v>666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93"/>
      <c r="CK275" s="3" t="s">
        <v>673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93"/>
      <c r="CK276" s="3" t="s">
        <v>675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93"/>
      <c r="CK277" s="4" t="s">
        <v>676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93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93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93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93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636</v>
      </c>
      <c r="CQ283" s="4"/>
      <c r="CR283" s="4"/>
      <c r="CV283" s="3" t="s">
        <v>96</v>
      </c>
      <c r="CW283" s="1" t="s">
        <v>93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CF128:CF129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AO22" r:id="rId11" xr:uid="{9679CAA2-2512-3646-B9B7-B3BAD1D49758}"/>
    <hyperlink ref="DB225" r:id="rId12" xr:uid="{7858FC41-8418-EC45-9A69-6746A901800B}"/>
    <hyperlink ref="BM157" r:id="rId13" xr:uid="{8F30C068-F732-4A49-AE92-817B4F7E10E4}"/>
    <hyperlink ref="BM156" r:id="rId14" xr:uid="{56AA5492-5E7B-6740-9CD6-917BF070EA2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abSelected="1"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 x14ac:dyDescent="0.25">
      <c r="D7" s="395" t="s">
        <v>421</v>
      </c>
      <c r="E7" s="214" t="s">
        <v>547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6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7" t="s">
        <v>20</v>
      </c>
      <c r="E9" s="214" t="s">
        <v>547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8"/>
      <c r="E10" s="214" t="s">
        <v>548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8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9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400" t="s">
        <v>350</v>
      </c>
      <c r="E13" s="214" t="s">
        <v>547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401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402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403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403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404"/>
      <c r="E18" s="213" t="s">
        <v>532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550</v>
      </c>
      <c r="F23" s="3" t="s">
        <v>549</v>
      </c>
      <c r="G23" s="3" t="s">
        <v>614</v>
      </c>
    </row>
    <row r="24" spans="4:9" x14ac:dyDescent="0.2">
      <c r="E24" s="201" t="s">
        <v>547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548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532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75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559</v>
      </c>
      <c r="AT1" s="256"/>
      <c r="AU1" s="204" t="s">
        <v>405</v>
      </c>
      <c r="AV1" s="204" t="s">
        <v>406</v>
      </c>
      <c r="AW1" s="204" t="s">
        <v>407</v>
      </c>
      <c r="AX1" s="204" t="s">
        <v>540</v>
      </c>
      <c r="AY1" s="204" t="s">
        <v>519</v>
      </c>
      <c r="AZ1" s="204" t="s">
        <v>518</v>
      </c>
      <c r="BA1" s="204" t="s">
        <v>432</v>
      </c>
      <c r="BB1" s="204" t="s">
        <v>429</v>
      </c>
      <c r="BC1" s="204" t="s">
        <v>443</v>
      </c>
      <c r="BD1" s="204" t="s">
        <v>430</v>
      </c>
      <c r="BE1" s="204" t="s">
        <v>425</v>
      </c>
      <c r="BF1" s="204" t="s">
        <v>640</v>
      </c>
      <c r="BG1" s="204" t="s">
        <v>643</v>
      </c>
      <c r="BH1" s="204" t="s">
        <v>81</v>
      </c>
      <c r="BI1" s="204" t="s">
        <v>417</v>
      </c>
      <c r="BN1" s="256"/>
      <c r="BO1" s="204" t="s">
        <v>405</v>
      </c>
      <c r="BP1" s="204" t="s">
        <v>406</v>
      </c>
      <c r="BQ1" s="204" t="s">
        <v>407</v>
      </c>
      <c r="BR1" s="204" t="s">
        <v>540</v>
      </c>
      <c r="BS1" s="204" t="s">
        <v>519</v>
      </c>
      <c r="BT1" s="204" t="s">
        <v>518</v>
      </c>
      <c r="BU1" s="204" t="s">
        <v>432</v>
      </c>
      <c r="BV1" s="204" t="s">
        <v>429</v>
      </c>
      <c r="BW1" s="204" t="s">
        <v>443</v>
      </c>
      <c r="BX1" s="204" t="s">
        <v>430</v>
      </c>
      <c r="BY1" s="204" t="s">
        <v>425</v>
      </c>
      <c r="BZ1" s="204" t="s">
        <v>640</v>
      </c>
      <c r="CA1" s="204" t="s">
        <v>643</v>
      </c>
      <c r="CB1" s="204" t="s">
        <v>81</v>
      </c>
      <c r="CC1" s="204" t="s">
        <v>417</v>
      </c>
    </row>
    <row r="2" spans="2:81" x14ac:dyDescent="0.2">
      <c r="B2" s="201" t="s">
        <v>413</v>
      </c>
      <c r="C2" s="280">
        <v>1</v>
      </c>
      <c r="AT2" s="201" t="s">
        <v>413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413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415</v>
      </c>
      <c r="C3" s="280">
        <v>1</v>
      </c>
      <c r="AT3" s="201" t="s">
        <v>415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415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416</v>
      </c>
      <c r="C4" s="280">
        <v>1</v>
      </c>
      <c r="AT4" s="201" t="s">
        <v>416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416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436</v>
      </c>
      <c r="C5" s="280">
        <v>1</v>
      </c>
      <c r="AT5" s="201" t="s">
        <v>436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436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458</v>
      </c>
      <c r="C6" s="280">
        <v>1</v>
      </c>
      <c r="AM6" s="201"/>
      <c r="AT6" s="201" t="s">
        <v>458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458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551</v>
      </c>
      <c r="C7" s="280">
        <v>1</v>
      </c>
      <c r="AM7" s="201"/>
      <c r="AT7" s="201" t="s">
        <v>551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551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552</v>
      </c>
      <c r="C8" s="280">
        <v>1</v>
      </c>
      <c r="AM8" s="201"/>
      <c r="AT8" s="201" t="s">
        <v>552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552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495</v>
      </c>
      <c r="C9" s="280">
        <v>1</v>
      </c>
      <c r="AM9" s="201"/>
      <c r="AT9" s="201" t="s">
        <v>495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495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544</v>
      </c>
      <c r="C10" s="280">
        <v>1</v>
      </c>
      <c r="AM10" s="201"/>
      <c r="AT10" s="201" t="s">
        <v>544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544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526</v>
      </c>
      <c r="C11" s="280">
        <v>1</v>
      </c>
      <c r="AT11" s="202" t="s">
        <v>526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526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493</v>
      </c>
      <c r="C12" s="280">
        <v>1</v>
      </c>
      <c r="AT12" s="201" t="s">
        <v>493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493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496</v>
      </c>
      <c r="C13" s="280">
        <v>1</v>
      </c>
      <c r="AT13" s="202" t="s">
        <v>496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496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521</v>
      </c>
      <c r="C14" s="280">
        <v>1</v>
      </c>
      <c r="AT14" s="201" t="s">
        <v>521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521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514</v>
      </c>
      <c r="C15" s="280">
        <v>1</v>
      </c>
      <c r="AT15" s="203" t="s">
        <v>514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514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500</v>
      </c>
      <c r="C16" s="280">
        <v>1</v>
      </c>
      <c r="AT16" s="201" t="s">
        <v>500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500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525</v>
      </c>
      <c r="C17" s="280">
        <v>1</v>
      </c>
      <c r="AT17" s="202" t="s">
        <v>525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525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520</v>
      </c>
      <c r="C18" s="280">
        <v>1</v>
      </c>
      <c r="AT18" s="202" t="s">
        <v>520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520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517</v>
      </c>
      <c r="C19" s="280">
        <v>1</v>
      </c>
      <c r="AT19" s="202" t="s">
        <v>517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517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523</v>
      </c>
      <c r="C20" s="280">
        <v>1</v>
      </c>
      <c r="AT20" s="202" t="s">
        <v>523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523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522</v>
      </c>
      <c r="C21" s="280">
        <v>1</v>
      </c>
      <c r="AT21" s="203" t="s">
        <v>522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522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508</v>
      </c>
      <c r="C22" s="280">
        <v>1</v>
      </c>
      <c r="AT22" s="203" t="s">
        <v>508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508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541</v>
      </c>
      <c r="C23" s="280">
        <v>1</v>
      </c>
      <c r="AT23" s="203" t="s">
        <v>541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541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509</v>
      </c>
      <c r="C24" s="280">
        <v>1</v>
      </c>
      <c r="AT24" s="203" t="s">
        <v>509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509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511</v>
      </c>
      <c r="C25" s="280">
        <v>1</v>
      </c>
      <c r="AT25" s="203" t="s">
        <v>511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511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510</v>
      </c>
      <c r="C26" s="280">
        <v>1</v>
      </c>
      <c r="AT26" s="203" t="s">
        <v>510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510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606</v>
      </c>
      <c r="C27" s="280">
        <v>1</v>
      </c>
      <c r="AT27" s="203" t="s">
        <v>606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606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506</v>
      </c>
      <c r="C28" s="280">
        <v>1</v>
      </c>
      <c r="AT28" s="249" t="s">
        <v>506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506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682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682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505</v>
      </c>
      <c r="C30" s="280">
        <v>1</v>
      </c>
      <c r="AT30" s="203" t="s">
        <v>505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505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507</v>
      </c>
      <c r="C31" s="280">
        <v>1</v>
      </c>
      <c r="AT31" s="201" t="s">
        <v>507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507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503</v>
      </c>
      <c r="C32" s="280">
        <v>1</v>
      </c>
      <c r="AT32" s="203" t="s">
        <v>641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641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644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644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529</v>
      </c>
      <c r="C34" s="280">
        <v>1</v>
      </c>
      <c r="AT34" s="203" t="s">
        <v>529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529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530</v>
      </c>
      <c r="C35" s="280">
        <v>1</v>
      </c>
      <c r="AT35" s="203" t="s">
        <v>530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530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531</v>
      </c>
      <c r="C36" s="280">
        <v>1</v>
      </c>
      <c r="AT36" s="203" t="s">
        <v>531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531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542</v>
      </c>
      <c r="C37" s="280">
        <v>1</v>
      </c>
      <c r="AT37" s="203" t="s">
        <v>542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542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558</v>
      </c>
      <c r="AT38" s="203"/>
      <c r="AU38" s="405" t="s">
        <v>555</v>
      </c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G38" s="405"/>
      <c r="BH38" s="405"/>
      <c r="BI38" s="405"/>
      <c r="BN38" s="203"/>
      <c r="BO38" s="405" t="s">
        <v>556</v>
      </c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  <c r="CA38" s="405"/>
      <c r="CB38" s="405"/>
      <c r="CC38" s="405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405</v>
      </c>
      <c r="AV41" s="204" t="s">
        <v>406</v>
      </c>
      <c r="AW41" s="204" t="s">
        <v>407</v>
      </c>
      <c r="AX41" s="204" t="s">
        <v>540</v>
      </c>
      <c r="AY41" s="204" t="s">
        <v>519</v>
      </c>
      <c r="AZ41" s="204" t="s">
        <v>518</v>
      </c>
      <c r="BA41" s="204" t="s">
        <v>432</v>
      </c>
      <c r="BB41" s="204" t="s">
        <v>429</v>
      </c>
      <c r="BC41" s="204" t="s">
        <v>443</v>
      </c>
      <c r="BD41" s="204" t="s">
        <v>430</v>
      </c>
      <c r="BE41" s="204" t="s">
        <v>425</v>
      </c>
      <c r="BF41" s="204" t="s">
        <v>640</v>
      </c>
      <c r="BG41" s="204" t="s">
        <v>643</v>
      </c>
      <c r="BH41" s="204" t="s">
        <v>81</v>
      </c>
      <c r="BI41" s="204" t="s">
        <v>417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413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415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416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436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2787379.6921424987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458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1078370532.5161049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551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552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495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544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526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493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496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521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514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500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525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520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517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523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522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508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541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509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511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510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606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506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682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505</v>
      </c>
      <c r="AU70" s="280">
        <f t="shared" ref="AU70:AU77" si="28">AU115</f>
        <v>0</v>
      </c>
      <c r="AV70" s="280">
        <f t="shared" ref="AV70:BI70" si="29">AV115</f>
        <v>0</v>
      </c>
      <c r="AW70" s="280">
        <f t="shared" si="29"/>
        <v>0</v>
      </c>
      <c r="AX70" s="280">
        <f t="shared" si="29"/>
        <v>0</v>
      </c>
      <c r="AY70" s="280">
        <f t="shared" si="29"/>
        <v>0</v>
      </c>
      <c r="AZ70" s="280">
        <f t="shared" si="29"/>
        <v>0</v>
      </c>
      <c r="BA70" s="280">
        <f t="shared" si="29"/>
        <v>0</v>
      </c>
      <c r="BB70" s="280">
        <f t="shared" si="29"/>
        <v>0</v>
      </c>
      <c r="BC70" s="280">
        <f t="shared" si="29"/>
        <v>0</v>
      </c>
      <c r="BD70" s="280">
        <f t="shared" si="29"/>
        <v>0</v>
      </c>
      <c r="BE70" s="280">
        <f t="shared" si="29"/>
        <v>0</v>
      </c>
      <c r="BF70" s="280">
        <f t="shared" si="29"/>
        <v>0</v>
      </c>
      <c r="BG70" s="280">
        <f t="shared" si="29"/>
        <v>0</v>
      </c>
      <c r="BH70" s="280">
        <f t="shared" si="29"/>
        <v>0</v>
      </c>
      <c r="BI70" s="280">
        <f t="shared" si="29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507</v>
      </c>
      <c r="AU71" s="280">
        <f t="shared" si="28"/>
        <v>0</v>
      </c>
      <c r="AV71" s="280">
        <f t="shared" ref="AV71:BI71" si="30">AV116</f>
        <v>0</v>
      </c>
      <c r="AW71" s="280">
        <f t="shared" si="30"/>
        <v>0</v>
      </c>
      <c r="AX71" s="280">
        <f t="shared" si="30"/>
        <v>0</v>
      </c>
      <c r="AY71" s="280">
        <f t="shared" si="30"/>
        <v>0</v>
      </c>
      <c r="AZ71" s="280">
        <f t="shared" si="30"/>
        <v>0</v>
      </c>
      <c r="BA71" s="280">
        <f t="shared" si="30"/>
        <v>0</v>
      </c>
      <c r="BB71" s="280">
        <f t="shared" si="30"/>
        <v>0</v>
      </c>
      <c r="BC71" s="280">
        <f t="shared" si="30"/>
        <v>0</v>
      </c>
      <c r="BD71" s="280">
        <f t="shared" si="30"/>
        <v>0</v>
      </c>
      <c r="BE71" s="280">
        <f t="shared" si="30"/>
        <v>0</v>
      </c>
      <c r="BF71" s="280">
        <f t="shared" si="30"/>
        <v>0</v>
      </c>
      <c r="BG71" s="280">
        <f t="shared" si="30"/>
        <v>0</v>
      </c>
      <c r="BH71" s="280">
        <f t="shared" si="30"/>
        <v>0</v>
      </c>
      <c r="BI71" s="280">
        <f t="shared" si="30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641</v>
      </c>
      <c r="AU72" s="280">
        <f t="shared" si="28"/>
        <v>0</v>
      </c>
      <c r="AV72" s="280">
        <f t="shared" ref="AV72:BI72" si="31">AV117</f>
        <v>0</v>
      </c>
      <c r="AW72" s="280">
        <f t="shared" si="31"/>
        <v>0</v>
      </c>
      <c r="AX72" s="280">
        <f t="shared" si="31"/>
        <v>0</v>
      </c>
      <c r="AY72" s="280">
        <f t="shared" si="31"/>
        <v>0</v>
      </c>
      <c r="AZ72" s="280">
        <f t="shared" si="31"/>
        <v>0</v>
      </c>
      <c r="BA72" s="280">
        <f t="shared" si="31"/>
        <v>0</v>
      </c>
      <c r="BB72" s="280">
        <f t="shared" si="31"/>
        <v>0</v>
      </c>
      <c r="BC72" s="280">
        <f t="shared" si="31"/>
        <v>0</v>
      </c>
      <c r="BD72" s="280">
        <f t="shared" si="31"/>
        <v>0</v>
      </c>
      <c r="BE72" s="280">
        <f t="shared" si="31"/>
        <v>0</v>
      </c>
      <c r="BF72" s="280">
        <f t="shared" si="31"/>
        <v>0</v>
      </c>
      <c r="BG72" s="280">
        <f t="shared" si="31"/>
        <v>4044220.3273382401</v>
      </c>
      <c r="BH72" s="280">
        <f t="shared" si="31"/>
        <v>0</v>
      </c>
      <c r="BI72" s="280">
        <f t="shared" si="31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644</v>
      </c>
      <c r="AU73" s="280">
        <f t="shared" si="28"/>
        <v>0</v>
      </c>
      <c r="AV73" s="280">
        <f t="shared" ref="AV73" si="32">AV118</f>
        <v>0</v>
      </c>
      <c r="AW73" s="280">
        <f t="shared" ref="AW73" si="33">AW118</f>
        <v>0</v>
      </c>
      <c r="AX73" s="280">
        <f t="shared" ref="AX73" si="34">AX118</f>
        <v>0</v>
      </c>
      <c r="AY73" s="280">
        <f t="shared" ref="AY73" si="35">AY118</f>
        <v>0</v>
      </c>
      <c r="AZ73" s="280">
        <f t="shared" ref="AZ73" si="36">AZ118</f>
        <v>0</v>
      </c>
      <c r="BA73" s="280">
        <f t="shared" ref="BA73" si="37">BA118</f>
        <v>0</v>
      </c>
      <c r="BB73" s="280">
        <f t="shared" ref="BB73" si="38">BB118</f>
        <v>0</v>
      </c>
      <c r="BC73" s="280">
        <f t="shared" ref="BC73" si="39">BC118</f>
        <v>0</v>
      </c>
      <c r="BD73" s="280">
        <f t="shared" ref="BD73" si="40">BD118</f>
        <v>0</v>
      </c>
      <c r="BE73" s="280">
        <f t="shared" ref="BE73" si="41">BE118</f>
        <v>0</v>
      </c>
      <c r="BF73" s="280">
        <f t="shared" ref="BF73:BI73" si="42">BF118</f>
        <v>0</v>
      </c>
      <c r="BG73" s="280">
        <f t="shared" si="42"/>
        <v>0</v>
      </c>
      <c r="BH73" s="280">
        <f t="shared" si="42"/>
        <v>0</v>
      </c>
      <c r="BI73" s="280">
        <f t="shared" si="42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529</v>
      </c>
      <c r="AU74" s="280">
        <f t="shared" si="28"/>
        <v>0</v>
      </c>
      <c r="AV74" s="280">
        <f t="shared" ref="AV74:BI74" si="43">AV119</f>
        <v>0</v>
      </c>
      <c r="AW74" s="280">
        <f t="shared" si="43"/>
        <v>0</v>
      </c>
      <c r="AX74" s="280">
        <f t="shared" si="43"/>
        <v>0</v>
      </c>
      <c r="AY74" s="280">
        <f t="shared" si="43"/>
        <v>0</v>
      </c>
      <c r="AZ74" s="280">
        <f t="shared" si="43"/>
        <v>0</v>
      </c>
      <c r="BA74" s="280">
        <f t="shared" si="43"/>
        <v>0</v>
      </c>
      <c r="BB74" s="280">
        <f t="shared" si="43"/>
        <v>0</v>
      </c>
      <c r="BC74" s="280">
        <f t="shared" si="43"/>
        <v>0</v>
      </c>
      <c r="BD74" s="280">
        <f t="shared" si="43"/>
        <v>0</v>
      </c>
      <c r="BE74" s="280">
        <f t="shared" si="43"/>
        <v>0</v>
      </c>
      <c r="BF74" s="280">
        <f t="shared" si="43"/>
        <v>0</v>
      </c>
      <c r="BG74" s="280">
        <f t="shared" si="43"/>
        <v>0</v>
      </c>
      <c r="BH74" s="280">
        <f t="shared" si="43"/>
        <v>0</v>
      </c>
      <c r="BI74" s="280">
        <f t="shared" si="43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530</v>
      </c>
      <c r="AU75" s="280">
        <f t="shared" si="28"/>
        <v>0</v>
      </c>
      <c r="AV75" s="280">
        <f t="shared" ref="AV75:BI75" si="44">AV120</f>
        <v>0</v>
      </c>
      <c r="AW75" s="280">
        <f t="shared" si="44"/>
        <v>0</v>
      </c>
      <c r="AX75" s="280">
        <f t="shared" si="44"/>
        <v>0</v>
      </c>
      <c r="AY75" s="280">
        <f t="shared" si="44"/>
        <v>0</v>
      </c>
      <c r="AZ75" s="280">
        <f t="shared" si="44"/>
        <v>0</v>
      </c>
      <c r="BA75" s="280">
        <f t="shared" si="44"/>
        <v>0</v>
      </c>
      <c r="BB75" s="280">
        <f t="shared" si="44"/>
        <v>0</v>
      </c>
      <c r="BC75" s="280">
        <f t="shared" si="44"/>
        <v>0</v>
      </c>
      <c r="BD75" s="280">
        <f t="shared" si="44"/>
        <v>0</v>
      </c>
      <c r="BE75" s="280">
        <f t="shared" si="44"/>
        <v>0</v>
      </c>
      <c r="BF75" s="280">
        <f t="shared" si="44"/>
        <v>0</v>
      </c>
      <c r="BG75" s="280">
        <f t="shared" si="44"/>
        <v>0</v>
      </c>
      <c r="BH75" s="280">
        <f t="shared" si="44"/>
        <v>0</v>
      </c>
      <c r="BI75" s="280">
        <f t="shared" si="44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531</v>
      </c>
      <c r="AU76" s="280">
        <f t="shared" si="28"/>
        <v>0</v>
      </c>
      <c r="AV76" s="280">
        <f t="shared" ref="AV76:BI76" si="45">AV121</f>
        <v>0</v>
      </c>
      <c r="AW76" s="280">
        <f t="shared" si="45"/>
        <v>0</v>
      </c>
      <c r="AX76" s="280">
        <f t="shared" si="45"/>
        <v>0</v>
      </c>
      <c r="AY76" s="280">
        <f t="shared" si="45"/>
        <v>0</v>
      </c>
      <c r="AZ76" s="280">
        <f t="shared" si="45"/>
        <v>0</v>
      </c>
      <c r="BA76" s="280">
        <f t="shared" si="45"/>
        <v>0</v>
      </c>
      <c r="BB76" s="280">
        <f t="shared" si="45"/>
        <v>0</v>
      </c>
      <c r="BC76" s="280">
        <f t="shared" si="45"/>
        <v>0</v>
      </c>
      <c r="BD76" s="280">
        <f t="shared" si="45"/>
        <v>0</v>
      </c>
      <c r="BE76" s="280">
        <f t="shared" si="45"/>
        <v>0</v>
      </c>
      <c r="BF76" s="280">
        <f t="shared" si="45"/>
        <v>0</v>
      </c>
      <c r="BG76" s="280">
        <f t="shared" si="45"/>
        <v>0</v>
      </c>
      <c r="BH76" s="280">
        <f t="shared" si="45"/>
        <v>0</v>
      </c>
      <c r="BI76" s="280">
        <f t="shared" si="45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542</v>
      </c>
      <c r="AU77" s="280">
        <f t="shared" si="28"/>
        <v>0</v>
      </c>
      <c r="AV77" s="280">
        <f t="shared" ref="AV77:BI77" si="46">AV122</f>
        <v>0</v>
      </c>
      <c r="AW77" s="280">
        <f t="shared" si="46"/>
        <v>0</v>
      </c>
      <c r="AX77" s="280">
        <f t="shared" si="46"/>
        <v>0</v>
      </c>
      <c r="AY77" s="280">
        <f t="shared" si="46"/>
        <v>0</v>
      </c>
      <c r="AZ77" s="280">
        <f t="shared" si="46"/>
        <v>0</v>
      </c>
      <c r="BA77" s="280">
        <f t="shared" si="46"/>
        <v>0</v>
      </c>
      <c r="BB77" s="280">
        <f t="shared" si="46"/>
        <v>0</v>
      </c>
      <c r="BC77" s="280">
        <f t="shared" si="46"/>
        <v>0</v>
      </c>
      <c r="BD77" s="280">
        <f t="shared" si="46"/>
        <v>0</v>
      </c>
      <c r="BE77" s="280">
        <f t="shared" si="46"/>
        <v>0</v>
      </c>
      <c r="BF77" s="280">
        <f t="shared" si="46"/>
        <v>0</v>
      </c>
      <c r="BG77" s="280">
        <f t="shared" si="46"/>
        <v>0</v>
      </c>
      <c r="BH77" s="280">
        <f t="shared" si="46"/>
        <v>0</v>
      </c>
      <c r="BI77" s="280">
        <f t="shared" si="46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5" t="s">
        <v>557</v>
      </c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  <c r="BG78" s="405"/>
      <c r="BH78" s="405"/>
      <c r="BI78" s="405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405</v>
      </c>
      <c r="AV86" s="204" t="s">
        <v>406</v>
      </c>
      <c r="AW86" s="204" t="s">
        <v>407</v>
      </c>
      <c r="AX86" s="204" t="s">
        <v>540</v>
      </c>
      <c r="AY86" s="204" t="s">
        <v>519</v>
      </c>
      <c r="AZ86" s="204" t="s">
        <v>518</v>
      </c>
      <c r="BA86" s="204" t="s">
        <v>432</v>
      </c>
      <c r="BB86" s="204" t="s">
        <v>429</v>
      </c>
      <c r="BC86" s="204" t="s">
        <v>443</v>
      </c>
      <c r="BD86" s="204" t="s">
        <v>430</v>
      </c>
      <c r="BE86" s="204" t="s">
        <v>425</v>
      </c>
      <c r="BF86" s="204" t="s">
        <v>640</v>
      </c>
      <c r="BG86" s="204" t="s">
        <v>643</v>
      </c>
      <c r="BH86" s="204" t="s">
        <v>81</v>
      </c>
      <c r="BI86" s="204" t="s">
        <v>417</v>
      </c>
      <c r="BN86" s="204"/>
      <c r="BO86" s="204" t="s">
        <v>411</v>
      </c>
      <c r="BP86" s="204" t="s">
        <v>353</v>
      </c>
    </row>
    <row r="87" spans="36:81" x14ac:dyDescent="0.2">
      <c r="AJ87" s="201"/>
      <c r="AK87" s="201"/>
      <c r="AT87" s="201" t="s">
        <v>413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413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415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415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416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7">SUM(AU89:BI89)</f>
        <v>8851059.7091535721</v>
      </c>
      <c r="BN89" s="201" t="s">
        <v>416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436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2787379.6921424987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7"/>
        <v>2837357.8436831953</v>
      </c>
      <c r="BN90" s="201" t="s">
        <v>436</v>
      </c>
      <c r="BO90" s="240"/>
      <c r="BP90" s="240"/>
      <c r="BQ90" s="248">
        <f t="shared" ref="BQ90:BQ94" si="48">SUM(BO90:BP90)</f>
        <v>0</v>
      </c>
    </row>
    <row r="91" spans="36:81" x14ac:dyDescent="0.2">
      <c r="AJ91" s="201"/>
      <c r="AK91" s="201"/>
      <c r="AM91" s="201"/>
      <c r="AT91" s="201" t="s">
        <v>458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1078370532.5161049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7"/>
        <v>1091283756.7089078</v>
      </c>
      <c r="BN91" s="201" t="s">
        <v>458</v>
      </c>
      <c r="BO91" s="240"/>
      <c r="BP91" s="240"/>
      <c r="BQ91" s="248">
        <f t="shared" si="48"/>
        <v>0</v>
      </c>
    </row>
    <row r="92" spans="36:81" x14ac:dyDescent="0.2">
      <c r="AJ92" s="201"/>
      <c r="AK92" s="201"/>
      <c r="AM92" s="201"/>
      <c r="AT92" s="201" t="s">
        <v>551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7"/>
        <v>117713.24639155329</v>
      </c>
      <c r="BN92" s="201" t="s">
        <v>551</v>
      </c>
      <c r="BO92" s="240"/>
      <c r="BP92" s="240"/>
      <c r="BQ92" s="248">
        <f t="shared" si="48"/>
        <v>0</v>
      </c>
    </row>
    <row r="93" spans="36:81" x14ac:dyDescent="0.2">
      <c r="AJ93" s="201"/>
      <c r="AK93" s="201"/>
      <c r="AM93" s="201"/>
      <c r="AT93" s="201" t="s">
        <v>552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7"/>
        <v>24.076233417548465</v>
      </c>
      <c r="BN93" s="201" t="s">
        <v>552</v>
      </c>
      <c r="BO93" s="240"/>
      <c r="BP93" s="240"/>
      <c r="BQ93" s="248">
        <f t="shared" si="48"/>
        <v>0</v>
      </c>
    </row>
    <row r="94" spans="36:81" x14ac:dyDescent="0.2">
      <c r="AJ94" s="201"/>
      <c r="AK94" s="201"/>
      <c r="AM94" s="201"/>
      <c r="AT94" s="201" t="s">
        <v>495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7"/>
        <v>29112.263489807588</v>
      </c>
      <c r="BN94" s="201" t="s">
        <v>495</v>
      </c>
      <c r="BO94" s="240"/>
      <c r="BP94" s="240"/>
      <c r="BQ94" s="248">
        <f t="shared" si="48"/>
        <v>0</v>
      </c>
    </row>
    <row r="95" spans="36:81" x14ac:dyDescent="0.2">
      <c r="AJ95" s="201"/>
      <c r="AK95" s="201"/>
      <c r="AM95" s="201"/>
      <c r="AT95" s="201" t="s">
        <v>544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7"/>
        <v>1058348.7350491155</v>
      </c>
      <c r="BN95" s="201" t="s">
        <v>544</v>
      </c>
      <c r="BO95" s="240"/>
      <c r="BP95" s="240"/>
      <c r="BQ95" s="248">
        <f t="shared" ref="BQ95:BQ101" si="49">SUM(BO95:BP95)</f>
        <v>0</v>
      </c>
    </row>
    <row r="96" spans="36:81" ht="16" x14ac:dyDescent="0.2">
      <c r="AJ96" s="242"/>
      <c r="AK96" s="242"/>
      <c r="AT96" s="202" t="s">
        <v>526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7"/>
        <v>109233.7126431732</v>
      </c>
      <c r="BN96" s="202" t="s">
        <v>526</v>
      </c>
      <c r="BO96" s="240"/>
      <c r="BP96" s="240"/>
      <c r="BQ96" s="248">
        <f t="shared" si="49"/>
        <v>0</v>
      </c>
    </row>
    <row r="97" spans="36:74" ht="16" x14ac:dyDescent="0.2">
      <c r="AJ97" s="202"/>
      <c r="AK97" s="202"/>
      <c r="AT97" s="201" t="s">
        <v>493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7"/>
        <v>0</v>
      </c>
      <c r="BN97" s="201" t="s">
        <v>493</v>
      </c>
      <c r="BO97" s="240"/>
      <c r="BP97" s="240">
        <f>Ore_to_PI!AO63</f>
        <v>2418.6577581793781</v>
      </c>
      <c r="BQ97" s="248">
        <f t="shared" si="49"/>
        <v>2418.6577581793781</v>
      </c>
    </row>
    <row r="98" spans="36:74" ht="16" x14ac:dyDescent="0.2">
      <c r="AJ98" s="203"/>
      <c r="AK98" s="203"/>
      <c r="AT98" s="202" t="s">
        <v>496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7"/>
        <v>25394.240916408646</v>
      </c>
      <c r="BN98" s="202" t="s">
        <v>496</v>
      </c>
      <c r="BO98" s="240"/>
      <c r="BP98" s="244"/>
      <c r="BQ98" s="248">
        <f t="shared" si="49"/>
        <v>0</v>
      </c>
    </row>
    <row r="99" spans="36:74" x14ac:dyDescent="0.2">
      <c r="AJ99" s="203"/>
      <c r="AK99" s="203"/>
      <c r="AT99" s="201" t="s">
        <v>521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7"/>
        <v>0</v>
      </c>
      <c r="BN99" s="201" t="s">
        <v>521</v>
      </c>
      <c r="BO99" s="240"/>
      <c r="BP99" s="240">
        <f>Ore_to_PI!AP142</f>
        <v>7.2399197950896488</v>
      </c>
      <c r="BQ99" s="248">
        <f t="shared" si="49"/>
        <v>7.2399197950896488</v>
      </c>
    </row>
    <row r="100" spans="36:74" x14ac:dyDescent="0.2">
      <c r="AJ100" s="203"/>
      <c r="AK100" s="203"/>
      <c r="AT100" s="203" t="s">
        <v>514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7"/>
        <v>8856308.1430966556</v>
      </c>
      <c r="BN100" s="203" t="s">
        <v>514</v>
      </c>
      <c r="BO100" s="240"/>
      <c r="BP100" s="240"/>
      <c r="BQ100" s="248">
        <f t="shared" si="49"/>
        <v>0</v>
      </c>
    </row>
    <row r="101" spans="36:74" x14ac:dyDescent="0.2">
      <c r="AJ101" s="203"/>
      <c r="AK101" s="203"/>
      <c r="AT101" s="201" t="s">
        <v>500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7"/>
        <v>0</v>
      </c>
      <c r="BN101" s="201" t="s">
        <v>500</v>
      </c>
      <c r="BO101" s="240"/>
      <c r="BP101" s="240">
        <f>Ore_to_PI!AP227</f>
        <v>598.81969608995871</v>
      </c>
      <c r="BQ101" s="248">
        <f t="shared" si="49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525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7"/>
        <v>109233.7126431732</v>
      </c>
      <c r="BN102" s="202" t="s">
        <v>525</v>
      </c>
      <c r="BO102" s="240"/>
      <c r="BP102" s="240"/>
      <c r="BQ102" s="248">
        <f t="shared" ref="BQ102:BQ122" si="50">SUM(BO102:BP102)</f>
        <v>0</v>
      </c>
    </row>
    <row r="103" spans="36:74" ht="16" x14ac:dyDescent="0.2">
      <c r="AJ103" s="203"/>
      <c r="AK103" s="203"/>
      <c r="AT103" s="202" t="s">
        <v>520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7"/>
        <v>25394.240916408646</v>
      </c>
      <c r="BN103" s="202" t="s">
        <v>520</v>
      </c>
      <c r="BO103" s="240"/>
      <c r="BP103" s="240"/>
      <c r="BQ103" s="248">
        <f t="shared" si="50"/>
        <v>0</v>
      </c>
    </row>
    <row r="104" spans="36:74" ht="16" x14ac:dyDescent="0.2">
      <c r="AJ104" s="203"/>
      <c r="AK104" s="203"/>
      <c r="AT104" s="202" t="s">
        <v>517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7"/>
        <v>8856308.1430966556</v>
      </c>
      <c r="BN104" s="202" t="s">
        <v>517</v>
      </c>
      <c r="BO104" s="240"/>
      <c r="BP104" s="240"/>
      <c r="BQ104" s="248">
        <f t="shared" si="50"/>
        <v>0</v>
      </c>
    </row>
    <row r="105" spans="36:74" ht="16" x14ac:dyDescent="0.2">
      <c r="AJ105" s="249"/>
      <c r="AK105" s="249"/>
      <c r="AT105" s="202" t="s">
        <v>523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7"/>
        <v>88965.799815334409</v>
      </c>
      <c r="BN105" s="202" t="s">
        <v>523</v>
      </c>
      <c r="BO105" s="240"/>
      <c r="BP105" s="240"/>
      <c r="BQ105" s="248">
        <f t="shared" si="50"/>
        <v>0</v>
      </c>
    </row>
    <row r="106" spans="36:74" x14ac:dyDescent="0.2">
      <c r="AJ106" s="203"/>
      <c r="AK106" s="203"/>
      <c r="AT106" s="203" t="s">
        <v>522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7"/>
        <v>0</v>
      </c>
      <c r="BK106" s="25"/>
      <c r="BL106" s="25"/>
      <c r="BN106" s="203" t="s">
        <v>522</v>
      </c>
      <c r="BO106" s="240"/>
      <c r="BP106" s="240">
        <f>Ore_to_PI!CA55</f>
        <v>21743.416787545681</v>
      </c>
      <c r="BQ106" s="248">
        <f t="shared" si="50"/>
        <v>21743.416787545681</v>
      </c>
    </row>
    <row r="107" spans="36:74" x14ac:dyDescent="0.2">
      <c r="AJ107" s="203"/>
      <c r="AK107" s="203"/>
      <c r="AT107" s="203" t="s">
        <v>508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7"/>
        <v>25394.240916408646</v>
      </c>
      <c r="BN107" s="203" t="s">
        <v>508</v>
      </c>
      <c r="BO107" s="240"/>
      <c r="BP107" s="240"/>
      <c r="BQ107" s="248">
        <f t="shared" si="50"/>
        <v>0</v>
      </c>
    </row>
    <row r="108" spans="36:74" x14ac:dyDescent="0.2">
      <c r="AJ108" s="203"/>
      <c r="AK108" s="203"/>
      <c r="AT108" s="203" t="s">
        <v>541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7"/>
        <v>8856308.1430966556</v>
      </c>
      <c r="BN108" s="203" t="s">
        <v>541</v>
      </c>
      <c r="BO108" s="240"/>
      <c r="BP108" s="240"/>
      <c r="BQ108" s="248">
        <f t="shared" si="50"/>
        <v>0</v>
      </c>
    </row>
    <row r="109" spans="36:74" x14ac:dyDescent="0.2">
      <c r="AJ109" s="203"/>
      <c r="AK109" s="203"/>
      <c r="AT109" s="203" t="s">
        <v>509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7"/>
        <v>242016.07607977447</v>
      </c>
      <c r="BN109" s="203" t="s">
        <v>509</v>
      </c>
      <c r="BO109" s="240"/>
      <c r="BP109" s="240"/>
      <c r="BQ109" s="248">
        <f t="shared" si="50"/>
        <v>0</v>
      </c>
    </row>
    <row r="110" spans="36:74" x14ac:dyDescent="0.2">
      <c r="AJ110" s="203"/>
      <c r="AK110" s="203"/>
      <c r="AT110" s="203" t="s">
        <v>511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7"/>
        <v>0</v>
      </c>
      <c r="BN110" s="203" t="s">
        <v>511</v>
      </c>
      <c r="BO110" s="240"/>
      <c r="BP110" s="240">
        <f>Ore_to_PI!CW114</f>
        <v>7739.2511800711582</v>
      </c>
      <c r="BQ110" s="248">
        <f t="shared" si="50"/>
        <v>7739.2511800711582</v>
      </c>
    </row>
    <row r="111" spans="36:74" x14ac:dyDescent="0.2">
      <c r="AJ111" s="203"/>
      <c r="AK111" s="203"/>
      <c r="AT111" s="203" t="s">
        <v>510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7"/>
        <v>0</v>
      </c>
      <c r="BN111" s="203" t="s">
        <v>510</v>
      </c>
      <c r="BO111" s="240"/>
      <c r="BP111" s="240">
        <f>Ore_to_PI!CW138</f>
        <v>33179125.659109436</v>
      </c>
      <c r="BQ111" s="248">
        <f t="shared" si="50"/>
        <v>33179125.659109436</v>
      </c>
    </row>
    <row r="112" spans="36:74" x14ac:dyDescent="0.2">
      <c r="AJ112" s="203"/>
      <c r="AK112" s="203"/>
      <c r="AT112" s="203" t="s">
        <v>606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7"/>
        <v>6408288.6211381694</v>
      </c>
      <c r="BN112" s="203" t="s">
        <v>606</v>
      </c>
      <c r="BO112" s="240"/>
      <c r="BP112" s="240"/>
      <c r="BQ112" s="248">
        <f t="shared" si="50"/>
        <v>0</v>
      </c>
    </row>
    <row r="113" spans="5:69" ht="16" x14ac:dyDescent="0.2">
      <c r="AJ113" s="203"/>
      <c r="AK113" s="203"/>
      <c r="AT113" s="249" t="s">
        <v>506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7"/>
        <v>4027024.8231933108</v>
      </c>
      <c r="BN113" s="249" t="s">
        <v>506</v>
      </c>
      <c r="BO113" s="240"/>
      <c r="BP113" s="240"/>
      <c r="BQ113" s="248">
        <f t="shared" si="50"/>
        <v>0</v>
      </c>
    </row>
    <row r="114" spans="5:69" ht="16" x14ac:dyDescent="0.2">
      <c r="AJ114" s="203"/>
      <c r="AK114" s="203"/>
      <c r="AT114" s="249" t="s">
        <v>682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7"/>
        <v>0</v>
      </c>
      <c r="BN114" s="249" t="s">
        <v>682</v>
      </c>
      <c r="BO114" s="240"/>
      <c r="BP114" s="240">
        <f>Ore_to_PI!CW267</f>
        <v>955653.18009036488</v>
      </c>
      <c r="BQ114" s="248">
        <f t="shared" si="50"/>
        <v>955653.18009036488</v>
      </c>
    </row>
    <row r="115" spans="5:69" x14ac:dyDescent="0.2">
      <c r="AJ115" s="203"/>
      <c r="AK115" s="203"/>
      <c r="AT115" s="203" t="s">
        <v>505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7"/>
        <v>0</v>
      </c>
      <c r="BN115" s="203" t="s">
        <v>505</v>
      </c>
      <c r="BO115" s="240"/>
      <c r="BP115" s="240">
        <f>Ore_to_PI!CW218</f>
        <v>9078.7224010297414</v>
      </c>
      <c r="BQ115" s="248">
        <f t="shared" si="50"/>
        <v>9078.7224010297414</v>
      </c>
    </row>
    <row r="116" spans="5:69" x14ac:dyDescent="0.2">
      <c r="AJ116" s="203"/>
      <c r="AK116" s="203"/>
      <c r="AT116" s="201" t="s">
        <v>507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7"/>
        <v>0</v>
      </c>
      <c r="BN116" s="201" t="s">
        <v>507</v>
      </c>
      <c r="BO116" s="240"/>
      <c r="BP116" s="240">
        <f>Ore_to_PI!CW251</f>
        <v>325339.45293214149</v>
      </c>
      <c r="BQ116" s="248">
        <f t="shared" si="50"/>
        <v>325339.45293214149</v>
      </c>
    </row>
    <row r="117" spans="5:69" x14ac:dyDescent="0.2">
      <c r="AJ117" s="203"/>
      <c r="AK117" s="203"/>
      <c r="AT117" s="203" t="s">
        <v>641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7"/>
        <v>4044220.3273382401</v>
      </c>
      <c r="BN117" s="203" t="s">
        <v>641</v>
      </c>
      <c r="BO117" s="240"/>
      <c r="BP117" s="240"/>
      <c r="BQ117" s="248">
        <f t="shared" si="50"/>
        <v>0</v>
      </c>
    </row>
    <row r="118" spans="5:69" x14ac:dyDescent="0.2">
      <c r="AJ118" s="203"/>
      <c r="AK118" s="203"/>
      <c r="AT118" s="203" t="s">
        <v>644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7"/>
        <v>2830954.2291367673</v>
      </c>
      <c r="BN118" s="203" t="s">
        <v>642</v>
      </c>
      <c r="BO118" s="240">
        <f>Ore_to_PI!$FG$233</f>
        <v>1213266.0982014721</v>
      </c>
      <c r="BP118" s="240"/>
      <c r="BQ118" s="248">
        <f t="shared" si="50"/>
        <v>1213266.0982014721</v>
      </c>
    </row>
    <row r="119" spans="5:69" x14ac:dyDescent="0.2">
      <c r="AJ119" s="203"/>
      <c r="AK119" s="203"/>
      <c r="AT119" s="203" t="s">
        <v>529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7"/>
        <v>6688312.3779436089</v>
      </c>
      <c r="BN119" s="203" t="s">
        <v>529</v>
      </c>
      <c r="BO119" s="240"/>
      <c r="BP119" s="240"/>
      <c r="BQ119" s="248">
        <f t="shared" si="50"/>
        <v>0</v>
      </c>
    </row>
    <row r="120" spans="5:69" x14ac:dyDescent="0.2">
      <c r="AJ120" s="203"/>
      <c r="AK120" s="203"/>
      <c r="AT120" s="203" t="s">
        <v>530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7"/>
        <v>0</v>
      </c>
      <c r="BN120" s="203" t="s">
        <v>530</v>
      </c>
      <c r="BO120" s="240">
        <f>Ore_to_PI!FM126</f>
        <v>4157895.2984628798</v>
      </c>
      <c r="BP120" s="240"/>
      <c r="BQ120" s="248">
        <f t="shared" si="50"/>
        <v>4157895.2984628798</v>
      </c>
    </row>
    <row r="121" spans="5:69" x14ac:dyDescent="0.2">
      <c r="AJ121" s="203"/>
      <c r="AK121" s="203"/>
      <c r="AT121" s="203" t="s">
        <v>531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7"/>
        <v>0</v>
      </c>
      <c r="BN121" s="203" t="s">
        <v>531</v>
      </c>
      <c r="BO121" s="240"/>
      <c r="BP121" s="240">
        <f>Ore_to_PI!FM141</f>
        <v>424855.37186650094</v>
      </c>
      <c r="BQ121" s="248">
        <f t="shared" si="50"/>
        <v>424855.37186650094</v>
      </c>
    </row>
    <row r="122" spans="5:69" x14ac:dyDescent="0.2">
      <c r="AJ122" s="203"/>
      <c r="AK122" s="203"/>
      <c r="AT122" s="203" t="s">
        <v>542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7"/>
        <v>0</v>
      </c>
      <c r="BN122" s="203" t="s">
        <v>542</v>
      </c>
      <c r="BO122" s="240"/>
      <c r="BP122" s="240">
        <f>Ore_to_PI!FM104</f>
        <v>67875.356217847453</v>
      </c>
      <c r="BQ122" s="248">
        <f t="shared" si="50"/>
        <v>67875.356217847453</v>
      </c>
    </row>
    <row r="123" spans="5:69" x14ac:dyDescent="0.2">
      <c r="AJ123" s="203"/>
      <c r="AK123" s="203"/>
      <c r="AT123" s="203"/>
      <c r="AU123" s="405" t="s">
        <v>408</v>
      </c>
      <c r="AV123" s="405"/>
      <c r="AW123" s="405"/>
      <c r="AX123" s="405"/>
      <c r="AY123" s="405"/>
      <c r="AZ123" s="405"/>
      <c r="BA123" s="405"/>
      <c r="BB123" s="405"/>
      <c r="BC123" s="405"/>
      <c r="BD123" s="405"/>
      <c r="BE123" s="405"/>
      <c r="BF123" s="405"/>
      <c r="BG123" s="405"/>
      <c r="BH123" s="405"/>
      <c r="BI123" s="405"/>
      <c r="BJ123" s="25" t="s">
        <v>450</v>
      </c>
      <c r="BO123" s="405" t="s">
        <v>410</v>
      </c>
      <c r="BP123" s="405"/>
      <c r="BQ123" s="25" t="s">
        <v>462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1">SUM(AX87:AX122)</f>
        <v>719025.96440252138</v>
      </c>
      <c r="AY124" s="248">
        <f t="shared" si="51"/>
        <v>28219.126564153565</v>
      </c>
      <c r="AZ124" s="248">
        <f t="shared" si="51"/>
        <v>8856590.2718676869</v>
      </c>
      <c r="BA124" s="248">
        <f t="shared" si="51"/>
        <v>121859.81146951189</v>
      </c>
      <c r="BB124" s="248">
        <f t="shared" si="51"/>
        <v>25428.919011572762</v>
      </c>
      <c r="BC124" s="248">
        <f t="shared" si="51"/>
        <v>8856358.501180809</v>
      </c>
      <c r="BD124" s="248">
        <f t="shared" si="51"/>
        <v>1081183306.4491639</v>
      </c>
      <c r="BE124" s="248">
        <f t="shared" si="51"/>
        <v>19467444.052330792</v>
      </c>
      <c r="BF124" s="248">
        <f t="shared" si="51"/>
        <v>4060216.682587008</v>
      </c>
      <c r="BG124" s="248">
        <f t="shared" si="51"/>
        <v>4044220.3273382401</v>
      </c>
      <c r="BH124" s="248">
        <f t="shared" si="51"/>
        <v>6739270.4970332785</v>
      </c>
      <c r="BI124" s="248">
        <f t="shared" si="51"/>
        <v>12219080.249060091</v>
      </c>
      <c r="BO124" s="25"/>
      <c r="BP124" s="25"/>
    </row>
    <row r="125" spans="5:69" ht="13" customHeight="1" x14ac:dyDescent="0.2">
      <c r="F125" s="406"/>
      <c r="G125" s="406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5" t="s">
        <v>449</v>
      </c>
      <c r="AV125" s="405"/>
      <c r="AW125" s="405"/>
      <c r="AX125" s="405"/>
      <c r="AY125" s="405"/>
      <c r="AZ125" s="405"/>
      <c r="BA125" s="405"/>
      <c r="BB125" s="405"/>
      <c r="BC125" s="405"/>
      <c r="BD125" s="405"/>
      <c r="BE125" s="405"/>
      <c r="BF125" s="405"/>
      <c r="BG125" s="405"/>
      <c r="BH125" s="405"/>
      <c r="BI125" s="405"/>
      <c r="BO125" s="25"/>
      <c r="BP125" s="25"/>
    </row>
    <row r="126" spans="5:69" ht="236" x14ac:dyDescent="0.2">
      <c r="E126" s="236"/>
      <c r="F126" s="204" t="s">
        <v>413</v>
      </c>
      <c r="G126" s="204" t="s">
        <v>415</v>
      </c>
      <c r="H126" s="204" t="s">
        <v>416</v>
      </c>
      <c r="I126" s="204" t="s">
        <v>436</v>
      </c>
      <c r="J126" s="204" t="s">
        <v>458</v>
      </c>
      <c r="K126" s="204" t="s">
        <v>551</v>
      </c>
      <c r="L126" s="204" t="s">
        <v>552</v>
      </c>
      <c r="M126" s="204" t="s">
        <v>495</v>
      </c>
      <c r="N126" s="204" t="s">
        <v>544</v>
      </c>
      <c r="O126" s="206" t="s">
        <v>526</v>
      </c>
      <c r="P126" s="204" t="s">
        <v>493</v>
      </c>
      <c r="Q126" s="206" t="s">
        <v>496</v>
      </c>
      <c r="R126" s="204" t="s">
        <v>521</v>
      </c>
      <c r="S126" s="207" t="s">
        <v>514</v>
      </c>
      <c r="T126" s="204" t="s">
        <v>500</v>
      </c>
      <c r="U126" s="206" t="s">
        <v>525</v>
      </c>
      <c r="V126" s="206" t="s">
        <v>520</v>
      </c>
      <c r="W126" s="206" t="s">
        <v>517</v>
      </c>
      <c r="X126" s="206" t="s">
        <v>523</v>
      </c>
      <c r="Y126" s="207" t="s">
        <v>522</v>
      </c>
      <c r="Z126" s="207" t="s">
        <v>508</v>
      </c>
      <c r="AA126" s="207" t="s">
        <v>541</v>
      </c>
      <c r="AB126" s="207" t="s">
        <v>509</v>
      </c>
      <c r="AC126" s="207" t="s">
        <v>511</v>
      </c>
      <c r="AD126" s="207" t="s">
        <v>510</v>
      </c>
      <c r="AE126" s="207" t="s">
        <v>606</v>
      </c>
      <c r="AF126" s="229" t="s">
        <v>506</v>
      </c>
      <c r="AG126" s="229" t="s">
        <v>682</v>
      </c>
      <c r="AH126" s="207" t="s">
        <v>505</v>
      </c>
      <c r="AI126" s="204" t="s">
        <v>507</v>
      </c>
      <c r="AJ126" s="207" t="s">
        <v>641</v>
      </c>
      <c r="AK126" s="207" t="s">
        <v>644</v>
      </c>
      <c r="AL126" s="207" t="s">
        <v>529</v>
      </c>
      <c r="AM126" s="207" t="s">
        <v>530</v>
      </c>
      <c r="AN126" s="207" t="s">
        <v>531</v>
      </c>
      <c r="AO126" s="207" t="s">
        <v>542</v>
      </c>
    </row>
    <row r="127" spans="5:69" x14ac:dyDescent="0.2">
      <c r="E127" s="201" t="s">
        <v>405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406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407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2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540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2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519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2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518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2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432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2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429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2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443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2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430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33179125.659109436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2"/>
        <v>33428880.986369282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425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2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640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2"/>
        <v>4044220.3273382401</v>
      </c>
    </row>
    <row r="139" spans="5:68" x14ac:dyDescent="0.2">
      <c r="E139" s="201" t="s">
        <v>643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2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2"/>
        <v>6688312.3779436089</v>
      </c>
    </row>
    <row r="141" spans="5:68" x14ac:dyDescent="0.2">
      <c r="E141" s="201" t="s">
        <v>417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2"/>
        <v>4650626.026547228</v>
      </c>
    </row>
    <row r="142" spans="5:68" x14ac:dyDescent="0.2">
      <c r="E142" s="201"/>
      <c r="F142" s="405" t="s">
        <v>409</v>
      </c>
      <c r="G142" s="405"/>
      <c r="H142" s="405"/>
      <c r="I142" s="405"/>
      <c r="J142" s="405"/>
      <c r="K142" s="405"/>
      <c r="L142" s="405"/>
      <c r="M142" s="405"/>
      <c r="N142" s="405"/>
      <c r="O142" s="405"/>
      <c r="P142" s="405"/>
      <c r="Q142" s="405"/>
      <c r="R142" s="405"/>
      <c r="S142" s="405"/>
      <c r="T142" s="405"/>
      <c r="U142" s="405"/>
      <c r="V142" s="405"/>
      <c r="W142" s="405"/>
      <c r="X142" s="405"/>
      <c r="Y142" s="405"/>
      <c r="Z142" s="405"/>
      <c r="AA142" s="405"/>
      <c r="AB142" s="405"/>
      <c r="AC142" s="405"/>
      <c r="AD142" s="405"/>
      <c r="AE142" s="405"/>
      <c r="AF142" s="405"/>
      <c r="AG142" s="405"/>
      <c r="AH142" s="405"/>
      <c r="AI142" s="405"/>
      <c r="AJ142" s="405"/>
      <c r="AK142" s="405"/>
      <c r="AL142" s="405"/>
      <c r="AM142" s="405"/>
      <c r="AN142" s="405"/>
      <c r="AO142" s="405"/>
      <c r="AP142" s="25" t="s">
        <v>446</v>
      </c>
      <c r="AQ142" s="25"/>
    </row>
    <row r="143" spans="5:68" x14ac:dyDescent="0.2">
      <c r="E143" s="201"/>
      <c r="F143" s="248">
        <f t="shared" ref="F143:AO143" si="53">SUM(F127:F141)</f>
        <v>0</v>
      </c>
      <c r="G143" s="248">
        <f t="shared" si="53"/>
        <v>0</v>
      </c>
      <c r="H143" s="248">
        <f t="shared" si="53"/>
        <v>0</v>
      </c>
      <c r="I143" s="248">
        <f t="shared" si="53"/>
        <v>0</v>
      </c>
      <c r="J143" s="248">
        <f t="shared" si="53"/>
        <v>0</v>
      </c>
      <c r="K143" s="248">
        <f t="shared" si="53"/>
        <v>0</v>
      </c>
      <c r="L143" s="248">
        <f t="shared" si="53"/>
        <v>0</v>
      </c>
      <c r="M143" s="248">
        <f t="shared" si="53"/>
        <v>0</v>
      </c>
      <c r="N143" s="248">
        <f t="shared" si="53"/>
        <v>0</v>
      </c>
      <c r="O143" s="248">
        <f t="shared" si="53"/>
        <v>109233.7126431732</v>
      </c>
      <c r="P143" s="248">
        <f t="shared" si="53"/>
        <v>2418.6577581793781</v>
      </c>
      <c r="Q143" s="248">
        <f t="shared" si="53"/>
        <v>25394.240916408646</v>
      </c>
      <c r="R143" s="248">
        <f t="shared" si="53"/>
        <v>7.2399197950896488</v>
      </c>
      <c r="S143" s="248">
        <f t="shared" si="53"/>
        <v>8856308.1430966556</v>
      </c>
      <c r="T143" s="248">
        <f t="shared" si="53"/>
        <v>598.81969608995871</v>
      </c>
      <c r="U143" s="248">
        <f t="shared" si="53"/>
        <v>109233.7126431732</v>
      </c>
      <c r="V143" s="248">
        <f t="shared" si="53"/>
        <v>25394.240916408646</v>
      </c>
      <c r="W143" s="248">
        <f t="shared" si="53"/>
        <v>8856308.1430966556</v>
      </c>
      <c r="X143" s="248">
        <f t="shared" si="53"/>
        <v>88965.799815334409</v>
      </c>
      <c r="Y143" s="248">
        <f t="shared" si="53"/>
        <v>21743.416787545681</v>
      </c>
      <c r="Z143" s="248">
        <f t="shared" si="53"/>
        <v>25394.240916408646</v>
      </c>
      <c r="AA143" s="248">
        <f t="shared" si="53"/>
        <v>8856308.1430966556</v>
      </c>
      <c r="AB143" s="248">
        <f t="shared" si="53"/>
        <v>242016.07607977447</v>
      </c>
      <c r="AC143" s="248">
        <f t="shared" si="53"/>
        <v>7739.2511800711582</v>
      </c>
      <c r="AD143" s="248">
        <f t="shared" si="53"/>
        <v>33179125.659109436</v>
      </c>
      <c r="AE143" s="248">
        <f t="shared" si="53"/>
        <v>6408288.6211381694</v>
      </c>
      <c r="AF143" s="248">
        <f t="shared" si="53"/>
        <v>4027024.8231933108</v>
      </c>
      <c r="AG143" s="248">
        <f t="shared" si="53"/>
        <v>955653.18009036488</v>
      </c>
      <c r="AH143" s="248">
        <f t="shared" si="53"/>
        <v>9078.7224010297414</v>
      </c>
      <c r="AI143" s="248">
        <f t="shared" si="53"/>
        <v>325339.45293214149</v>
      </c>
      <c r="AJ143" s="248">
        <f t="shared" si="53"/>
        <v>4044220.3273382401</v>
      </c>
      <c r="AK143" s="248">
        <f t="shared" si="53"/>
        <v>4044220.3273382401</v>
      </c>
      <c r="AL143" s="248">
        <f t="shared" si="53"/>
        <v>6688312.3779436089</v>
      </c>
      <c r="AM143" s="248">
        <f t="shared" si="53"/>
        <v>4157895.2984628798</v>
      </c>
      <c r="AN143" s="248">
        <f t="shared" si="53"/>
        <v>424855.37186650094</v>
      </c>
      <c r="AO143" s="248">
        <f t="shared" si="53"/>
        <v>67875.356217847453</v>
      </c>
    </row>
    <row r="144" spans="5:68" x14ac:dyDescent="0.2">
      <c r="E144" s="201"/>
      <c r="F144" s="405" t="s">
        <v>447</v>
      </c>
      <c r="G144" s="405"/>
      <c r="H144" s="405"/>
      <c r="I144" s="405"/>
      <c r="J144" s="405"/>
      <c r="K144" s="405"/>
      <c r="L144" s="405"/>
      <c r="M144" s="405"/>
      <c r="N144" s="405"/>
      <c r="O144" s="405"/>
      <c r="P144" s="405"/>
      <c r="Q144" s="405"/>
      <c r="R144" s="405"/>
      <c r="S144" s="405"/>
      <c r="T144" s="405"/>
      <c r="U144" s="405"/>
      <c r="V144" s="405"/>
      <c r="W144" s="405"/>
      <c r="X144" s="405"/>
      <c r="Y144" s="405"/>
      <c r="Z144" s="405"/>
      <c r="AA144" s="405"/>
      <c r="AB144" s="405"/>
      <c r="AC144" s="405"/>
      <c r="AD144" s="405"/>
      <c r="AE144" s="405"/>
      <c r="AF144" s="405"/>
      <c r="AG144" s="405"/>
      <c r="AH144" s="405"/>
      <c r="AI144" s="405"/>
      <c r="AJ144" s="405"/>
      <c r="AK144" s="405"/>
      <c r="AL144" s="405"/>
      <c r="AM144" s="405"/>
      <c r="AN144" s="405"/>
      <c r="AO144" s="405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413</v>
      </c>
      <c r="G155" s="204" t="s">
        <v>415</v>
      </c>
      <c r="H155" s="204" t="s">
        <v>416</v>
      </c>
      <c r="I155" s="204" t="s">
        <v>436</v>
      </c>
      <c r="J155" s="204" t="s">
        <v>458</v>
      </c>
      <c r="K155" s="204" t="s">
        <v>551</v>
      </c>
      <c r="L155" s="204" t="s">
        <v>552</v>
      </c>
      <c r="M155" s="204" t="s">
        <v>495</v>
      </c>
      <c r="N155" s="204" t="s">
        <v>544</v>
      </c>
      <c r="O155" s="206" t="s">
        <v>526</v>
      </c>
      <c r="P155" s="204" t="s">
        <v>493</v>
      </c>
      <c r="Q155" s="206" t="s">
        <v>496</v>
      </c>
      <c r="R155" s="204" t="s">
        <v>521</v>
      </c>
      <c r="S155" s="207" t="s">
        <v>514</v>
      </c>
      <c r="T155" s="204" t="s">
        <v>500</v>
      </c>
      <c r="U155" s="206" t="s">
        <v>525</v>
      </c>
      <c r="V155" s="206" t="s">
        <v>520</v>
      </c>
      <c r="W155" s="206" t="s">
        <v>517</v>
      </c>
      <c r="X155" s="206" t="s">
        <v>523</v>
      </c>
      <c r="Y155" s="207" t="s">
        <v>522</v>
      </c>
      <c r="Z155" s="207" t="s">
        <v>508</v>
      </c>
      <c r="AA155" s="207" t="s">
        <v>541</v>
      </c>
      <c r="AB155" s="207" t="s">
        <v>509</v>
      </c>
      <c r="AC155" s="207" t="s">
        <v>511</v>
      </c>
      <c r="AD155" s="207" t="s">
        <v>510</v>
      </c>
      <c r="AE155" s="207" t="s">
        <v>606</v>
      </c>
      <c r="AF155" s="229" t="s">
        <v>506</v>
      </c>
      <c r="AG155" s="229" t="s">
        <v>682</v>
      </c>
      <c r="AH155" s="207" t="s">
        <v>505</v>
      </c>
      <c r="AI155" s="204" t="s">
        <v>507</v>
      </c>
      <c r="AJ155" s="207" t="s">
        <v>641</v>
      </c>
      <c r="AK155" s="207" t="s">
        <v>644</v>
      </c>
      <c r="AL155" s="207" t="s">
        <v>529</v>
      </c>
      <c r="AM155" s="207" t="s">
        <v>530</v>
      </c>
      <c r="AN155" s="207" t="s">
        <v>531</v>
      </c>
      <c r="AO155" s="207" t="s">
        <v>542</v>
      </c>
      <c r="AP155" s="207"/>
      <c r="AQ155" s="207"/>
    </row>
    <row r="156" spans="5:43" x14ac:dyDescent="0.2">
      <c r="E156" s="201" t="s">
        <v>412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414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437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461</v>
      </c>
      <c r="F159" s="240"/>
      <c r="G159" s="240"/>
      <c r="H159" s="240"/>
      <c r="I159" s="246">
        <f>Ore_to_PI!V236+Ore_to_PI!V163+Ore_to_PI!V72+Ore_to_PI!CB232+Ore_to_PI!CB140+Ore_to_PI!EM140</f>
        <v>2837357.8436831953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457</v>
      </c>
      <c r="F160" s="240"/>
      <c r="G160" s="240"/>
      <c r="H160" s="240"/>
      <c r="I160" s="240"/>
      <c r="J160" s="240">
        <f>Ore_to_PI!EM114+Ore_to_PI!CB152+Ore_to_PI!CB244</f>
        <v>1091283756.7089078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554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553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494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543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5" t="s">
        <v>57</v>
      </c>
      <c r="G165" s="405"/>
      <c r="H165" s="405"/>
      <c r="I165" s="405"/>
      <c r="J165" s="405"/>
      <c r="K165" s="405"/>
      <c r="L165" s="405"/>
      <c r="M165" s="405"/>
      <c r="N165" s="405"/>
      <c r="O165" s="405"/>
      <c r="P165" s="405"/>
      <c r="Q165" s="405"/>
      <c r="R165" s="405"/>
      <c r="S165" s="405"/>
      <c r="T165" s="405"/>
      <c r="U165" s="405"/>
      <c r="V165" s="405"/>
      <c r="W165" s="405"/>
      <c r="X165" s="405"/>
      <c r="Y165" s="405"/>
      <c r="Z165" s="405"/>
      <c r="AA165" s="405"/>
      <c r="AB165" s="405"/>
      <c r="AC165" s="405"/>
      <c r="AD165" s="405"/>
      <c r="AE165" s="405"/>
      <c r="AF165" s="405"/>
      <c r="AG165" s="405"/>
      <c r="AH165" s="405"/>
      <c r="AI165" s="405"/>
      <c r="AJ165" s="405"/>
      <c r="AK165" s="405"/>
      <c r="AL165" s="405"/>
      <c r="AM165" s="405"/>
      <c r="AN165" s="405"/>
      <c r="AO165" s="405"/>
      <c r="AP165" s="25"/>
      <c r="AQ165" s="25"/>
    </row>
    <row r="166" spans="5:47" x14ac:dyDescent="0.2">
      <c r="F166" s="248">
        <f t="shared" ref="F166:AO166" si="54">SUM(F156:F164)</f>
        <v>109233.7126431732</v>
      </c>
      <c r="G166" s="248">
        <f t="shared" si="54"/>
        <v>25394.240916408646</v>
      </c>
      <c r="H166" s="248">
        <f t="shared" si="54"/>
        <v>8851059.7091535721</v>
      </c>
      <c r="I166" s="248">
        <f t="shared" si="54"/>
        <v>2837357.8436831953</v>
      </c>
      <c r="J166" s="248">
        <f t="shared" si="54"/>
        <v>1091283756.7089078</v>
      </c>
      <c r="K166" s="248">
        <f t="shared" si="54"/>
        <v>117713.24639155329</v>
      </c>
      <c r="L166" s="248">
        <f t="shared" si="54"/>
        <v>24.076233417548465</v>
      </c>
      <c r="M166" s="248">
        <f t="shared" si="54"/>
        <v>29112.263489807588</v>
      </c>
      <c r="N166" s="248">
        <f t="shared" si="54"/>
        <v>1058348.7350491155</v>
      </c>
      <c r="O166" s="248">
        <f t="shared" si="54"/>
        <v>0</v>
      </c>
      <c r="P166" s="248">
        <f t="shared" si="54"/>
        <v>0</v>
      </c>
      <c r="Q166" s="248">
        <f t="shared" si="54"/>
        <v>0</v>
      </c>
      <c r="R166" s="248">
        <f t="shared" si="54"/>
        <v>0</v>
      </c>
      <c r="S166" s="248">
        <f t="shared" si="54"/>
        <v>0</v>
      </c>
      <c r="T166" s="248">
        <f t="shared" si="54"/>
        <v>0</v>
      </c>
      <c r="U166" s="248">
        <f t="shared" si="54"/>
        <v>0</v>
      </c>
      <c r="V166" s="248">
        <f t="shared" si="54"/>
        <v>0</v>
      </c>
      <c r="W166" s="248">
        <f t="shared" si="54"/>
        <v>0</v>
      </c>
      <c r="X166" s="248">
        <f t="shared" si="54"/>
        <v>0</v>
      </c>
      <c r="Y166" s="248">
        <f t="shared" si="54"/>
        <v>0</v>
      </c>
      <c r="Z166" s="248">
        <f t="shared" si="54"/>
        <v>0</v>
      </c>
      <c r="AA166" s="248">
        <f t="shared" si="54"/>
        <v>0</v>
      </c>
      <c r="AB166" s="248">
        <f t="shared" si="54"/>
        <v>0</v>
      </c>
      <c r="AC166" s="248">
        <f t="shared" si="54"/>
        <v>0</v>
      </c>
      <c r="AD166" s="248">
        <f t="shared" si="54"/>
        <v>0</v>
      </c>
      <c r="AE166" s="248">
        <f t="shared" si="54"/>
        <v>0</v>
      </c>
      <c r="AF166" s="248">
        <f t="shared" si="54"/>
        <v>0</v>
      </c>
      <c r="AG166" s="248">
        <f t="shared" si="54"/>
        <v>0</v>
      </c>
      <c r="AH166" s="248">
        <f t="shared" si="54"/>
        <v>0</v>
      </c>
      <c r="AI166" s="248">
        <f t="shared" si="54"/>
        <v>0</v>
      </c>
      <c r="AJ166" s="248">
        <f t="shared" si="54"/>
        <v>0</v>
      </c>
      <c r="AK166" s="248">
        <f t="shared" si="54"/>
        <v>0</v>
      </c>
      <c r="AL166" s="248">
        <f t="shared" si="54"/>
        <v>0</v>
      </c>
      <c r="AM166" s="248">
        <f t="shared" si="54"/>
        <v>0</v>
      </c>
      <c r="AN166" s="248">
        <f t="shared" si="54"/>
        <v>0</v>
      </c>
      <c r="AO166" s="248">
        <f t="shared" si="54"/>
        <v>0</v>
      </c>
    </row>
    <row r="167" spans="5:47" x14ac:dyDescent="0.2">
      <c r="F167" s="405" t="s">
        <v>448</v>
      </c>
      <c r="G167" s="405"/>
      <c r="H167" s="405"/>
      <c r="I167" s="405"/>
      <c r="J167" s="405"/>
      <c r="K167" s="405"/>
      <c r="L167" s="405"/>
      <c r="M167" s="405"/>
      <c r="N167" s="405"/>
      <c r="O167" s="405"/>
      <c r="P167" s="405"/>
      <c r="Q167" s="405"/>
      <c r="R167" s="405"/>
      <c r="S167" s="405"/>
      <c r="T167" s="405"/>
      <c r="U167" s="405"/>
      <c r="V167" s="405"/>
      <c r="W167" s="405"/>
      <c r="X167" s="405"/>
      <c r="Y167" s="405"/>
      <c r="Z167" s="405"/>
      <c r="AA167" s="405"/>
      <c r="AB167" s="405"/>
      <c r="AC167" s="405"/>
      <c r="AD167" s="405"/>
      <c r="AE167" s="405"/>
      <c r="AF167" s="405"/>
      <c r="AG167" s="405"/>
      <c r="AH167" s="405"/>
      <c r="AI167" s="405"/>
      <c r="AJ167" s="405"/>
      <c r="AK167" s="405"/>
      <c r="AL167" s="405"/>
      <c r="AM167" s="405"/>
      <c r="AN167" s="405"/>
      <c r="AO167" s="405"/>
      <c r="AP167" s="25"/>
      <c r="AQ167" s="25"/>
    </row>
    <row r="171" spans="5:47" x14ac:dyDescent="0.2">
      <c r="F171" s="405" t="s">
        <v>546</v>
      </c>
      <c r="G171" s="405"/>
      <c r="H171" s="405"/>
      <c r="I171" s="405"/>
      <c r="J171" s="405"/>
      <c r="K171" s="405"/>
      <c r="L171" s="405"/>
      <c r="M171" s="405"/>
      <c r="N171" s="405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413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 t="shared" ref="J174:J200" si="55"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415</v>
      </c>
      <c r="F175" s="248">
        <v>25394.240916408646</v>
      </c>
      <c r="H175" s="248">
        <v>0</v>
      </c>
      <c r="J175" s="248">
        <f t="shared" si="55"/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416</v>
      </c>
      <c r="F176" s="248">
        <v>8851059.7091535721</v>
      </c>
      <c r="H176" s="248">
        <v>0</v>
      </c>
      <c r="J176" s="248">
        <f t="shared" si="55"/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436</v>
      </c>
      <c r="F177" s="248">
        <v>2837357.8436831953</v>
      </c>
      <c r="H177" s="248">
        <v>0</v>
      </c>
      <c r="J177" s="248">
        <f t="shared" si="55"/>
        <v>2837357.8436831953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458</v>
      </c>
      <c r="F178" s="248">
        <v>1091283756.7089078</v>
      </c>
      <c r="H178" s="248">
        <v>0</v>
      </c>
      <c r="J178" s="248">
        <f t="shared" si="55"/>
        <v>1091283756.7089078</v>
      </c>
      <c r="L178" s="248">
        <v>0</v>
      </c>
      <c r="N178" s="295">
        <f t="shared" ref="N178:N193" si="56">F178+H178-J178-L178</f>
        <v>0</v>
      </c>
    </row>
    <row r="179" spans="5:14" x14ac:dyDescent="0.2">
      <c r="E179" s="201" t="s">
        <v>551</v>
      </c>
      <c r="F179" s="248">
        <v>117713.24639155329</v>
      </c>
      <c r="H179" s="248">
        <v>0</v>
      </c>
      <c r="J179" s="248">
        <f t="shared" si="55"/>
        <v>117713.24639155329</v>
      </c>
      <c r="L179" s="248">
        <v>0</v>
      </c>
      <c r="N179" s="295">
        <f t="shared" si="56"/>
        <v>0</v>
      </c>
    </row>
    <row r="180" spans="5:14" x14ac:dyDescent="0.2">
      <c r="E180" s="201" t="s">
        <v>552</v>
      </c>
      <c r="F180" s="248">
        <v>24.076233417548465</v>
      </c>
      <c r="H180" s="248">
        <v>0</v>
      </c>
      <c r="J180" s="248">
        <f t="shared" si="55"/>
        <v>24.076233417548465</v>
      </c>
      <c r="L180" s="248">
        <v>0</v>
      </c>
      <c r="N180" s="295">
        <f t="shared" si="56"/>
        <v>0</v>
      </c>
    </row>
    <row r="181" spans="5:14" x14ac:dyDescent="0.2">
      <c r="E181" s="201" t="s">
        <v>495</v>
      </c>
      <c r="F181" s="248">
        <v>29112.263489807588</v>
      </c>
      <c r="H181" s="248">
        <v>0</v>
      </c>
      <c r="J181" s="248">
        <f t="shared" si="55"/>
        <v>29112.263489807588</v>
      </c>
      <c r="L181" s="248">
        <v>0</v>
      </c>
      <c r="N181" s="295">
        <f t="shared" si="56"/>
        <v>0</v>
      </c>
    </row>
    <row r="182" spans="5:14" x14ac:dyDescent="0.2">
      <c r="E182" s="201" t="s">
        <v>544</v>
      </c>
      <c r="F182" s="248">
        <v>1058348.7350491155</v>
      </c>
      <c r="H182" s="248">
        <v>0</v>
      </c>
      <c r="J182" s="248">
        <f t="shared" si="55"/>
        <v>1058348.7350491155</v>
      </c>
      <c r="L182" s="248">
        <v>0</v>
      </c>
      <c r="N182" s="295">
        <f t="shared" si="56"/>
        <v>0</v>
      </c>
    </row>
    <row r="183" spans="5:14" ht="16" x14ac:dyDescent="0.2">
      <c r="E183" s="202" t="s">
        <v>526</v>
      </c>
      <c r="F183" s="248">
        <v>0</v>
      </c>
      <c r="H183" s="248">
        <v>109233.7126431732</v>
      </c>
      <c r="J183" s="248">
        <f t="shared" si="55"/>
        <v>109233.7126431732</v>
      </c>
      <c r="L183" s="248">
        <v>0</v>
      </c>
      <c r="N183" s="295">
        <f t="shared" si="56"/>
        <v>0</v>
      </c>
    </row>
    <row r="184" spans="5:14" x14ac:dyDescent="0.2">
      <c r="E184" s="201" t="s">
        <v>493</v>
      </c>
      <c r="F184" s="248">
        <v>0</v>
      </c>
      <c r="H184" s="248">
        <v>2418.6577581793781</v>
      </c>
      <c r="J184" s="248">
        <f t="shared" si="55"/>
        <v>0</v>
      </c>
      <c r="L184" s="248">
        <v>2418.6577581793781</v>
      </c>
      <c r="N184" s="295">
        <f t="shared" si="56"/>
        <v>0</v>
      </c>
    </row>
    <row r="185" spans="5:14" ht="16" x14ac:dyDescent="0.2">
      <c r="E185" s="202" t="s">
        <v>496</v>
      </c>
      <c r="F185" s="248">
        <v>0</v>
      </c>
      <c r="H185" s="248">
        <v>25394.240916408646</v>
      </c>
      <c r="J185" s="248">
        <f t="shared" si="55"/>
        <v>25394.240916408646</v>
      </c>
      <c r="L185" s="248">
        <v>0</v>
      </c>
      <c r="N185" s="295">
        <f t="shared" si="56"/>
        <v>0</v>
      </c>
    </row>
    <row r="186" spans="5:14" x14ac:dyDescent="0.2">
      <c r="E186" s="201" t="s">
        <v>521</v>
      </c>
      <c r="F186" s="248">
        <v>0</v>
      </c>
      <c r="H186" s="248">
        <v>7.2399197950896488</v>
      </c>
      <c r="J186" s="248">
        <f t="shared" si="55"/>
        <v>0</v>
      </c>
      <c r="L186" s="248">
        <v>7.2399197950896488</v>
      </c>
      <c r="N186" s="295">
        <f t="shared" si="56"/>
        <v>0</v>
      </c>
    </row>
    <row r="187" spans="5:14" x14ac:dyDescent="0.2">
      <c r="E187" s="203" t="s">
        <v>514</v>
      </c>
      <c r="F187" s="248">
        <v>0</v>
      </c>
      <c r="G187" s="255" t="s">
        <v>452</v>
      </c>
      <c r="H187" s="248">
        <v>8856308.1430966556</v>
      </c>
      <c r="I187" s="169" t="s">
        <v>454</v>
      </c>
      <c r="J187" s="248">
        <f t="shared" si="55"/>
        <v>8856308.1430966556</v>
      </c>
      <c r="K187" s="169" t="s">
        <v>454</v>
      </c>
      <c r="L187" s="248">
        <v>0</v>
      </c>
      <c r="M187" s="255" t="s">
        <v>455</v>
      </c>
      <c r="N187" s="295">
        <f t="shared" si="56"/>
        <v>0</v>
      </c>
    </row>
    <row r="188" spans="5:14" x14ac:dyDescent="0.2">
      <c r="E188" s="201" t="s">
        <v>500</v>
      </c>
      <c r="F188" s="248">
        <v>0</v>
      </c>
      <c r="H188" s="248">
        <v>598.81969608995871</v>
      </c>
      <c r="J188" s="248">
        <f t="shared" si="55"/>
        <v>0</v>
      </c>
      <c r="L188" s="248">
        <v>598.81969608995871</v>
      </c>
      <c r="N188" s="295">
        <f t="shared" si="56"/>
        <v>0</v>
      </c>
    </row>
    <row r="189" spans="5:14" ht="16" x14ac:dyDescent="0.2">
      <c r="E189" s="202" t="s">
        <v>525</v>
      </c>
      <c r="F189" s="248">
        <v>0</v>
      </c>
      <c r="H189" s="248">
        <v>109233.7126431732</v>
      </c>
      <c r="J189" s="248">
        <f t="shared" si="55"/>
        <v>109233.7126431732</v>
      </c>
      <c r="L189" s="248">
        <v>0</v>
      </c>
      <c r="N189" s="295">
        <f t="shared" si="56"/>
        <v>0</v>
      </c>
    </row>
    <row r="190" spans="5:14" ht="16" x14ac:dyDescent="0.2">
      <c r="E190" s="202" t="s">
        <v>520</v>
      </c>
      <c r="F190" s="248">
        <v>0</v>
      </c>
      <c r="H190" s="248">
        <v>25394.240916408646</v>
      </c>
      <c r="J190" s="248">
        <f t="shared" si="55"/>
        <v>25394.240916408646</v>
      </c>
      <c r="L190" s="248">
        <v>0</v>
      </c>
      <c r="N190" s="295">
        <f t="shared" si="56"/>
        <v>0</v>
      </c>
    </row>
    <row r="191" spans="5:14" ht="16" x14ac:dyDescent="0.2">
      <c r="E191" s="202" t="s">
        <v>517</v>
      </c>
      <c r="F191" s="248">
        <v>0</v>
      </c>
      <c r="H191" s="248">
        <v>8856308.1430966556</v>
      </c>
      <c r="J191" s="248">
        <f t="shared" si="55"/>
        <v>8856308.1430966556</v>
      </c>
      <c r="L191" s="248">
        <v>0</v>
      </c>
      <c r="N191" s="295">
        <f t="shared" si="56"/>
        <v>0</v>
      </c>
    </row>
    <row r="192" spans="5:14" ht="16" x14ac:dyDescent="0.2">
      <c r="E192" s="202" t="s">
        <v>523</v>
      </c>
      <c r="F192" s="248">
        <v>0</v>
      </c>
      <c r="H192" s="248">
        <v>88965.799815334409</v>
      </c>
      <c r="J192" s="248">
        <f t="shared" si="55"/>
        <v>88965.799815334409</v>
      </c>
      <c r="L192" s="248">
        <v>0</v>
      </c>
      <c r="N192" s="295">
        <f t="shared" si="56"/>
        <v>0</v>
      </c>
    </row>
    <row r="193" spans="5:22" x14ac:dyDescent="0.2">
      <c r="E193" s="203" t="s">
        <v>522</v>
      </c>
      <c r="F193" s="248">
        <v>0</v>
      </c>
      <c r="H193" s="248">
        <v>21743.416787545681</v>
      </c>
      <c r="J193" s="248">
        <f t="shared" si="55"/>
        <v>0</v>
      </c>
      <c r="L193" s="248">
        <v>21743.416787545681</v>
      </c>
      <c r="N193" s="295">
        <f t="shared" si="56"/>
        <v>0</v>
      </c>
    </row>
    <row r="194" spans="5:22" x14ac:dyDescent="0.2">
      <c r="E194" s="203" t="s">
        <v>508</v>
      </c>
      <c r="F194" s="248">
        <v>0</v>
      </c>
      <c r="H194" s="248">
        <v>25394.240916408646</v>
      </c>
      <c r="J194" s="248">
        <f t="shared" si="55"/>
        <v>25394.240916408646</v>
      </c>
      <c r="L194" s="248">
        <v>0</v>
      </c>
      <c r="N194" s="295">
        <f t="shared" ref="N194:N209" si="57">F194+H194-J194-L194</f>
        <v>0</v>
      </c>
      <c r="Q194" s="25"/>
      <c r="S194" s="25"/>
      <c r="T194" s="25"/>
      <c r="U194" s="25"/>
    </row>
    <row r="195" spans="5:22" x14ac:dyDescent="0.2">
      <c r="E195" s="203" t="s">
        <v>541</v>
      </c>
      <c r="F195" s="248">
        <v>0</v>
      </c>
      <c r="H195" s="248">
        <v>8856308.1430966556</v>
      </c>
      <c r="J195" s="248">
        <f t="shared" si="55"/>
        <v>8856308.1430966556</v>
      </c>
      <c r="L195" s="248">
        <v>0</v>
      </c>
      <c r="N195" s="295">
        <f t="shared" si="57"/>
        <v>0</v>
      </c>
      <c r="Q195" s="25"/>
      <c r="S195" s="25"/>
      <c r="T195" s="25"/>
      <c r="U195" s="25"/>
    </row>
    <row r="196" spans="5:22" x14ac:dyDescent="0.2">
      <c r="E196" s="203" t="s">
        <v>509</v>
      </c>
      <c r="F196" s="248">
        <v>0</v>
      </c>
      <c r="H196" s="248">
        <v>242016.07607977447</v>
      </c>
      <c r="J196" s="248">
        <f t="shared" si="55"/>
        <v>242016.07607977447</v>
      </c>
      <c r="L196" s="248">
        <v>0</v>
      </c>
      <c r="N196" s="295">
        <f t="shared" si="57"/>
        <v>0</v>
      </c>
      <c r="Q196" s="25"/>
      <c r="S196" s="25"/>
      <c r="T196" s="25"/>
      <c r="U196" s="25"/>
    </row>
    <row r="197" spans="5:22" x14ac:dyDescent="0.2">
      <c r="E197" s="203" t="s">
        <v>511</v>
      </c>
      <c r="F197" s="248">
        <v>0</v>
      </c>
      <c r="H197" s="248">
        <v>7739.2511800711582</v>
      </c>
      <c r="J197" s="248">
        <f t="shared" si="55"/>
        <v>0</v>
      </c>
      <c r="L197" s="248">
        <v>7739.2511800711582</v>
      </c>
      <c r="N197" s="295">
        <f t="shared" si="57"/>
        <v>0</v>
      </c>
      <c r="Q197" s="25"/>
      <c r="S197" s="25"/>
      <c r="T197" s="25"/>
      <c r="U197" s="25"/>
    </row>
    <row r="198" spans="5:22" x14ac:dyDescent="0.2">
      <c r="E198" s="203" t="s">
        <v>510</v>
      </c>
      <c r="F198" s="248">
        <v>0</v>
      </c>
      <c r="H198" s="248">
        <v>33179125.659109436</v>
      </c>
      <c r="J198" s="248">
        <f t="shared" si="55"/>
        <v>0</v>
      </c>
      <c r="L198" s="248">
        <v>33179125.659109436</v>
      </c>
      <c r="N198" s="295">
        <f t="shared" si="57"/>
        <v>0</v>
      </c>
      <c r="Q198" s="25"/>
      <c r="S198" s="25"/>
      <c r="T198" s="25"/>
      <c r="U198" s="25"/>
    </row>
    <row r="199" spans="5:22" x14ac:dyDescent="0.2">
      <c r="E199" s="203" t="s">
        <v>606</v>
      </c>
      <c r="F199" s="248">
        <v>0</v>
      </c>
      <c r="H199" s="248">
        <v>6408288.6211381694</v>
      </c>
      <c r="J199" s="248">
        <f t="shared" si="55"/>
        <v>6408288.6211381694</v>
      </c>
      <c r="L199" s="248">
        <v>0</v>
      </c>
      <c r="N199" s="295">
        <f t="shared" si="57"/>
        <v>0</v>
      </c>
    </row>
    <row r="200" spans="5:22" ht="16" x14ac:dyDescent="0.2">
      <c r="E200" s="249" t="s">
        <v>506</v>
      </c>
      <c r="F200" s="248">
        <v>0</v>
      </c>
      <c r="H200" s="248">
        <v>4027024.8231933108</v>
      </c>
      <c r="J200" s="248">
        <f t="shared" si="55"/>
        <v>4027024.8231933108</v>
      </c>
      <c r="L200" s="248">
        <v>0</v>
      </c>
      <c r="N200" s="295">
        <f t="shared" si="57"/>
        <v>0</v>
      </c>
    </row>
    <row r="201" spans="5:22" ht="16" x14ac:dyDescent="0.2">
      <c r="E201" s="249" t="s">
        <v>682</v>
      </c>
      <c r="F201" s="248">
        <v>0</v>
      </c>
      <c r="H201" s="248">
        <v>955653.18009036488</v>
      </c>
      <c r="J201" s="248">
        <f t="shared" ref="J201:J209" si="58">BJ114</f>
        <v>0</v>
      </c>
      <c r="L201" s="248">
        <v>955653.18009036488</v>
      </c>
      <c r="N201" s="295">
        <f t="shared" si="57"/>
        <v>0</v>
      </c>
    </row>
    <row r="202" spans="5:22" x14ac:dyDescent="0.2">
      <c r="E202" s="203" t="s">
        <v>505</v>
      </c>
      <c r="F202" s="248">
        <v>0</v>
      </c>
      <c r="H202" s="248">
        <v>9078.7224010297414</v>
      </c>
      <c r="J202" s="248">
        <f t="shared" si="58"/>
        <v>0</v>
      </c>
      <c r="L202" s="248">
        <v>9078.7224010297414</v>
      </c>
      <c r="N202" s="295">
        <f t="shared" si="57"/>
        <v>0</v>
      </c>
      <c r="O202" s="25"/>
    </row>
    <row r="203" spans="5:22" x14ac:dyDescent="0.2">
      <c r="E203" s="201" t="s">
        <v>507</v>
      </c>
      <c r="F203" s="248">
        <v>0</v>
      </c>
      <c r="H203" s="248">
        <v>325339.45293214149</v>
      </c>
      <c r="J203" s="248">
        <f t="shared" si="58"/>
        <v>0</v>
      </c>
      <c r="L203" s="248">
        <v>325339.45293214149</v>
      </c>
      <c r="N203" s="295">
        <f t="shared" si="57"/>
        <v>0</v>
      </c>
    </row>
    <row r="204" spans="5:22" x14ac:dyDescent="0.2">
      <c r="E204" s="203" t="s">
        <v>641</v>
      </c>
      <c r="F204" s="248">
        <v>0</v>
      </c>
      <c r="H204" s="248">
        <v>4044220.3273382401</v>
      </c>
      <c r="J204" s="248">
        <f t="shared" si="58"/>
        <v>4044220.3273382401</v>
      </c>
      <c r="L204" s="248">
        <v>0</v>
      </c>
      <c r="N204" s="295">
        <f t="shared" si="57"/>
        <v>0</v>
      </c>
    </row>
    <row r="205" spans="5:22" x14ac:dyDescent="0.2">
      <c r="E205" s="203" t="s">
        <v>644</v>
      </c>
      <c r="F205" s="248">
        <v>0</v>
      </c>
      <c r="H205" s="248">
        <v>4044220.3273382401</v>
      </c>
      <c r="J205" s="248">
        <f t="shared" si="58"/>
        <v>2830954.2291367673</v>
      </c>
      <c r="L205" s="248">
        <v>1213266.0982014721</v>
      </c>
      <c r="N205" s="295">
        <f t="shared" si="57"/>
        <v>0</v>
      </c>
    </row>
    <row r="206" spans="5:22" x14ac:dyDescent="0.2">
      <c r="E206" s="203" t="s">
        <v>529</v>
      </c>
      <c r="F206" s="248">
        <v>0</v>
      </c>
      <c r="H206" s="248">
        <v>6688312.3779436089</v>
      </c>
      <c r="J206" s="248">
        <f t="shared" si="58"/>
        <v>6688312.3779436089</v>
      </c>
      <c r="L206" s="248">
        <v>0</v>
      </c>
      <c r="N206" s="295">
        <f t="shared" si="57"/>
        <v>0</v>
      </c>
      <c r="S206" s="241"/>
      <c r="T206" s="241"/>
      <c r="U206" s="241"/>
      <c r="V206" s="241"/>
    </row>
    <row r="207" spans="5:22" x14ac:dyDescent="0.2">
      <c r="E207" s="203" t="s">
        <v>530</v>
      </c>
      <c r="F207" s="248">
        <v>0</v>
      </c>
      <c r="H207" s="248">
        <v>4157895.2984628798</v>
      </c>
      <c r="J207" s="248">
        <f t="shared" si="58"/>
        <v>0</v>
      </c>
      <c r="L207" s="248">
        <v>4157895.2984628798</v>
      </c>
      <c r="N207" s="295">
        <f t="shared" si="57"/>
        <v>0</v>
      </c>
    </row>
    <row r="208" spans="5:22" x14ac:dyDescent="0.2">
      <c r="E208" s="203" t="s">
        <v>531</v>
      </c>
      <c r="F208" s="248">
        <v>0</v>
      </c>
      <c r="H208" s="248">
        <v>424855.37186650094</v>
      </c>
      <c r="J208" s="248">
        <f t="shared" si="58"/>
        <v>0</v>
      </c>
      <c r="L208" s="248">
        <v>424855.37186650094</v>
      </c>
      <c r="N208" s="295">
        <f t="shared" si="57"/>
        <v>0</v>
      </c>
    </row>
    <row r="209" spans="5:18" x14ac:dyDescent="0.2">
      <c r="E209" s="203" t="s">
        <v>542</v>
      </c>
      <c r="F209" s="248">
        <v>0</v>
      </c>
      <c r="H209" s="248">
        <v>67875.356217847453</v>
      </c>
      <c r="J209" s="248">
        <f t="shared" si="58"/>
        <v>0</v>
      </c>
      <c r="L209" s="248">
        <v>67875.356217847453</v>
      </c>
      <c r="N209" s="295">
        <f t="shared" si="57"/>
        <v>0</v>
      </c>
    </row>
    <row r="210" spans="5:18" ht="17" x14ac:dyDescent="0.2">
      <c r="E210" s="203"/>
      <c r="F210" s="3" t="s">
        <v>451</v>
      </c>
      <c r="H210" s="3" t="s">
        <v>453</v>
      </c>
      <c r="J210" s="25" t="s">
        <v>450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5" t="s">
        <v>612</v>
      </c>
      <c r="G213" s="405"/>
      <c r="H213" s="405"/>
      <c r="I213" s="405"/>
      <c r="J213" s="405"/>
      <c r="O213" s="241"/>
      <c r="P213" s="241"/>
    </row>
    <row r="216" spans="5:18" x14ac:dyDescent="0.2">
      <c r="E216" s="201" t="s">
        <v>405</v>
      </c>
      <c r="F216" s="248" cm="1">
        <f t="array" ref="F216:F230">TRANSPOSE((AU124:BI124))</f>
        <v>203615.93865263887</v>
      </c>
      <c r="H216" s="248">
        <f t="shared" ref="H216:H230" si="59">AP127</f>
        <v>111652.37040135259</v>
      </c>
      <c r="J216" s="248">
        <f>F216-H216</f>
        <v>91963.568251286284</v>
      </c>
    </row>
    <row r="217" spans="5:18" x14ac:dyDescent="0.2">
      <c r="E217" s="201" t="s">
        <v>406</v>
      </c>
      <c r="F217" s="248">
        <v>25677.018753453132</v>
      </c>
      <c r="H217" s="248">
        <f t="shared" si="59"/>
        <v>25401.480836203737</v>
      </c>
      <c r="J217" s="248">
        <f t="shared" ref="J217:J230" si="60">F217-H217</f>
        <v>275.53791724939583</v>
      </c>
      <c r="Q217" s="241"/>
      <c r="R217" s="241"/>
    </row>
    <row r="218" spans="5:18" x14ac:dyDescent="0.2">
      <c r="E218" s="201" t="s">
        <v>407</v>
      </c>
      <c r="F218" s="248">
        <v>8955043.5590230841</v>
      </c>
      <c r="H218" s="248">
        <f t="shared" si="59"/>
        <v>8856906.9627927449</v>
      </c>
      <c r="J218" s="248">
        <f t="shared" si="60"/>
        <v>98136.596230339259</v>
      </c>
    </row>
    <row r="219" spans="5:18" x14ac:dyDescent="0.2">
      <c r="E219" s="201" t="s">
        <v>540</v>
      </c>
      <c r="F219" s="248">
        <v>719025.96440252138</v>
      </c>
      <c r="G219" s="250"/>
      <c r="H219" s="248">
        <f t="shared" si="59"/>
        <v>109233.7126431732</v>
      </c>
      <c r="I219" s="250"/>
      <c r="J219" s="248">
        <f t="shared" si="60"/>
        <v>609792.2517593482</v>
      </c>
    </row>
    <row r="220" spans="5:18" x14ac:dyDescent="0.2">
      <c r="E220" s="201" t="s">
        <v>519</v>
      </c>
      <c r="F220" s="248">
        <v>28219.126564153565</v>
      </c>
      <c r="H220" s="248">
        <f t="shared" si="59"/>
        <v>25394.240916408646</v>
      </c>
      <c r="J220" s="248">
        <f t="shared" si="60"/>
        <v>2824.885647744919</v>
      </c>
      <c r="K220" s="241"/>
      <c r="L220" s="241"/>
      <c r="M220" s="241"/>
      <c r="N220" s="241"/>
    </row>
    <row r="221" spans="5:18" x14ac:dyDescent="0.2">
      <c r="E221" s="201" t="s">
        <v>518</v>
      </c>
      <c r="F221" s="248">
        <v>8856590.2718676869</v>
      </c>
      <c r="H221" s="248">
        <f t="shared" si="59"/>
        <v>8856308.1430966556</v>
      </c>
      <c r="J221" s="248">
        <f t="shared" si="60"/>
        <v>282.12877103127539</v>
      </c>
    </row>
    <row r="222" spans="5:18" x14ac:dyDescent="0.2">
      <c r="E222" s="201" t="s">
        <v>432</v>
      </c>
      <c r="F222" s="248">
        <v>121859.81146951189</v>
      </c>
      <c r="H222" s="248">
        <f t="shared" si="59"/>
        <v>110709.21660288009</v>
      </c>
      <c r="J222" s="248">
        <f t="shared" si="60"/>
        <v>11150.5948666318</v>
      </c>
    </row>
    <row r="223" spans="5:18" x14ac:dyDescent="0.2">
      <c r="E223" s="201" t="s">
        <v>429</v>
      </c>
      <c r="F223" s="248">
        <v>25428.919011572762</v>
      </c>
      <c r="G223" s="169" t="s">
        <v>459</v>
      </c>
      <c r="H223" s="248">
        <f t="shared" si="59"/>
        <v>25394.240916408646</v>
      </c>
      <c r="I223" s="169" t="s">
        <v>455</v>
      </c>
      <c r="J223" s="248">
        <f t="shared" si="60"/>
        <v>34.678095164115803</v>
      </c>
    </row>
    <row r="224" spans="5:18" x14ac:dyDescent="0.2">
      <c r="E224" s="201" t="s">
        <v>443</v>
      </c>
      <c r="F224" s="248">
        <v>8856358.501180809</v>
      </c>
      <c r="H224" s="248">
        <f t="shared" si="59"/>
        <v>8856308.1430966556</v>
      </c>
      <c r="J224" s="248">
        <f t="shared" si="60"/>
        <v>50.35808415338397</v>
      </c>
    </row>
    <row r="225" spans="5:14" x14ac:dyDescent="0.2">
      <c r="E225" s="201" t="s">
        <v>430</v>
      </c>
      <c r="F225" s="248">
        <v>1081183306.4491639</v>
      </c>
      <c r="H225" s="248">
        <f t="shared" si="59"/>
        <v>33428880.986369282</v>
      </c>
      <c r="J225" s="248">
        <f t="shared" si="60"/>
        <v>1047754425.4627947</v>
      </c>
    </row>
    <row r="226" spans="5:14" x14ac:dyDescent="0.2">
      <c r="E226" s="201" t="s">
        <v>425</v>
      </c>
      <c r="F226" s="248">
        <v>19467444.052330792</v>
      </c>
      <c r="H226" s="248">
        <f t="shared" si="59"/>
        <v>11725384.799755016</v>
      </c>
      <c r="J226" s="248">
        <f t="shared" si="60"/>
        <v>7742059.2525757756</v>
      </c>
    </row>
    <row r="227" spans="5:14" x14ac:dyDescent="0.2">
      <c r="E227" s="201" t="s">
        <v>640</v>
      </c>
      <c r="F227" s="248">
        <v>4060216.682587008</v>
      </c>
      <c r="H227" s="248">
        <f t="shared" si="59"/>
        <v>4044220.3273382401</v>
      </c>
      <c r="J227" s="248">
        <f t="shared" si="60"/>
        <v>15996.355248767883</v>
      </c>
    </row>
    <row r="228" spans="5:14" x14ac:dyDescent="0.2">
      <c r="E228" s="201" t="s">
        <v>643</v>
      </c>
      <c r="F228" s="248">
        <v>4044220.3273382401</v>
      </c>
      <c r="H228" s="248">
        <f t="shared" si="59"/>
        <v>4044220.3273382401</v>
      </c>
      <c r="J228" s="248">
        <f t="shared" si="60"/>
        <v>0</v>
      </c>
    </row>
    <row r="229" spans="5:14" x14ac:dyDescent="0.2">
      <c r="E229" s="201" t="s">
        <v>81</v>
      </c>
      <c r="F229" s="248">
        <v>6739270.4970332785</v>
      </c>
      <c r="H229" s="248">
        <f t="shared" si="59"/>
        <v>6688312.3779436089</v>
      </c>
      <c r="J229" s="248">
        <f t="shared" si="60"/>
        <v>50958.119089669548</v>
      </c>
    </row>
    <row r="230" spans="5:14" x14ac:dyDescent="0.2">
      <c r="E230" s="201" t="s">
        <v>417</v>
      </c>
      <c r="F230" s="248">
        <v>12219080.249060091</v>
      </c>
      <c r="G230" s="169"/>
      <c r="H230" s="248">
        <f t="shared" si="59"/>
        <v>4650626.026547228</v>
      </c>
      <c r="J230" s="248">
        <f t="shared" si="60"/>
        <v>7568454.2225128626</v>
      </c>
    </row>
    <row r="231" spans="5:14" x14ac:dyDescent="0.2">
      <c r="E231" s="203"/>
      <c r="F231" s="169" t="s">
        <v>449</v>
      </c>
      <c r="G231" s="169"/>
      <c r="H231" s="169" t="s">
        <v>446</v>
      </c>
      <c r="I231" s="169"/>
      <c r="J231" s="169" t="s">
        <v>460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M48" zoomScale="50" workbookViewId="0">
      <selection activeCell="BN118" sqref="BM118:BN11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563</v>
      </c>
      <c r="AQ1" s="256"/>
      <c r="AR1" s="204" t="s">
        <v>405</v>
      </c>
      <c r="AS1" s="204" t="s">
        <v>406</v>
      </c>
      <c r="AT1" s="204" t="s">
        <v>407</v>
      </c>
      <c r="AU1" s="204" t="s">
        <v>540</v>
      </c>
      <c r="AV1" s="204" t="s">
        <v>519</v>
      </c>
      <c r="AW1" s="204" t="s">
        <v>518</v>
      </c>
      <c r="AX1" s="204" t="s">
        <v>432</v>
      </c>
      <c r="AY1" s="204" t="s">
        <v>429</v>
      </c>
      <c r="AZ1" s="204" t="s">
        <v>443</v>
      </c>
      <c r="BA1" s="204" t="s">
        <v>430</v>
      </c>
      <c r="BB1" s="204" t="s">
        <v>425</v>
      </c>
      <c r="BC1" s="204" t="s">
        <v>441</v>
      </c>
      <c r="BD1" s="204" t="s">
        <v>643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540</v>
      </c>
      <c r="BP1" s="204" t="s">
        <v>519</v>
      </c>
      <c r="BQ1" s="204" t="s">
        <v>518</v>
      </c>
      <c r="BR1" s="204" t="s">
        <v>432</v>
      </c>
      <c r="BS1" s="204" t="s">
        <v>429</v>
      </c>
      <c r="BT1" s="204" t="s">
        <v>443</v>
      </c>
      <c r="BU1" s="204" t="s">
        <v>430</v>
      </c>
      <c r="BV1" s="204" t="s">
        <v>425</v>
      </c>
      <c r="BW1" s="204" t="s">
        <v>643</v>
      </c>
      <c r="BX1" s="204" t="s">
        <v>81</v>
      </c>
      <c r="BY1" s="204" t="s">
        <v>417</v>
      </c>
    </row>
    <row r="2" spans="2:77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458</v>
      </c>
      <c r="C6" s="280">
        <v>1</v>
      </c>
      <c r="AQ6" s="201" t="s">
        <v>458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458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551</v>
      </c>
      <c r="C7" s="280">
        <v>1</v>
      </c>
      <c r="AQ7" s="201" t="s">
        <v>551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551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552</v>
      </c>
      <c r="C8" s="280">
        <v>1</v>
      </c>
      <c r="AQ8" s="201" t="s">
        <v>552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552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495</v>
      </c>
      <c r="C9" s="280">
        <v>1</v>
      </c>
      <c r="AQ9" s="201" t="s">
        <v>495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495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544</v>
      </c>
      <c r="C10" s="280">
        <v>1</v>
      </c>
      <c r="AQ10" s="201" t="s">
        <v>544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544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526</v>
      </c>
      <c r="C11" s="280">
        <v>1</v>
      </c>
      <c r="AQ11" s="202" t="s">
        <v>526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526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493</v>
      </c>
      <c r="C12" s="280">
        <v>1</v>
      </c>
      <c r="AQ12" s="201" t="s">
        <v>493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493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496</v>
      </c>
      <c r="C13" s="280">
        <v>1</v>
      </c>
      <c r="AQ13" s="202" t="s">
        <v>496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496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521</v>
      </c>
      <c r="C14" s="280">
        <v>1</v>
      </c>
      <c r="AQ14" s="201" t="s">
        <v>521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521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514</v>
      </c>
      <c r="C15" s="280">
        <v>1</v>
      </c>
      <c r="AQ15" s="203" t="s">
        <v>514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514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500</v>
      </c>
      <c r="C16" s="280">
        <v>1</v>
      </c>
      <c r="AQ16" s="201" t="s">
        <v>500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525</v>
      </c>
      <c r="C17" s="280">
        <v>1</v>
      </c>
      <c r="AQ17" s="202" t="s">
        <v>525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525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520</v>
      </c>
      <c r="C18" s="280">
        <v>1</v>
      </c>
      <c r="AQ18" s="202" t="s">
        <v>520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517</v>
      </c>
      <c r="C19" s="280">
        <v>1</v>
      </c>
      <c r="AQ19" s="202" t="s">
        <v>517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517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523</v>
      </c>
      <c r="C20" s="280">
        <v>1</v>
      </c>
      <c r="AQ20" s="202" t="s">
        <v>523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523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522</v>
      </c>
      <c r="C21" s="280">
        <v>1</v>
      </c>
      <c r="AQ21" s="203" t="s">
        <v>522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522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508</v>
      </c>
      <c r="C22" s="280">
        <v>1</v>
      </c>
      <c r="AQ22" s="203" t="s">
        <v>508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508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541</v>
      </c>
      <c r="C23" s="280">
        <v>1</v>
      </c>
      <c r="AQ23" s="203" t="s">
        <v>541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541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509</v>
      </c>
      <c r="C24" s="280">
        <v>1</v>
      </c>
      <c r="AQ24" s="203" t="s">
        <v>509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509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511</v>
      </c>
      <c r="C25" s="280">
        <v>1</v>
      </c>
      <c r="AQ25" s="203" t="s">
        <v>511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511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510</v>
      </c>
      <c r="C26" s="280">
        <v>1</v>
      </c>
      <c r="AQ26" s="203" t="s">
        <v>510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606</v>
      </c>
      <c r="C27" s="280">
        <v>1</v>
      </c>
      <c r="AQ27" s="203" t="s">
        <v>606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606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506</v>
      </c>
      <c r="C28" s="280">
        <v>1</v>
      </c>
      <c r="AQ28" s="249" t="s">
        <v>506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506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682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682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505</v>
      </c>
      <c r="C30" s="280">
        <v>1</v>
      </c>
      <c r="AQ30" s="203" t="s">
        <v>505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505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507</v>
      </c>
      <c r="C31" s="280">
        <v>1</v>
      </c>
      <c r="AQ31" s="201" t="s">
        <v>507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507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503</v>
      </c>
      <c r="C32" s="280">
        <v>1</v>
      </c>
      <c r="AQ32" s="203" t="s">
        <v>641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641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529</v>
      </c>
      <c r="C33" s="280">
        <v>1</v>
      </c>
      <c r="AQ33" s="203" t="s">
        <v>644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644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530</v>
      </c>
      <c r="C34" s="280">
        <v>1</v>
      </c>
      <c r="AQ34" s="203" t="s">
        <v>529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529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531</v>
      </c>
      <c r="C35" s="280">
        <v>1</v>
      </c>
      <c r="AQ35" s="203" t="s">
        <v>530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542</v>
      </c>
      <c r="C36" s="280">
        <v>1</v>
      </c>
      <c r="AQ36" s="203" t="s">
        <v>531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531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558</v>
      </c>
      <c r="AQ37" s="203" t="s">
        <v>542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542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5" t="s">
        <v>555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556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540</v>
      </c>
      <c r="AV41" s="204" t="s">
        <v>519</v>
      </c>
      <c r="AW41" s="204" t="s">
        <v>518</v>
      </c>
      <c r="AX41" s="204" t="s">
        <v>432</v>
      </c>
      <c r="AY41" s="204" t="s">
        <v>429</v>
      </c>
      <c r="AZ41" s="204" t="s">
        <v>443</v>
      </c>
      <c r="BA41" s="204" t="s">
        <v>430</v>
      </c>
      <c r="BB41" s="204" t="s">
        <v>425</v>
      </c>
      <c r="BC41" s="204" t="s">
        <v>640</v>
      </c>
      <c r="BD41" s="204" t="s">
        <v>643</v>
      </c>
      <c r="BE41" s="204" t="s">
        <v>81</v>
      </c>
      <c r="BF41" s="204" t="s">
        <v>417</v>
      </c>
    </row>
    <row r="42" spans="2:77" x14ac:dyDescent="0.2">
      <c r="AQ42" s="201" t="s">
        <v>413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415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436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356076.147280448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458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20798.316475388398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551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552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495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544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526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493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496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521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514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500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525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520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517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523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522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508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541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509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511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510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606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506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682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505</v>
      </c>
      <c r="AR70" s="280">
        <f t="shared" ref="AR70:AX71" si="55">AR111</f>
        <v>0</v>
      </c>
      <c r="AS70" s="280">
        <f t="shared" si="55"/>
        <v>0</v>
      </c>
      <c r="AT70" s="280">
        <f t="shared" si="55"/>
        <v>0</v>
      </c>
      <c r="AU70" s="280">
        <f t="shared" si="55"/>
        <v>0</v>
      </c>
      <c r="AV70" s="280">
        <f t="shared" si="55"/>
        <v>0</v>
      </c>
      <c r="AW70" s="280">
        <f t="shared" si="55"/>
        <v>0</v>
      </c>
      <c r="AX70" s="280">
        <f t="shared" si="55"/>
        <v>0</v>
      </c>
      <c r="AY70" s="280">
        <f t="shared" ref="AY70:BC70" si="56">AY111</f>
        <v>0</v>
      </c>
      <c r="AZ70" s="280">
        <f t="shared" si="56"/>
        <v>0</v>
      </c>
      <c r="BA70" s="280">
        <f t="shared" si="56"/>
        <v>0</v>
      </c>
      <c r="BB70" s="280">
        <f t="shared" si="56"/>
        <v>0</v>
      </c>
      <c r="BC70" s="280">
        <f t="shared" si="56"/>
        <v>0</v>
      </c>
      <c r="BD70" s="280">
        <f>BD111</f>
        <v>0</v>
      </c>
      <c r="BE70" s="280">
        <f t="shared" ref="BE70:BF70" si="57">BE111</f>
        <v>0</v>
      </c>
      <c r="BF70" s="280">
        <f t="shared" si="57"/>
        <v>0</v>
      </c>
    </row>
    <row r="71" spans="43:58" x14ac:dyDescent="0.2">
      <c r="AQ71" s="201" t="s">
        <v>507</v>
      </c>
      <c r="AR71" s="280">
        <f t="shared" si="55"/>
        <v>0</v>
      </c>
      <c r="AS71" s="280">
        <f t="shared" si="55"/>
        <v>0</v>
      </c>
      <c r="AT71" s="280">
        <f t="shared" si="55"/>
        <v>0</v>
      </c>
      <c r="AU71" s="280">
        <f t="shared" si="55"/>
        <v>0</v>
      </c>
      <c r="AV71" s="280">
        <f t="shared" si="55"/>
        <v>0</v>
      </c>
      <c r="AW71" s="280">
        <f t="shared" si="55"/>
        <v>0</v>
      </c>
      <c r="AX71" s="280">
        <f t="shared" si="55"/>
        <v>0</v>
      </c>
      <c r="AY71" s="280">
        <f t="shared" ref="AY71:BC71" si="58">AY112</f>
        <v>0</v>
      </c>
      <c r="AZ71" s="280">
        <f t="shared" si="58"/>
        <v>0</v>
      </c>
      <c r="BA71" s="280">
        <f t="shared" si="58"/>
        <v>0</v>
      </c>
      <c r="BB71" s="280">
        <f t="shared" si="58"/>
        <v>0</v>
      </c>
      <c r="BC71" s="280">
        <f t="shared" si="58"/>
        <v>0</v>
      </c>
      <c r="BD71" s="280">
        <f>BD112</f>
        <v>0</v>
      </c>
      <c r="BE71" s="280">
        <f t="shared" ref="BE71:BF71" si="59">BE112</f>
        <v>0</v>
      </c>
      <c r="BF71" s="280">
        <f t="shared" si="59"/>
        <v>0</v>
      </c>
    </row>
    <row r="72" spans="43:58" x14ac:dyDescent="0.2">
      <c r="AQ72" s="203" t="s">
        <v>641</v>
      </c>
      <c r="AR72" s="280">
        <f t="shared" ref="AR72:AR77" si="60">AR113</f>
        <v>0</v>
      </c>
      <c r="AS72" s="280">
        <f t="shared" ref="AS72:BC72" si="61">AS113</f>
        <v>0</v>
      </c>
      <c r="AT72" s="280">
        <f t="shared" si="61"/>
        <v>0</v>
      </c>
      <c r="AU72" s="280">
        <f t="shared" si="61"/>
        <v>0</v>
      </c>
      <c r="AV72" s="280">
        <f t="shared" si="61"/>
        <v>0</v>
      </c>
      <c r="AW72" s="280">
        <f t="shared" si="61"/>
        <v>0</v>
      </c>
      <c r="AX72" s="280">
        <f t="shared" si="61"/>
        <v>0</v>
      </c>
      <c r="AY72" s="280">
        <f t="shared" si="61"/>
        <v>0</v>
      </c>
      <c r="AZ72" s="280">
        <f t="shared" si="61"/>
        <v>0</v>
      </c>
      <c r="BA72" s="280">
        <f t="shared" si="61"/>
        <v>0</v>
      </c>
      <c r="BB72" s="280">
        <f t="shared" si="61"/>
        <v>0</v>
      </c>
      <c r="BC72" s="280">
        <f t="shared" si="61"/>
        <v>0</v>
      </c>
      <c r="BD72" s="280"/>
      <c r="BE72" s="280">
        <f t="shared" ref="BE72:BF72" si="62">BE113</f>
        <v>0</v>
      </c>
      <c r="BF72" s="280">
        <f t="shared" si="62"/>
        <v>0</v>
      </c>
    </row>
    <row r="73" spans="43:58" x14ac:dyDescent="0.2">
      <c r="AQ73" s="203" t="s">
        <v>644</v>
      </c>
      <c r="AR73" s="280">
        <f t="shared" si="60"/>
        <v>0</v>
      </c>
      <c r="AS73" s="280">
        <f t="shared" ref="AS73:AX77" si="63">AS114</f>
        <v>0</v>
      </c>
      <c r="AT73" s="280">
        <f t="shared" si="63"/>
        <v>0</v>
      </c>
      <c r="AU73" s="280">
        <f t="shared" si="63"/>
        <v>0</v>
      </c>
      <c r="AV73" s="280">
        <f t="shared" si="63"/>
        <v>0</v>
      </c>
      <c r="AW73" s="280">
        <f t="shared" si="63"/>
        <v>0</v>
      </c>
      <c r="AX73" s="280">
        <f t="shared" si="63"/>
        <v>0</v>
      </c>
      <c r="AY73" s="280">
        <f t="shared" ref="AY73:BC73" si="64">AY114</f>
        <v>0</v>
      </c>
      <c r="AZ73" s="280">
        <f t="shared" si="64"/>
        <v>0</v>
      </c>
      <c r="BA73" s="280">
        <f t="shared" si="64"/>
        <v>0</v>
      </c>
      <c r="BB73" s="280">
        <f t="shared" si="64"/>
        <v>0</v>
      </c>
      <c r="BC73" s="280">
        <f t="shared" si="64"/>
        <v>0</v>
      </c>
      <c r="BD73" s="280">
        <f t="shared" ref="BD73" si="65">BD113</f>
        <v>46.099804713468714</v>
      </c>
      <c r="BE73" s="280">
        <f t="shared" ref="BE73:BF73" si="66">BE114</f>
        <v>0</v>
      </c>
      <c r="BF73" s="280">
        <f t="shared" si="66"/>
        <v>32.269863299428096</v>
      </c>
    </row>
    <row r="74" spans="43:58" x14ac:dyDescent="0.2">
      <c r="AQ74" s="203" t="s">
        <v>529</v>
      </c>
      <c r="AR74" s="280">
        <f t="shared" si="60"/>
        <v>0</v>
      </c>
      <c r="AS74" s="280">
        <f t="shared" si="63"/>
        <v>0</v>
      </c>
      <c r="AT74" s="280">
        <f t="shared" si="63"/>
        <v>0</v>
      </c>
      <c r="AU74" s="280">
        <f t="shared" si="63"/>
        <v>0</v>
      </c>
      <c r="AV74" s="280">
        <f t="shared" si="63"/>
        <v>0</v>
      </c>
      <c r="AW74" s="280">
        <f t="shared" si="63"/>
        <v>0</v>
      </c>
      <c r="AX74" s="280">
        <f t="shared" si="63"/>
        <v>0</v>
      </c>
      <c r="AY74" s="280">
        <f t="shared" ref="AY74:BC74" si="67">AY115</f>
        <v>0</v>
      </c>
      <c r="AZ74" s="280">
        <f t="shared" si="67"/>
        <v>0</v>
      </c>
      <c r="BA74" s="280">
        <f t="shared" si="67"/>
        <v>0</v>
      </c>
      <c r="BB74" s="280">
        <f t="shared" si="67"/>
        <v>0</v>
      </c>
      <c r="BC74" s="280">
        <f t="shared" si="67"/>
        <v>0</v>
      </c>
      <c r="BD74" s="280">
        <f t="shared" ref="BD74" si="68">BD114</f>
        <v>0</v>
      </c>
      <c r="BE74" s="280">
        <f t="shared" ref="BE74:BF74" si="69">BE115</f>
        <v>0</v>
      </c>
      <c r="BF74" s="280">
        <f t="shared" si="69"/>
        <v>1314.2879334772852</v>
      </c>
    </row>
    <row r="75" spans="43:58" x14ac:dyDescent="0.2">
      <c r="AQ75" s="203" t="s">
        <v>530</v>
      </c>
      <c r="AR75" s="280">
        <f t="shared" si="60"/>
        <v>0</v>
      </c>
      <c r="AS75" s="280">
        <f t="shared" si="63"/>
        <v>0</v>
      </c>
      <c r="AT75" s="280">
        <f t="shared" si="63"/>
        <v>0</v>
      </c>
      <c r="AU75" s="280">
        <f t="shared" si="63"/>
        <v>0</v>
      </c>
      <c r="AV75" s="280">
        <f t="shared" si="63"/>
        <v>0</v>
      </c>
      <c r="AW75" s="280">
        <f t="shared" si="63"/>
        <v>0</v>
      </c>
      <c r="AX75" s="280">
        <f t="shared" si="63"/>
        <v>0</v>
      </c>
      <c r="AY75" s="280">
        <f t="shared" ref="AY75:BC75" si="70">AY116</f>
        <v>0</v>
      </c>
      <c r="AZ75" s="280">
        <f t="shared" si="70"/>
        <v>0</v>
      </c>
      <c r="BA75" s="280">
        <f t="shared" si="70"/>
        <v>0</v>
      </c>
      <c r="BB75" s="280">
        <f t="shared" si="70"/>
        <v>0</v>
      </c>
      <c r="BC75" s="280">
        <f t="shared" si="70"/>
        <v>0</v>
      </c>
      <c r="BD75" s="280">
        <f t="shared" ref="BD75" si="71">BD115</f>
        <v>0</v>
      </c>
      <c r="BE75" s="280">
        <f t="shared" ref="BE75:BF75" si="72">BE116</f>
        <v>0</v>
      </c>
      <c r="BF75" s="280">
        <f t="shared" si="72"/>
        <v>0</v>
      </c>
    </row>
    <row r="76" spans="43:58" x14ac:dyDescent="0.2">
      <c r="AQ76" s="203" t="s">
        <v>531</v>
      </c>
      <c r="AR76" s="280">
        <f t="shared" si="60"/>
        <v>0</v>
      </c>
      <c r="AS76" s="280">
        <f t="shared" si="63"/>
        <v>0</v>
      </c>
      <c r="AT76" s="280">
        <f t="shared" si="63"/>
        <v>0</v>
      </c>
      <c r="AU76" s="280">
        <f t="shared" si="63"/>
        <v>0</v>
      </c>
      <c r="AV76" s="280">
        <f t="shared" si="63"/>
        <v>0</v>
      </c>
      <c r="AW76" s="280">
        <f t="shared" si="63"/>
        <v>0</v>
      </c>
      <c r="AX76" s="280">
        <f t="shared" si="63"/>
        <v>0</v>
      </c>
      <c r="AY76" s="280">
        <f t="shared" ref="AY76:BC76" si="73">AY117</f>
        <v>0</v>
      </c>
      <c r="AZ76" s="280">
        <f t="shared" si="73"/>
        <v>0</v>
      </c>
      <c r="BA76" s="280">
        <f t="shared" si="73"/>
        <v>0</v>
      </c>
      <c r="BB76" s="280">
        <f t="shared" si="73"/>
        <v>0</v>
      </c>
      <c r="BC76" s="280">
        <f t="shared" si="73"/>
        <v>0</v>
      </c>
      <c r="BD76" s="280">
        <f t="shared" ref="BD76" si="74">BD116</f>
        <v>0</v>
      </c>
      <c r="BE76" s="280">
        <f t="shared" ref="BE76:BF76" si="75">BE117</f>
        <v>0</v>
      </c>
      <c r="BF76" s="280">
        <f t="shared" si="75"/>
        <v>0</v>
      </c>
    </row>
    <row r="77" spans="43:58" x14ac:dyDescent="0.2">
      <c r="AQ77" s="203" t="s">
        <v>542</v>
      </c>
      <c r="AR77" s="280">
        <f t="shared" si="60"/>
        <v>0</v>
      </c>
      <c r="AS77" s="280">
        <f t="shared" si="63"/>
        <v>0</v>
      </c>
      <c r="AT77" s="280">
        <f t="shared" si="63"/>
        <v>0</v>
      </c>
      <c r="AU77" s="280">
        <f t="shared" si="63"/>
        <v>0</v>
      </c>
      <c r="AV77" s="280">
        <f t="shared" si="63"/>
        <v>0</v>
      </c>
      <c r="AW77" s="280">
        <f t="shared" si="63"/>
        <v>0</v>
      </c>
      <c r="AX77" s="280">
        <f t="shared" si="63"/>
        <v>0</v>
      </c>
      <c r="AY77" s="280">
        <f t="shared" ref="AY77:BC77" si="76">AY118</f>
        <v>0</v>
      </c>
      <c r="AZ77" s="280">
        <f t="shared" si="76"/>
        <v>0</v>
      </c>
      <c r="BA77" s="280">
        <f t="shared" si="76"/>
        <v>0</v>
      </c>
      <c r="BB77" s="280">
        <f t="shared" si="76"/>
        <v>0</v>
      </c>
      <c r="BC77" s="280">
        <f t="shared" si="76"/>
        <v>0</v>
      </c>
      <c r="BD77" s="280">
        <f t="shared" ref="BD77" si="77">BD117</f>
        <v>0</v>
      </c>
      <c r="BE77" s="280">
        <f t="shared" ref="BE77:BF77" si="78">BE118</f>
        <v>0</v>
      </c>
      <c r="BF77" s="280">
        <f t="shared" si="78"/>
        <v>0</v>
      </c>
    </row>
    <row r="78" spans="43:58" x14ac:dyDescent="0.2">
      <c r="AQ78" s="203"/>
      <c r="AR78" s="405" t="s">
        <v>557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G82" s="201"/>
      <c r="AH82" s="201"/>
      <c r="AQ82" s="256"/>
      <c r="AR82" s="204" t="s">
        <v>405</v>
      </c>
      <c r="AS82" s="204" t="s">
        <v>406</v>
      </c>
      <c r="AT82" s="204" t="s">
        <v>407</v>
      </c>
      <c r="AU82" s="204" t="s">
        <v>540</v>
      </c>
      <c r="AV82" s="204" t="s">
        <v>519</v>
      </c>
      <c r="AW82" s="204" t="s">
        <v>518</v>
      </c>
      <c r="AX82" s="204" t="s">
        <v>432</v>
      </c>
      <c r="AY82" s="204" t="s">
        <v>429</v>
      </c>
      <c r="AZ82" s="204" t="s">
        <v>443</v>
      </c>
      <c r="BA82" s="204" t="s">
        <v>430</v>
      </c>
      <c r="BB82" s="204" t="s">
        <v>425</v>
      </c>
      <c r="BC82" s="204" t="s">
        <v>640</v>
      </c>
      <c r="BD82" s="204" t="s">
        <v>643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9">SUM(AR83:BF83)</f>
        <v>1011.7674660019052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9"/>
        <v>208.55560337725498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9"/>
        <v>298.6148747230165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356076.147280448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9"/>
        <v>362460.64799951972</v>
      </c>
      <c r="BK86" s="201" t="s">
        <v>436</v>
      </c>
      <c r="BL86" s="240"/>
      <c r="BM86" s="240"/>
      <c r="BN86" s="248">
        <f t="shared" ref="BN86:BN90" si="80">SUM(BL86:BM86)</f>
        <v>0</v>
      </c>
    </row>
    <row r="87" spans="33:66" x14ac:dyDescent="0.2">
      <c r="AG87" s="201"/>
      <c r="AH87" s="201"/>
      <c r="AQ87" s="201" t="s">
        <v>458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20798.316475388398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9"/>
        <v>21047.371244024282</v>
      </c>
      <c r="BK87" s="201" t="s">
        <v>458</v>
      </c>
      <c r="BL87" s="240"/>
      <c r="BM87" s="240"/>
      <c r="BN87" s="248">
        <f t="shared" si="80"/>
        <v>0</v>
      </c>
    </row>
    <row r="88" spans="33:66" x14ac:dyDescent="0.2">
      <c r="AG88" s="201"/>
      <c r="AH88" s="201"/>
      <c r="AQ88" s="201" t="s">
        <v>551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9"/>
        <v>2.5875439035128025</v>
      </c>
      <c r="BK88" s="201" t="s">
        <v>551</v>
      </c>
      <c r="BL88" s="240"/>
      <c r="BM88" s="240"/>
      <c r="BN88" s="248">
        <f t="shared" si="80"/>
        <v>0</v>
      </c>
    </row>
    <row r="89" spans="33:66" x14ac:dyDescent="0.2">
      <c r="AG89" s="201"/>
      <c r="AH89" s="201"/>
      <c r="AQ89" s="201" t="s">
        <v>552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9"/>
        <v>5.1714158616864253E-4</v>
      </c>
      <c r="BK89" s="201" t="s">
        <v>552</v>
      </c>
      <c r="BL89" s="240"/>
      <c r="BM89" s="240"/>
      <c r="BN89" s="248">
        <f t="shared" si="80"/>
        <v>0</v>
      </c>
    </row>
    <row r="90" spans="33:66" x14ac:dyDescent="0.2">
      <c r="AG90" s="201"/>
      <c r="AH90" s="201"/>
      <c r="AQ90" s="201" t="s">
        <v>495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9"/>
        <v>4.914718171980665</v>
      </c>
      <c r="BK90" s="201" t="s">
        <v>495</v>
      </c>
      <c r="BL90" s="240"/>
      <c r="BM90" s="240"/>
      <c r="BN90" s="248">
        <f t="shared" si="80"/>
        <v>0</v>
      </c>
    </row>
    <row r="91" spans="33:66" x14ac:dyDescent="0.2">
      <c r="AG91" s="242"/>
      <c r="AH91" s="242"/>
      <c r="AQ91" s="201" t="s">
        <v>544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9"/>
        <v>0</v>
      </c>
      <c r="BK91" s="201" t="s">
        <v>544</v>
      </c>
      <c r="BL91" s="240"/>
      <c r="BM91" s="240"/>
      <c r="BN91" s="248">
        <f t="shared" ref="BN91:BN97" si="81">SUM(BL91:BM91)</f>
        <v>0</v>
      </c>
    </row>
    <row r="92" spans="33:66" ht="16" x14ac:dyDescent="0.2">
      <c r="AG92" s="202"/>
      <c r="AH92" s="202"/>
      <c r="AQ92" s="202" t="s">
        <v>526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9"/>
        <v>1011.7674660019052</v>
      </c>
      <c r="BK92" s="202" t="s">
        <v>526</v>
      </c>
      <c r="BL92" s="240"/>
      <c r="BM92" s="240"/>
      <c r="BN92" s="248">
        <f t="shared" si="81"/>
        <v>0</v>
      </c>
    </row>
    <row r="93" spans="33:66" x14ac:dyDescent="0.2">
      <c r="AG93" s="203"/>
      <c r="AH93" s="203"/>
      <c r="AQ93" s="201" t="s">
        <v>493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9"/>
        <v>0</v>
      </c>
      <c r="BK93" s="201" t="s">
        <v>493</v>
      </c>
      <c r="BL93" s="240"/>
      <c r="BM93" s="240">
        <f>Ore_to_PI!AN63</f>
        <v>32.219926549044033</v>
      </c>
      <c r="BN93" s="248">
        <f t="shared" si="81"/>
        <v>32.219926549044033</v>
      </c>
    </row>
    <row r="94" spans="33:66" ht="16" x14ac:dyDescent="0.2">
      <c r="AG94" s="203"/>
      <c r="AH94" s="203"/>
      <c r="AQ94" s="202" t="s">
        <v>496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9"/>
        <v>208.55560337725498</v>
      </c>
      <c r="BK94" s="202" t="s">
        <v>496</v>
      </c>
      <c r="BL94" s="240"/>
      <c r="BM94" s="244"/>
      <c r="BN94" s="248">
        <f t="shared" si="81"/>
        <v>0</v>
      </c>
    </row>
    <row r="95" spans="33:66" x14ac:dyDescent="0.2">
      <c r="AG95" s="203"/>
      <c r="AH95" s="203"/>
      <c r="AQ95" s="201" t="s">
        <v>521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9"/>
        <v>0</v>
      </c>
      <c r="BK95" s="201" t="s">
        <v>521</v>
      </c>
      <c r="BL95" s="240"/>
      <c r="BM95" s="240">
        <f>Ore_to_PI!AO142</f>
        <v>9.658257192857822E-2</v>
      </c>
      <c r="BN95" s="248">
        <f t="shared" si="81"/>
        <v>9.658257192857822E-2</v>
      </c>
    </row>
    <row r="96" spans="33:66" x14ac:dyDescent="0.2">
      <c r="AG96" s="203"/>
      <c r="AH96" s="203"/>
      <c r="AQ96" s="203" t="s">
        <v>514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9"/>
        <v>298.6148747230165</v>
      </c>
      <c r="BK96" s="203" t="s">
        <v>514</v>
      </c>
      <c r="BL96" s="240"/>
      <c r="BM96" s="240"/>
      <c r="BN96" s="248">
        <f t="shared" si="81"/>
        <v>0</v>
      </c>
    </row>
    <row r="97" spans="33:71" x14ac:dyDescent="0.2">
      <c r="AG97" s="203"/>
      <c r="AH97" s="203"/>
      <c r="AQ97" s="201" t="s">
        <v>500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9"/>
        <v>0</v>
      </c>
      <c r="BK97" s="201" t="s">
        <v>500</v>
      </c>
      <c r="BL97" s="240"/>
      <c r="BM97" s="240">
        <f>Ore_to_PI!AO227</f>
        <v>7.9771214256715108</v>
      </c>
      <c r="BN97" s="248">
        <f t="shared" si="81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525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9"/>
        <v>1011.7674660019052</v>
      </c>
      <c r="BK98" s="202" t="s">
        <v>525</v>
      </c>
      <c r="BL98" s="240"/>
      <c r="BM98" s="240"/>
      <c r="BN98" s="248">
        <f t="shared" ref="BN98:BN118" si="82">SUM(BL98:BM98)</f>
        <v>0</v>
      </c>
    </row>
    <row r="99" spans="33:71" ht="16" x14ac:dyDescent="0.2">
      <c r="AG99" s="203"/>
      <c r="AH99" s="203"/>
      <c r="AQ99" s="202" t="s">
        <v>520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9"/>
        <v>208.55560337725498</v>
      </c>
      <c r="BK99" s="202" t="s">
        <v>520</v>
      </c>
      <c r="BL99" s="240"/>
      <c r="BM99" s="240"/>
      <c r="BN99" s="248">
        <f t="shared" si="82"/>
        <v>0</v>
      </c>
    </row>
    <row r="100" spans="33:71" ht="16" x14ac:dyDescent="0.2">
      <c r="AG100" s="249"/>
      <c r="AH100" s="249"/>
      <c r="AQ100" s="202" t="s">
        <v>517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9"/>
        <v>298.6148747230165</v>
      </c>
      <c r="BK100" s="202" t="s">
        <v>517</v>
      </c>
      <c r="BL100" s="240"/>
      <c r="BM100" s="240"/>
      <c r="BN100" s="248">
        <f t="shared" si="82"/>
        <v>0</v>
      </c>
    </row>
    <row r="101" spans="33:71" ht="16" x14ac:dyDescent="0.2">
      <c r="AG101" s="203"/>
      <c r="AH101" s="203"/>
      <c r="AQ101" s="202" t="s">
        <v>523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9"/>
        <v>1000.0000000000001</v>
      </c>
      <c r="BH101" s="25"/>
      <c r="BI101" s="25"/>
      <c r="BK101" s="202" t="s">
        <v>523</v>
      </c>
      <c r="BL101" s="240"/>
      <c r="BM101" s="240"/>
      <c r="BN101" s="248">
        <f t="shared" si="82"/>
        <v>0</v>
      </c>
    </row>
    <row r="102" spans="33:71" x14ac:dyDescent="0.2">
      <c r="AG102" s="203"/>
      <c r="AH102" s="203"/>
      <c r="AQ102" s="203" t="s">
        <v>522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9"/>
        <v>0</v>
      </c>
      <c r="BK102" s="203" t="s">
        <v>522</v>
      </c>
      <c r="BL102" s="240"/>
      <c r="BM102" s="240">
        <f>Beneficiation_Iron_waste</f>
        <v>11.767466001905108</v>
      </c>
      <c r="BN102" s="248">
        <f t="shared" si="82"/>
        <v>11.767466001905108</v>
      </c>
    </row>
    <row r="103" spans="33:71" x14ac:dyDescent="0.2">
      <c r="AG103" s="203"/>
      <c r="AH103" s="203"/>
      <c r="AQ103" s="203" t="s">
        <v>508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9"/>
        <v>208.55560337725498</v>
      </c>
      <c r="BK103" s="203" t="s">
        <v>508</v>
      </c>
      <c r="BL103" s="240"/>
      <c r="BM103" s="240"/>
      <c r="BN103" s="248">
        <f t="shared" si="82"/>
        <v>0</v>
      </c>
    </row>
    <row r="104" spans="33:71" x14ac:dyDescent="0.2">
      <c r="AG104" s="203"/>
      <c r="AH104" s="203"/>
      <c r="AQ104" s="203" t="s">
        <v>541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9"/>
        <v>298.6148747230165</v>
      </c>
      <c r="BK104" s="203" t="s">
        <v>541</v>
      </c>
      <c r="BL104" s="240"/>
      <c r="BM104" s="240"/>
      <c r="BN104" s="248">
        <f t="shared" si="82"/>
        <v>0</v>
      </c>
    </row>
    <row r="105" spans="33:71" x14ac:dyDescent="0.2">
      <c r="AG105" s="203"/>
      <c r="AH105" s="203"/>
      <c r="AQ105" s="203" t="s">
        <v>509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9"/>
        <v>111.00813284002646</v>
      </c>
      <c r="BK105" s="203" t="s">
        <v>509</v>
      </c>
      <c r="BL105" s="240"/>
      <c r="BM105" s="240"/>
      <c r="BN105" s="248">
        <f t="shared" si="82"/>
        <v>0</v>
      </c>
    </row>
    <row r="106" spans="33:71" x14ac:dyDescent="0.2">
      <c r="AG106" s="203"/>
      <c r="AH106" s="203"/>
      <c r="AQ106" s="203" t="s">
        <v>511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9"/>
        <v>0</v>
      </c>
      <c r="BK106" s="203" t="s">
        <v>511</v>
      </c>
      <c r="BL106" s="240"/>
      <c r="BM106" s="240">
        <f>Kiln_SolidWaste</f>
        <v>4.9847525450981189</v>
      </c>
      <c r="BN106" s="248">
        <f t="shared" si="82"/>
        <v>4.9847525450981189</v>
      </c>
    </row>
    <row r="107" spans="33:71" x14ac:dyDescent="0.2">
      <c r="AG107" s="203"/>
      <c r="AH107" s="203"/>
      <c r="AQ107" s="203" t="s">
        <v>510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9"/>
        <v>0</v>
      </c>
      <c r="BK107" s="203" t="s">
        <v>510</v>
      </c>
      <c r="BL107" s="240"/>
      <c r="BM107" s="240">
        <f>Ore_to_PI!CV138</f>
        <v>376967.02647382859</v>
      </c>
      <c r="BN107" s="248">
        <f t="shared" si="82"/>
        <v>376967.02647382859</v>
      </c>
    </row>
    <row r="108" spans="33:71" x14ac:dyDescent="0.2">
      <c r="AG108" s="203"/>
      <c r="AH108" s="203"/>
      <c r="AQ108" s="203" t="s">
        <v>606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9"/>
        <v>203.27980063725872</v>
      </c>
      <c r="BK108" s="203" t="s">
        <v>606</v>
      </c>
      <c r="BL108" s="240"/>
      <c r="BM108" s="240"/>
      <c r="BN108" s="248">
        <f t="shared" si="82"/>
        <v>0</v>
      </c>
    </row>
    <row r="109" spans="33:71" ht="16" x14ac:dyDescent="0.2">
      <c r="AG109" s="203"/>
      <c r="AH109" s="203"/>
      <c r="AQ109" s="249" t="s">
        <v>506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9"/>
        <v>46.0998047134687</v>
      </c>
      <c r="BK109" s="249" t="s">
        <v>506</v>
      </c>
      <c r="BL109" s="240"/>
      <c r="BM109" s="240"/>
      <c r="BN109" s="248">
        <f t="shared" si="82"/>
        <v>0</v>
      </c>
    </row>
    <row r="110" spans="33:71" ht="16" x14ac:dyDescent="0.2">
      <c r="AG110" s="203"/>
      <c r="AH110" s="203"/>
      <c r="AQ110" s="249" t="s">
        <v>682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9"/>
        <v>0</v>
      </c>
      <c r="BK110" s="249" t="s">
        <v>682</v>
      </c>
      <c r="BL110" s="240"/>
      <c r="BM110" s="240">
        <f>Ore_to_PI!CV267</f>
        <v>23.982067525572877</v>
      </c>
      <c r="BN110" s="248">
        <f t="shared" si="82"/>
        <v>23.982067525572877</v>
      </c>
    </row>
    <row r="111" spans="33:71" x14ac:dyDescent="0.2">
      <c r="AG111" s="203"/>
      <c r="AH111" s="203"/>
      <c r="AQ111" s="203" t="s">
        <v>505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9"/>
        <v>0</v>
      </c>
      <c r="BK111" s="203" t="s">
        <v>505</v>
      </c>
      <c r="BL111" s="240"/>
      <c r="BM111" s="240">
        <f>Beneficiation_CoalWaste</f>
        <v>25.253201846716312</v>
      </c>
      <c r="BN111" s="248">
        <f t="shared" si="82"/>
        <v>25.253201846716312</v>
      </c>
    </row>
    <row r="112" spans="33:71" x14ac:dyDescent="0.2">
      <c r="AG112" s="203"/>
      <c r="AH112" s="203"/>
      <c r="AQ112" s="201" t="s">
        <v>507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9"/>
        <v>0</v>
      </c>
      <c r="BK112" s="201" t="s">
        <v>507</v>
      </c>
      <c r="BL112" s="240"/>
      <c r="BM112" s="240">
        <f>Ore_to_PI!CV251</f>
        <v>3698.8733194995434</v>
      </c>
      <c r="BN112" s="248">
        <f t="shared" si="82"/>
        <v>3698.8733194995434</v>
      </c>
    </row>
    <row r="113" spans="2:66" x14ac:dyDescent="0.2">
      <c r="AG113" s="203"/>
      <c r="AH113" s="203"/>
      <c r="AQ113" s="203" t="s">
        <v>641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9"/>
        <v>46.099804713468714</v>
      </c>
      <c r="BK113" s="203" t="s">
        <v>641</v>
      </c>
      <c r="BL113" s="240"/>
      <c r="BM113" s="240"/>
      <c r="BN113" s="248">
        <f t="shared" si="82"/>
        <v>0</v>
      </c>
    </row>
    <row r="114" spans="2:66" x14ac:dyDescent="0.2">
      <c r="AG114" s="203"/>
      <c r="AH114" s="203"/>
      <c r="AQ114" s="203" t="s">
        <v>644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9"/>
        <v>32.269863299428096</v>
      </c>
      <c r="BK114" s="203" t="s">
        <v>644</v>
      </c>
      <c r="BL114" s="240">
        <f>Ore_to_PI!$FF$233</f>
        <v>13.829941414040613</v>
      </c>
      <c r="BM114" s="240"/>
      <c r="BN114" s="248">
        <f t="shared" si="82"/>
        <v>13.829941414040613</v>
      </c>
    </row>
    <row r="115" spans="2:66" x14ac:dyDescent="0.2">
      <c r="AG115" s="203"/>
      <c r="AH115" s="203"/>
      <c r="AQ115" s="203" t="s">
        <v>529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9"/>
        <v>1314.2879334772852</v>
      </c>
      <c r="BK115" s="203" t="s">
        <v>529</v>
      </c>
      <c r="BL115" s="240"/>
      <c r="BM115" s="240"/>
      <c r="BN115" s="248">
        <f t="shared" si="82"/>
        <v>0</v>
      </c>
    </row>
    <row r="116" spans="2:66" x14ac:dyDescent="0.2">
      <c r="AG116" s="203"/>
      <c r="AH116" s="203"/>
      <c r="AQ116" s="203" t="s">
        <v>530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9"/>
        <v>0</v>
      </c>
      <c r="BK116" s="203" t="s">
        <v>530</v>
      </c>
      <c r="BL116" s="240">
        <f>Ore_to_PI!FL126</f>
        <v>616.23583583508366</v>
      </c>
      <c r="BM116" s="240"/>
      <c r="BN116" s="248">
        <f t="shared" si="82"/>
        <v>616.23583583508366</v>
      </c>
    </row>
    <row r="117" spans="2:66" x14ac:dyDescent="0.2">
      <c r="AG117" s="203"/>
      <c r="AH117" s="203"/>
      <c r="AQ117" s="203" t="s">
        <v>531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9"/>
        <v>0</v>
      </c>
      <c r="BK117" s="203" t="s">
        <v>531</v>
      </c>
      <c r="BL117" s="240"/>
      <c r="BM117" s="240">
        <f>Ore_to_PI!FL141</f>
        <v>3402.2651449800928</v>
      </c>
      <c r="BN117" s="248">
        <f t="shared" si="82"/>
        <v>3402.2651449800928</v>
      </c>
    </row>
    <row r="118" spans="2:66" x14ac:dyDescent="0.2">
      <c r="AG118" s="203"/>
      <c r="AH118" s="203"/>
      <c r="AQ118" s="203" t="s">
        <v>542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9"/>
        <v>0</v>
      </c>
      <c r="BK118" s="203" t="s">
        <v>542</v>
      </c>
      <c r="BL118" s="240"/>
      <c r="BM118" s="240">
        <f>BF_SolidWaste</f>
        <v>229.94813284002646</v>
      </c>
      <c r="BN118" s="248">
        <f t="shared" si="82"/>
        <v>229.94813284002646</v>
      </c>
    </row>
    <row r="119" spans="2:66" x14ac:dyDescent="0.2">
      <c r="AG119" s="203"/>
      <c r="AH119" s="203"/>
      <c r="AQ119" s="203"/>
      <c r="AR119" s="405" t="s">
        <v>408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450</v>
      </c>
      <c r="BL119" s="405" t="s">
        <v>410</v>
      </c>
      <c r="BM119" s="405"/>
      <c r="BN119" s="25" t="s">
        <v>462</v>
      </c>
    </row>
    <row r="120" spans="2:66" x14ac:dyDescent="0.2">
      <c r="AG120" s="203"/>
      <c r="AH120" s="203"/>
      <c r="AQ120" s="203"/>
      <c r="AR120" s="248">
        <f t="shared" ref="AR120:BF120" si="83">SUM(AR83:AR118)</f>
        <v>1043.9873925509492</v>
      </c>
      <c r="AS120" s="248">
        <f t="shared" si="83"/>
        <v>208.65218594918355</v>
      </c>
      <c r="AT120" s="248">
        <f t="shared" si="83"/>
        <v>306.591996148688</v>
      </c>
      <c r="AU120" s="248">
        <f t="shared" si="83"/>
        <v>1011.7674660019052</v>
      </c>
      <c r="AV120" s="248">
        <f t="shared" si="83"/>
        <v>208.55560337725498</v>
      </c>
      <c r="AW120" s="248">
        <f t="shared" si="83"/>
        <v>298.6148747230165</v>
      </c>
      <c r="AX120" s="248">
        <f t="shared" si="83"/>
        <v>1011.7674660019052</v>
      </c>
      <c r="AY120" s="248">
        <f t="shared" si="83"/>
        <v>208.55560337725498</v>
      </c>
      <c r="AZ120" s="248">
        <f t="shared" si="83"/>
        <v>298.6148747230165</v>
      </c>
      <c r="BA120" s="248">
        <f t="shared" si="83"/>
        <v>377083.01935921365</v>
      </c>
      <c r="BB120" s="248">
        <f t="shared" si="83"/>
        <v>3997.4881942225597</v>
      </c>
      <c r="BC120" s="248">
        <f t="shared" si="83"/>
        <v>46.0998047134687</v>
      </c>
      <c r="BD120" s="248">
        <f t="shared" si="83"/>
        <v>46.099804713468714</v>
      </c>
      <c r="BE120" s="248">
        <f t="shared" si="83"/>
        <v>1314.2879334772852</v>
      </c>
      <c r="BF120" s="248">
        <f t="shared" si="83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5" t="s">
        <v>449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G121" s="25"/>
      <c r="BL121" s="25"/>
      <c r="BM121" s="25"/>
      <c r="BN121" s="25"/>
    </row>
    <row r="122" spans="2:66" ht="13" customHeight="1" x14ac:dyDescent="0.2">
      <c r="C122" s="406"/>
      <c r="D122" s="406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413</v>
      </c>
      <c r="D123" s="204" t="s">
        <v>415</v>
      </c>
      <c r="E123" s="204" t="s">
        <v>416</v>
      </c>
      <c r="F123" s="204" t="s">
        <v>436</v>
      </c>
      <c r="G123" s="204" t="s">
        <v>458</v>
      </c>
      <c r="H123" s="204" t="s">
        <v>491</v>
      </c>
      <c r="I123" s="204" t="s">
        <v>551</v>
      </c>
      <c r="J123" s="204" t="s">
        <v>552</v>
      </c>
      <c r="K123" s="204" t="s">
        <v>544</v>
      </c>
      <c r="L123" s="206" t="s">
        <v>526</v>
      </c>
      <c r="M123" s="204" t="s">
        <v>493</v>
      </c>
      <c r="N123" s="206" t="s">
        <v>496</v>
      </c>
      <c r="O123" s="204" t="s">
        <v>521</v>
      </c>
      <c r="P123" s="207" t="s">
        <v>514</v>
      </c>
      <c r="Q123" s="204" t="s">
        <v>500</v>
      </c>
      <c r="R123" s="206" t="s">
        <v>525</v>
      </c>
      <c r="S123" s="206" t="s">
        <v>520</v>
      </c>
      <c r="T123" s="206" t="s">
        <v>517</v>
      </c>
      <c r="U123" s="206" t="s">
        <v>523</v>
      </c>
      <c r="V123" s="207" t="s">
        <v>522</v>
      </c>
      <c r="W123" s="207" t="s">
        <v>508</v>
      </c>
      <c r="X123" s="207" t="s">
        <v>541</v>
      </c>
      <c r="Y123" s="207" t="s">
        <v>509</v>
      </c>
      <c r="Z123" s="207" t="s">
        <v>511</v>
      </c>
      <c r="AA123" s="207" t="s">
        <v>510</v>
      </c>
      <c r="AB123" s="207" t="s">
        <v>606</v>
      </c>
      <c r="AC123" s="229" t="s">
        <v>506</v>
      </c>
      <c r="AD123" s="229" t="s">
        <v>682</v>
      </c>
      <c r="AE123" s="207" t="s">
        <v>505</v>
      </c>
      <c r="AF123" s="204" t="s">
        <v>507</v>
      </c>
      <c r="AG123" s="207" t="s">
        <v>641</v>
      </c>
      <c r="AH123" s="207" t="s">
        <v>644</v>
      </c>
      <c r="AI123" s="207" t="s">
        <v>529</v>
      </c>
      <c r="AJ123" s="207" t="s">
        <v>530</v>
      </c>
      <c r="AK123" s="207" t="s">
        <v>531</v>
      </c>
      <c r="AL123" s="207" t="s">
        <v>542</v>
      </c>
      <c r="AQ123" s="203"/>
      <c r="BL123" s="25"/>
      <c r="BM123" s="25"/>
    </row>
    <row r="124" spans="2:66" x14ac:dyDescent="0.2">
      <c r="B124" s="201" t="s">
        <v>405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406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407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4">SUM(C126:AL126)</f>
        <v>306.591996148688</v>
      </c>
    </row>
    <row r="127" spans="2:66" x14ac:dyDescent="0.2">
      <c r="B127" s="201" t="s">
        <v>540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4"/>
        <v>1011.7674660019052</v>
      </c>
    </row>
    <row r="128" spans="2:66" x14ac:dyDescent="0.2">
      <c r="B128" s="201" t="s">
        <v>519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4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518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4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432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4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4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443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4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430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376967.02647382859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4"/>
        <v>377083.01935921371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425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4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640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4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643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4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4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417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4"/>
        <v>4248.4491136552024</v>
      </c>
    </row>
    <row r="139" spans="2:65" x14ac:dyDescent="0.2">
      <c r="B139" s="201"/>
      <c r="C139" s="405" t="s">
        <v>409</v>
      </c>
      <c r="D139" s="405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05"/>
      <c r="P139" s="405"/>
      <c r="Q139" s="405"/>
      <c r="R139" s="405"/>
      <c r="S139" s="405"/>
      <c r="T139" s="405"/>
      <c r="U139" s="405"/>
      <c r="V139" s="405"/>
      <c r="W139" s="405"/>
      <c r="X139" s="405"/>
      <c r="Y139" s="405"/>
      <c r="Z139" s="405"/>
      <c r="AA139" s="405"/>
      <c r="AB139" s="405"/>
      <c r="AC139" s="405"/>
      <c r="AD139" s="405"/>
      <c r="AE139" s="405"/>
      <c r="AF139" s="405"/>
      <c r="AG139" s="405"/>
      <c r="AH139" s="405"/>
      <c r="AI139" s="405"/>
      <c r="AJ139" s="405"/>
      <c r="AK139" s="405"/>
      <c r="AL139" s="405"/>
      <c r="AM139" s="25" t="s">
        <v>446</v>
      </c>
      <c r="AN139" s="25"/>
    </row>
    <row r="140" spans="2:65" x14ac:dyDescent="0.2">
      <c r="B140" s="201"/>
      <c r="C140" s="248">
        <f t="shared" ref="C140:AL140" si="85">SUM(C124:C138)</f>
        <v>0</v>
      </c>
      <c r="D140" s="248">
        <f t="shared" si="85"/>
        <v>0</v>
      </c>
      <c r="E140" s="248">
        <f t="shared" si="85"/>
        <v>0</v>
      </c>
      <c r="F140" s="248">
        <f t="shared" si="85"/>
        <v>0</v>
      </c>
      <c r="G140" s="248">
        <f t="shared" si="85"/>
        <v>0</v>
      </c>
      <c r="H140" s="248">
        <f t="shared" si="85"/>
        <v>0</v>
      </c>
      <c r="I140" s="248">
        <f t="shared" si="85"/>
        <v>0</v>
      </c>
      <c r="J140" s="248">
        <f t="shared" si="85"/>
        <v>0</v>
      </c>
      <c r="K140" s="248">
        <f t="shared" si="85"/>
        <v>0</v>
      </c>
      <c r="L140" s="248">
        <f t="shared" si="85"/>
        <v>1011.7674660019052</v>
      </c>
      <c r="M140" s="248">
        <f t="shared" si="85"/>
        <v>32.219926549044033</v>
      </c>
      <c r="N140" s="248">
        <f t="shared" si="85"/>
        <v>208.55560337725498</v>
      </c>
      <c r="O140" s="248">
        <f t="shared" si="85"/>
        <v>9.658257192857822E-2</v>
      </c>
      <c r="P140" s="248">
        <f t="shared" si="85"/>
        <v>298.6148747230165</v>
      </c>
      <c r="Q140" s="248">
        <f t="shared" si="85"/>
        <v>7.9771214256715108</v>
      </c>
      <c r="R140" s="248">
        <f t="shared" si="85"/>
        <v>1011.7674660019052</v>
      </c>
      <c r="S140" s="248">
        <f t="shared" si="85"/>
        <v>208.55560337725498</v>
      </c>
      <c r="T140" s="248">
        <f t="shared" si="85"/>
        <v>298.6148747230165</v>
      </c>
      <c r="U140" s="248">
        <f t="shared" si="85"/>
        <v>1000.0000000000001</v>
      </c>
      <c r="V140" s="248">
        <f t="shared" si="85"/>
        <v>11.767466001905108</v>
      </c>
      <c r="W140" s="248">
        <f t="shared" si="85"/>
        <v>208.55560337725498</v>
      </c>
      <c r="X140" s="248">
        <f t="shared" si="85"/>
        <v>298.6148747230165</v>
      </c>
      <c r="Y140" s="248">
        <f t="shared" si="85"/>
        <v>111.00813284002646</v>
      </c>
      <c r="Z140" s="248">
        <f t="shared" si="85"/>
        <v>4.9847525450981189</v>
      </c>
      <c r="AA140" s="248">
        <f t="shared" si="85"/>
        <v>376967.02647382859</v>
      </c>
      <c r="AB140" s="248">
        <f t="shared" si="85"/>
        <v>203.27980063725872</v>
      </c>
      <c r="AC140" s="248">
        <f t="shared" si="85"/>
        <v>46.0998047134687</v>
      </c>
      <c r="AD140" s="248">
        <f t="shared" si="85"/>
        <v>23.982067525572877</v>
      </c>
      <c r="AE140" s="248">
        <f t="shared" si="85"/>
        <v>25.253201846716312</v>
      </c>
      <c r="AF140" s="248">
        <f t="shared" si="85"/>
        <v>3698.8733194995434</v>
      </c>
      <c r="AG140" s="248">
        <f t="shared" si="85"/>
        <v>46.099804713468714</v>
      </c>
      <c r="AH140" s="248">
        <f t="shared" si="85"/>
        <v>46.099804713468714</v>
      </c>
      <c r="AI140" s="248">
        <f t="shared" si="85"/>
        <v>1314.2879334772852</v>
      </c>
      <c r="AJ140" s="248">
        <f t="shared" si="85"/>
        <v>616.23583583508366</v>
      </c>
      <c r="AK140" s="248">
        <f t="shared" si="85"/>
        <v>3402.2651449800928</v>
      </c>
      <c r="AL140" s="248">
        <f t="shared" si="85"/>
        <v>229.94813284002646</v>
      </c>
    </row>
    <row r="141" spans="2:65" x14ac:dyDescent="0.2">
      <c r="B141" s="201"/>
      <c r="C141" s="405" t="s">
        <v>447</v>
      </c>
      <c r="D141" s="405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05"/>
      <c r="P141" s="405"/>
      <c r="Q141" s="405"/>
      <c r="R141" s="405"/>
      <c r="S141" s="405"/>
      <c r="T141" s="405"/>
      <c r="U141" s="405"/>
      <c r="V141" s="405"/>
      <c r="W141" s="405"/>
      <c r="X141" s="405"/>
      <c r="Y141" s="405"/>
      <c r="Z141" s="405"/>
      <c r="AA141" s="405"/>
      <c r="AB141" s="405"/>
      <c r="AC141" s="405"/>
      <c r="AD141" s="405"/>
      <c r="AE141" s="405"/>
      <c r="AF141" s="405"/>
      <c r="AG141" s="405"/>
      <c r="AH141" s="405"/>
      <c r="AI141" s="405"/>
      <c r="AJ141" s="405"/>
      <c r="AK141" s="405"/>
      <c r="AL141" s="405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413</v>
      </c>
      <c r="D152" s="204" t="s">
        <v>415</v>
      </c>
      <c r="E152" s="204" t="s">
        <v>416</v>
      </c>
      <c r="F152" s="204" t="s">
        <v>436</v>
      </c>
      <c r="G152" s="204" t="s">
        <v>458</v>
      </c>
      <c r="H152" s="204" t="s">
        <v>491</v>
      </c>
      <c r="I152" s="204" t="s">
        <v>551</v>
      </c>
      <c r="J152" s="204" t="s">
        <v>552</v>
      </c>
      <c r="K152" s="204" t="s">
        <v>544</v>
      </c>
      <c r="L152" s="206" t="s">
        <v>526</v>
      </c>
      <c r="M152" s="204" t="s">
        <v>493</v>
      </c>
      <c r="N152" s="206" t="s">
        <v>496</v>
      </c>
      <c r="O152" s="204" t="s">
        <v>521</v>
      </c>
      <c r="P152" s="207" t="s">
        <v>514</v>
      </c>
      <c r="Q152" s="204" t="s">
        <v>500</v>
      </c>
      <c r="R152" s="206" t="s">
        <v>525</v>
      </c>
      <c r="S152" s="206" t="s">
        <v>520</v>
      </c>
      <c r="T152" s="206" t="s">
        <v>517</v>
      </c>
      <c r="U152" s="206" t="s">
        <v>523</v>
      </c>
      <c r="V152" s="207" t="s">
        <v>522</v>
      </c>
      <c r="W152" s="207" t="s">
        <v>508</v>
      </c>
      <c r="X152" s="207" t="s">
        <v>541</v>
      </c>
      <c r="Y152" s="207" t="s">
        <v>509</v>
      </c>
      <c r="Z152" s="207" t="s">
        <v>511</v>
      </c>
      <c r="AA152" s="207" t="s">
        <v>510</v>
      </c>
      <c r="AB152" s="207" t="s">
        <v>606</v>
      </c>
      <c r="AC152" s="229" t="s">
        <v>506</v>
      </c>
      <c r="AD152" s="229" t="s">
        <v>682</v>
      </c>
      <c r="AE152" s="207" t="s">
        <v>505</v>
      </c>
      <c r="AF152" s="204" t="s">
        <v>507</v>
      </c>
      <c r="AG152" s="207" t="s">
        <v>641</v>
      </c>
      <c r="AH152" s="207" t="s">
        <v>644</v>
      </c>
      <c r="AI152" s="207" t="s">
        <v>529</v>
      </c>
      <c r="AJ152" s="207" t="s">
        <v>530</v>
      </c>
      <c r="AK152" s="207" t="s">
        <v>531</v>
      </c>
      <c r="AL152" s="207" t="s">
        <v>542</v>
      </c>
      <c r="AM152" s="207"/>
      <c r="AN152" s="207"/>
    </row>
    <row r="153" spans="2:44" x14ac:dyDescent="0.2">
      <c r="B153" s="201" t="s">
        <v>412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437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461</v>
      </c>
      <c r="C156" s="240"/>
      <c r="D156" s="240"/>
      <c r="E156" s="240"/>
      <c r="F156" s="246">
        <f>Ore_to_PI!EL140+Ore_to_PI!CA140+Ore_to_PI!U163+Ore_to_PI!U72+Ore_to_PI!CA232+Ore_to_PI!U236</f>
        <v>362460.64799951966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457</v>
      </c>
      <c r="C157" s="240"/>
      <c r="D157" s="240"/>
      <c r="E157" s="240"/>
      <c r="F157" s="240"/>
      <c r="G157" s="240">
        <f>Ore_to_PI!EL114+Ore_to_PI!CA152+Ore_to_PI!CA244</f>
        <v>21047.371244024282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554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553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494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543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5" t="s">
        <v>57</v>
      </c>
      <c r="D162" s="405"/>
      <c r="E162" s="405"/>
      <c r="F162" s="405"/>
      <c r="G162" s="405"/>
      <c r="H162" s="405"/>
      <c r="I162" s="405"/>
      <c r="J162" s="405"/>
      <c r="K162" s="405"/>
      <c r="L162" s="405"/>
      <c r="M162" s="405"/>
      <c r="N162" s="405"/>
      <c r="O162" s="405"/>
      <c r="P162" s="405"/>
      <c r="Q162" s="405"/>
      <c r="R162" s="405"/>
      <c r="S162" s="405"/>
      <c r="T162" s="405"/>
      <c r="U162" s="405"/>
      <c r="V162" s="405"/>
      <c r="W162" s="405"/>
      <c r="X162" s="405"/>
      <c r="Y162" s="405"/>
      <c r="Z162" s="405"/>
      <c r="AA162" s="405"/>
      <c r="AB162" s="405"/>
      <c r="AC162" s="405"/>
      <c r="AD162" s="405"/>
      <c r="AE162" s="405"/>
      <c r="AF162" s="405"/>
      <c r="AG162" s="405"/>
      <c r="AH162" s="405"/>
      <c r="AI162" s="405"/>
      <c r="AJ162" s="405"/>
      <c r="AK162" s="405"/>
      <c r="AL162" s="405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6">SUM(D153:D161)</f>
        <v>208.55560337725498</v>
      </c>
      <c r="E163" s="248">
        <f t="shared" si="86"/>
        <v>298.6148747230165</v>
      </c>
      <c r="F163" s="248">
        <f t="shared" si="86"/>
        <v>362460.64799951966</v>
      </c>
      <c r="G163" s="248">
        <f t="shared" si="86"/>
        <v>21047.371244024282</v>
      </c>
      <c r="H163" s="248">
        <f t="shared" si="86"/>
        <v>2.5875439035128025</v>
      </c>
      <c r="I163" s="248">
        <f t="shared" si="86"/>
        <v>5.1714158616864253E-4</v>
      </c>
      <c r="J163" s="248">
        <f t="shared" si="86"/>
        <v>4.914718171980665</v>
      </c>
      <c r="K163" s="248">
        <f t="shared" si="86"/>
        <v>0</v>
      </c>
      <c r="L163" s="248">
        <f t="shared" si="86"/>
        <v>0</v>
      </c>
      <c r="M163" s="248">
        <f t="shared" si="86"/>
        <v>0</v>
      </c>
      <c r="N163" s="248">
        <f t="shared" si="86"/>
        <v>0</v>
      </c>
      <c r="O163" s="248">
        <f t="shared" si="86"/>
        <v>0</v>
      </c>
      <c r="P163" s="248">
        <f t="shared" si="86"/>
        <v>0</v>
      </c>
      <c r="Q163" s="248">
        <f t="shared" si="86"/>
        <v>0</v>
      </c>
      <c r="R163" s="248">
        <f t="shared" si="86"/>
        <v>0</v>
      </c>
      <c r="S163" s="248">
        <f t="shared" si="86"/>
        <v>0</v>
      </c>
      <c r="T163" s="248">
        <f t="shared" si="86"/>
        <v>0</v>
      </c>
      <c r="U163" s="248">
        <f t="shared" si="86"/>
        <v>0</v>
      </c>
      <c r="V163" s="248">
        <f t="shared" si="86"/>
        <v>0</v>
      </c>
      <c r="W163" s="248">
        <f t="shared" si="86"/>
        <v>0</v>
      </c>
      <c r="X163" s="248">
        <f t="shared" si="86"/>
        <v>0</v>
      </c>
      <c r="Y163" s="248">
        <f t="shared" si="86"/>
        <v>0</v>
      </c>
      <c r="Z163" s="248">
        <f t="shared" si="86"/>
        <v>0</v>
      </c>
      <c r="AA163" s="248">
        <f t="shared" si="86"/>
        <v>0</v>
      </c>
      <c r="AB163" s="248">
        <f t="shared" si="86"/>
        <v>0</v>
      </c>
      <c r="AC163" s="248">
        <f t="shared" si="86"/>
        <v>0</v>
      </c>
      <c r="AD163" s="248">
        <f t="shared" si="86"/>
        <v>0</v>
      </c>
      <c r="AE163" s="248">
        <f t="shared" si="86"/>
        <v>0</v>
      </c>
      <c r="AF163" s="248">
        <f t="shared" si="86"/>
        <v>0</v>
      </c>
      <c r="AG163" s="248">
        <f t="shared" si="86"/>
        <v>0</v>
      </c>
      <c r="AH163" s="248">
        <f t="shared" si="86"/>
        <v>0</v>
      </c>
      <c r="AI163" s="248">
        <f t="shared" si="86"/>
        <v>0</v>
      </c>
      <c r="AJ163" s="248">
        <f t="shared" si="86"/>
        <v>0</v>
      </c>
      <c r="AK163" s="248">
        <f t="shared" si="86"/>
        <v>0</v>
      </c>
      <c r="AL163" s="248">
        <f t="shared" si="86"/>
        <v>0</v>
      </c>
    </row>
    <row r="164" spans="2:40" x14ac:dyDescent="0.2">
      <c r="C164" s="405" t="s">
        <v>448</v>
      </c>
      <c r="D164" s="405"/>
      <c r="E164" s="405"/>
      <c r="F164" s="405"/>
      <c r="G164" s="405"/>
      <c r="H164" s="405"/>
      <c r="I164" s="405"/>
      <c r="J164" s="405"/>
      <c r="K164" s="405"/>
      <c r="L164" s="405"/>
      <c r="M164" s="405"/>
      <c r="N164" s="405"/>
      <c r="O164" s="405"/>
      <c r="P164" s="405"/>
      <c r="Q164" s="405"/>
      <c r="R164" s="405"/>
      <c r="S164" s="405"/>
      <c r="T164" s="405"/>
      <c r="U164" s="405"/>
      <c r="V164" s="405"/>
      <c r="W164" s="405"/>
      <c r="X164" s="405"/>
      <c r="Y164" s="405"/>
      <c r="Z164" s="405"/>
      <c r="AA164" s="405"/>
      <c r="AB164" s="405"/>
      <c r="AC164" s="405"/>
      <c r="AD164" s="405"/>
      <c r="AE164" s="405"/>
      <c r="AF164" s="405"/>
      <c r="AG164" s="405"/>
      <c r="AH164" s="405"/>
      <c r="AI164" s="405"/>
      <c r="AJ164" s="405"/>
      <c r="AK164" s="405"/>
      <c r="AL164" s="405"/>
      <c r="AM164" s="25"/>
      <c r="AN164" s="25"/>
    </row>
    <row r="168" spans="2:40" x14ac:dyDescent="0.2">
      <c r="C168" s="405" t="s">
        <v>445</v>
      </c>
      <c r="D168" s="405"/>
      <c r="E168" s="405"/>
      <c r="F168" s="405"/>
      <c r="G168" s="405"/>
      <c r="H168" s="405"/>
      <c r="I168" s="405"/>
      <c r="J168" s="405"/>
      <c r="K168" s="405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413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 t="shared" ref="G171:G197" si="87"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415</v>
      </c>
      <c r="C172" s="248">
        <v>208.55560337725498</v>
      </c>
      <c r="E172" s="248">
        <v>0</v>
      </c>
      <c r="G172" s="248">
        <f t="shared" si="87"/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416</v>
      </c>
      <c r="C173" s="248">
        <v>298.6148747230165</v>
      </c>
      <c r="E173" s="248">
        <v>0</v>
      </c>
      <c r="G173" s="248">
        <f t="shared" si="87"/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436</v>
      </c>
      <c r="C174" s="248">
        <v>362460.64799951966</v>
      </c>
      <c r="E174" s="248">
        <v>0</v>
      </c>
      <c r="G174" s="248">
        <f t="shared" si="87"/>
        <v>362460.64799951972</v>
      </c>
      <c r="I174" s="248">
        <v>0</v>
      </c>
      <c r="K174" s="295">
        <f>ROUND(C174+E174-G174-I174, 10)</f>
        <v>-1E-10</v>
      </c>
    </row>
    <row r="175" spans="2:40" x14ac:dyDescent="0.2">
      <c r="B175" s="201" t="s">
        <v>458</v>
      </c>
      <c r="C175" s="248">
        <v>21047.371244024282</v>
      </c>
      <c r="E175" s="248">
        <v>0</v>
      </c>
      <c r="G175" s="248">
        <f t="shared" si="87"/>
        <v>21047.371244024282</v>
      </c>
      <c r="I175" s="248">
        <v>0</v>
      </c>
      <c r="K175" s="295">
        <f t="shared" ref="K175:K190" si="88">C175+E175-G175-I175</f>
        <v>0</v>
      </c>
    </row>
    <row r="176" spans="2:40" x14ac:dyDescent="0.2">
      <c r="B176" s="201" t="s">
        <v>491</v>
      </c>
      <c r="C176" s="248">
        <v>2.5875439035128025</v>
      </c>
      <c r="E176" s="248">
        <v>0</v>
      </c>
      <c r="G176" s="248">
        <f t="shared" si="87"/>
        <v>2.5875439035128025</v>
      </c>
      <c r="I176" s="248">
        <v>0</v>
      </c>
      <c r="K176" s="295">
        <f t="shared" si="88"/>
        <v>0</v>
      </c>
    </row>
    <row r="177" spans="2:18" x14ac:dyDescent="0.2">
      <c r="B177" s="201" t="s">
        <v>492</v>
      </c>
      <c r="C177" s="248">
        <v>5.1714158616864253E-4</v>
      </c>
      <c r="E177" s="248">
        <v>0</v>
      </c>
      <c r="G177" s="248">
        <f t="shared" si="87"/>
        <v>5.1714158616864253E-4</v>
      </c>
      <c r="I177" s="248">
        <v>0</v>
      </c>
      <c r="K177" s="295">
        <f t="shared" si="88"/>
        <v>0</v>
      </c>
    </row>
    <row r="178" spans="2:18" x14ac:dyDescent="0.2">
      <c r="B178" s="201" t="s">
        <v>495</v>
      </c>
      <c r="C178" s="248">
        <v>4.914718171980665</v>
      </c>
      <c r="E178" s="248">
        <v>0</v>
      </c>
      <c r="G178" s="248">
        <f t="shared" si="87"/>
        <v>4.914718171980665</v>
      </c>
      <c r="I178" s="248">
        <v>0</v>
      </c>
      <c r="K178" s="295">
        <f t="shared" si="88"/>
        <v>0</v>
      </c>
    </row>
    <row r="179" spans="2:18" x14ac:dyDescent="0.2">
      <c r="B179" s="201" t="s">
        <v>544</v>
      </c>
      <c r="C179" s="248">
        <v>0</v>
      </c>
      <c r="E179" s="248">
        <v>0</v>
      </c>
      <c r="G179" s="248">
        <f t="shared" si="87"/>
        <v>0</v>
      </c>
      <c r="I179" s="248">
        <v>0</v>
      </c>
      <c r="K179" s="295">
        <f t="shared" si="88"/>
        <v>0</v>
      </c>
    </row>
    <row r="180" spans="2:18" ht="16" x14ac:dyDescent="0.2">
      <c r="B180" s="202" t="s">
        <v>526</v>
      </c>
      <c r="C180" s="248">
        <v>0</v>
      </c>
      <c r="E180" s="248">
        <v>1011.7674660019052</v>
      </c>
      <c r="G180" s="248">
        <f t="shared" si="87"/>
        <v>1011.7674660019052</v>
      </c>
      <c r="I180" s="248">
        <v>0</v>
      </c>
      <c r="K180" s="295">
        <f t="shared" si="88"/>
        <v>0</v>
      </c>
    </row>
    <row r="181" spans="2:18" x14ac:dyDescent="0.2">
      <c r="B181" s="201" t="s">
        <v>493</v>
      </c>
      <c r="C181" s="248">
        <v>0</v>
      </c>
      <c r="E181" s="248">
        <v>32.219926549044033</v>
      </c>
      <c r="G181" s="248">
        <f t="shared" si="87"/>
        <v>0</v>
      </c>
      <c r="I181" s="248">
        <v>32.219926549044033</v>
      </c>
      <c r="K181" s="295">
        <f t="shared" si="88"/>
        <v>0</v>
      </c>
    </row>
    <row r="182" spans="2:18" ht="16" x14ac:dyDescent="0.2">
      <c r="B182" s="202" t="s">
        <v>496</v>
      </c>
      <c r="C182" s="248">
        <v>0</v>
      </c>
      <c r="E182" s="248">
        <v>208.55560337725498</v>
      </c>
      <c r="G182" s="248">
        <f t="shared" si="87"/>
        <v>208.55560337725498</v>
      </c>
      <c r="I182" s="248">
        <v>0</v>
      </c>
      <c r="K182" s="295">
        <f t="shared" si="88"/>
        <v>0</v>
      </c>
    </row>
    <row r="183" spans="2:18" x14ac:dyDescent="0.2">
      <c r="B183" s="201" t="s">
        <v>521</v>
      </c>
      <c r="C183" s="248">
        <v>0</v>
      </c>
      <c r="E183" s="248">
        <v>9.658257192857822E-2</v>
      </c>
      <c r="G183" s="248">
        <f t="shared" si="87"/>
        <v>0</v>
      </c>
      <c r="I183" s="248">
        <v>9.658257192857822E-2</v>
      </c>
      <c r="K183" s="295">
        <f t="shared" si="88"/>
        <v>0</v>
      </c>
    </row>
    <row r="184" spans="2:18" x14ac:dyDescent="0.2">
      <c r="B184" s="203" t="s">
        <v>514</v>
      </c>
      <c r="C184" s="248">
        <v>0</v>
      </c>
      <c r="D184" s="255" t="s">
        <v>452</v>
      </c>
      <c r="E184" s="248">
        <v>298.6148747230165</v>
      </c>
      <c r="F184" s="169" t="s">
        <v>454</v>
      </c>
      <c r="G184" s="248">
        <f t="shared" si="87"/>
        <v>298.6148747230165</v>
      </c>
      <c r="H184" s="169" t="s">
        <v>454</v>
      </c>
      <c r="I184" s="248">
        <v>0</v>
      </c>
      <c r="J184" s="255" t="s">
        <v>455</v>
      </c>
      <c r="K184" s="295">
        <f t="shared" si="88"/>
        <v>0</v>
      </c>
    </row>
    <row r="185" spans="2:18" x14ac:dyDescent="0.2">
      <c r="B185" s="201" t="s">
        <v>500</v>
      </c>
      <c r="C185" s="248">
        <v>0</v>
      </c>
      <c r="E185" s="248">
        <v>7.9771214256715108</v>
      </c>
      <c r="G185" s="248">
        <f t="shared" si="87"/>
        <v>0</v>
      </c>
      <c r="I185" s="248">
        <v>7.9771214256715108</v>
      </c>
      <c r="K185" s="295">
        <f t="shared" si="88"/>
        <v>0</v>
      </c>
    </row>
    <row r="186" spans="2:18" ht="16" x14ac:dyDescent="0.2">
      <c r="B186" s="202" t="s">
        <v>525</v>
      </c>
      <c r="C186" s="248">
        <v>0</v>
      </c>
      <c r="E186" s="248">
        <v>1011.7674660019052</v>
      </c>
      <c r="G186" s="248">
        <f t="shared" si="87"/>
        <v>1011.7674660019052</v>
      </c>
      <c r="I186" s="248">
        <v>0</v>
      </c>
      <c r="K186" s="295">
        <f t="shared" si="88"/>
        <v>0</v>
      </c>
    </row>
    <row r="187" spans="2:18" ht="16" x14ac:dyDescent="0.2">
      <c r="B187" s="202" t="s">
        <v>520</v>
      </c>
      <c r="C187" s="248">
        <v>0</v>
      </c>
      <c r="E187" s="248">
        <v>208.55560337725498</v>
      </c>
      <c r="G187" s="248">
        <f t="shared" si="87"/>
        <v>208.55560337725498</v>
      </c>
      <c r="I187" s="248">
        <v>0</v>
      </c>
      <c r="K187" s="295">
        <f t="shared" si="88"/>
        <v>0</v>
      </c>
    </row>
    <row r="188" spans="2:18" ht="16" x14ac:dyDescent="0.2">
      <c r="B188" s="202" t="s">
        <v>517</v>
      </c>
      <c r="C188" s="248">
        <v>0</v>
      </c>
      <c r="E188" s="248">
        <v>298.6148747230165</v>
      </c>
      <c r="G188" s="248">
        <f t="shared" si="87"/>
        <v>298.6148747230165</v>
      </c>
      <c r="I188" s="248">
        <v>0</v>
      </c>
      <c r="K188" s="295">
        <f t="shared" si="88"/>
        <v>0</v>
      </c>
    </row>
    <row r="189" spans="2:18" ht="16" x14ac:dyDescent="0.2">
      <c r="B189" s="202" t="s">
        <v>523</v>
      </c>
      <c r="C189" s="248">
        <v>0</v>
      </c>
      <c r="E189" s="248">
        <v>1000.0000000000001</v>
      </c>
      <c r="G189" s="248">
        <f t="shared" si="87"/>
        <v>1000.0000000000001</v>
      </c>
      <c r="I189" s="248">
        <v>0</v>
      </c>
      <c r="K189" s="295">
        <f t="shared" si="88"/>
        <v>0</v>
      </c>
    </row>
    <row r="190" spans="2:18" x14ac:dyDescent="0.2">
      <c r="B190" s="203" t="s">
        <v>522</v>
      </c>
      <c r="C190" s="248">
        <v>0</v>
      </c>
      <c r="E190" s="248">
        <v>11.767466001905108</v>
      </c>
      <c r="G190" s="248">
        <f t="shared" si="87"/>
        <v>0</v>
      </c>
      <c r="I190" s="248">
        <v>11.767466001905108</v>
      </c>
      <c r="K190" s="295">
        <f t="shared" si="88"/>
        <v>0</v>
      </c>
    </row>
    <row r="191" spans="2:18" x14ac:dyDescent="0.2">
      <c r="B191" s="203" t="s">
        <v>508</v>
      </c>
      <c r="C191" s="248">
        <v>0</v>
      </c>
      <c r="E191" s="248">
        <v>208.55560337725498</v>
      </c>
      <c r="G191" s="248">
        <f t="shared" si="87"/>
        <v>208.55560337725498</v>
      </c>
      <c r="I191" s="248">
        <v>0</v>
      </c>
      <c r="K191" s="295">
        <f t="shared" ref="K191:K206" si="89">C191+E191-G191-I191</f>
        <v>0</v>
      </c>
      <c r="N191" s="25"/>
      <c r="P191" s="25"/>
      <c r="Q191" s="25"/>
      <c r="R191" s="25"/>
    </row>
    <row r="192" spans="2:18" x14ac:dyDescent="0.2">
      <c r="B192" s="203" t="s">
        <v>541</v>
      </c>
      <c r="C192" s="248">
        <v>0</v>
      </c>
      <c r="E192" s="248">
        <v>298.6148747230165</v>
      </c>
      <c r="G192" s="248">
        <f t="shared" si="87"/>
        <v>298.6148747230165</v>
      </c>
      <c r="I192" s="248">
        <v>0</v>
      </c>
      <c r="K192" s="295">
        <f t="shared" si="89"/>
        <v>0</v>
      </c>
      <c r="N192" s="25"/>
      <c r="P192" s="25"/>
      <c r="Q192" s="25"/>
      <c r="R192" s="25"/>
    </row>
    <row r="193" spans="2:19" x14ac:dyDescent="0.2">
      <c r="B193" s="203" t="s">
        <v>509</v>
      </c>
      <c r="C193" s="248">
        <v>0</v>
      </c>
      <c r="E193" s="248">
        <v>111.00813284002646</v>
      </c>
      <c r="G193" s="248">
        <f t="shared" si="87"/>
        <v>111.00813284002646</v>
      </c>
      <c r="I193" s="248">
        <v>0</v>
      </c>
      <c r="K193" s="295">
        <f t="shared" si="89"/>
        <v>0</v>
      </c>
      <c r="N193" s="25"/>
      <c r="P193" s="25"/>
      <c r="Q193" s="25"/>
      <c r="R193" s="25"/>
    </row>
    <row r="194" spans="2:19" x14ac:dyDescent="0.2">
      <c r="B194" s="203" t="s">
        <v>511</v>
      </c>
      <c r="C194" s="248">
        <v>0</v>
      </c>
      <c r="E194" s="248">
        <v>4.9847525450981189</v>
      </c>
      <c r="G194" s="248">
        <f t="shared" si="87"/>
        <v>0</v>
      </c>
      <c r="I194" s="248">
        <v>4.9847525450981189</v>
      </c>
      <c r="K194" s="295">
        <f t="shared" si="89"/>
        <v>0</v>
      </c>
      <c r="N194" s="25"/>
      <c r="P194" s="25"/>
      <c r="Q194" s="25"/>
      <c r="R194" s="25"/>
    </row>
    <row r="195" spans="2:19" x14ac:dyDescent="0.2">
      <c r="B195" s="203" t="s">
        <v>510</v>
      </c>
      <c r="C195" s="248">
        <v>0</v>
      </c>
      <c r="E195" s="248">
        <v>376967.02647382859</v>
      </c>
      <c r="G195" s="248">
        <f t="shared" si="87"/>
        <v>0</v>
      </c>
      <c r="I195" s="248">
        <v>376967.02647382859</v>
      </c>
      <c r="K195" s="295">
        <f t="shared" si="89"/>
        <v>0</v>
      </c>
      <c r="N195" s="25"/>
      <c r="P195" s="25"/>
      <c r="Q195" s="25"/>
      <c r="R195" s="25"/>
    </row>
    <row r="196" spans="2:19" x14ac:dyDescent="0.2">
      <c r="B196" s="203" t="s">
        <v>606</v>
      </c>
      <c r="C196" s="248">
        <v>0</v>
      </c>
      <c r="E196" s="248">
        <v>203.27980063725872</v>
      </c>
      <c r="G196" s="248">
        <f t="shared" si="87"/>
        <v>203.27980063725872</v>
      </c>
      <c r="I196" s="248">
        <v>0</v>
      </c>
      <c r="K196" s="295">
        <f t="shared" si="89"/>
        <v>0</v>
      </c>
    </row>
    <row r="197" spans="2:19" ht="16" x14ac:dyDescent="0.2">
      <c r="B197" s="249" t="s">
        <v>506</v>
      </c>
      <c r="C197" s="248">
        <v>0</v>
      </c>
      <c r="E197" s="248">
        <v>46.0998047134687</v>
      </c>
      <c r="G197" s="248">
        <f t="shared" si="87"/>
        <v>46.0998047134687</v>
      </c>
      <c r="I197" s="248">
        <v>0</v>
      </c>
      <c r="K197" s="295">
        <f t="shared" si="89"/>
        <v>0</v>
      </c>
    </row>
    <row r="198" spans="2:19" ht="16" x14ac:dyDescent="0.2">
      <c r="B198" s="249" t="s">
        <v>682</v>
      </c>
      <c r="C198" s="248">
        <v>0</v>
      </c>
      <c r="E198" s="248">
        <v>23.982067525572877</v>
      </c>
      <c r="G198" s="248">
        <f t="shared" ref="G198:G199" si="90">BG110</f>
        <v>0</v>
      </c>
      <c r="I198" s="248">
        <v>23.982067525572877</v>
      </c>
      <c r="K198" s="295">
        <f t="shared" si="89"/>
        <v>0</v>
      </c>
    </row>
    <row r="199" spans="2:19" x14ac:dyDescent="0.2">
      <c r="B199" s="203" t="s">
        <v>505</v>
      </c>
      <c r="C199" s="248">
        <v>0</v>
      </c>
      <c r="E199" s="248">
        <v>25.253201846716312</v>
      </c>
      <c r="G199" s="248">
        <f t="shared" si="90"/>
        <v>0</v>
      </c>
      <c r="I199" s="248">
        <v>25.253201846716312</v>
      </c>
      <c r="K199" s="295">
        <f t="shared" si="89"/>
        <v>0</v>
      </c>
      <c r="L199" s="25"/>
    </row>
    <row r="200" spans="2:19" x14ac:dyDescent="0.2">
      <c r="B200" s="201" t="s">
        <v>507</v>
      </c>
      <c r="C200" s="248">
        <v>0</v>
      </c>
      <c r="E200" s="248">
        <v>3698.8733194995434</v>
      </c>
      <c r="G200" s="248">
        <f t="shared" ref="G200:G206" si="91">BG112</f>
        <v>0</v>
      </c>
      <c r="I200" s="248">
        <v>3698.8733194995434</v>
      </c>
      <c r="K200" s="295">
        <f t="shared" si="89"/>
        <v>0</v>
      </c>
    </row>
    <row r="201" spans="2:19" x14ac:dyDescent="0.2">
      <c r="B201" s="203" t="s">
        <v>641</v>
      </c>
      <c r="C201" s="248">
        <v>0</v>
      </c>
      <c r="E201" s="248">
        <v>46.099804713468714</v>
      </c>
      <c r="G201" s="248">
        <f t="shared" si="91"/>
        <v>46.099804713468714</v>
      </c>
      <c r="I201" s="248">
        <v>0</v>
      </c>
      <c r="K201" s="295">
        <f t="shared" si="89"/>
        <v>0</v>
      </c>
    </row>
    <row r="202" spans="2:19" x14ac:dyDescent="0.2">
      <c r="B202" s="203" t="s">
        <v>644</v>
      </c>
      <c r="C202" s="248">
        <v>0</v>
      </c>
      <c r="E202" s="248">
        <v>46.099804713468714</v>
      </c>
      <c r="G202" s="248">
        <f t="shared" si="91"/>
        <v>32.269863299428096</v>
      </c>
      <c r="I202" s="248">
        <v>13.829941414040613</v>
      </c>
      <c r="K202" s="295">
        <f t="shared" si="89"/>
        <v>0</v>
      </c>
    </row>
    <row r="203" spans="2:19" x14ac:dyDescent="0.2">
      <c r="B203" s="203" t="s">
        <v>529</v>
      </c>
      <c r="C203" s="248">
        <v>0</v>
      </c>
      <c r="E203" s="248">
        <v>1314.2879334772852</v>
      </c>
      <c r="G203" s="248">
        <f t="shared" si="91"/>
        <v>1314.2879334772852</v>
      </c>
      <c r="I203" s="248">
        <v>0</v>
      </c>
      <c r="K203" s="295">
        <f t="shared" si="89"/>
        <v>0</v>
      </c>
      <c r="P203" s="241"/>
      <c r="Q203" s="241"/>
      <c r="R203" s="241"/>
      <c r="S203" s="241"/>
    </row>
    <row r="204" spans="2:19" x14ac:dyDescent="0.2">
      <c r="B204" s="203" t="s">
        <v>530</v>
      </c>
      <c r="C204" s="248">
        <v>0</v>
      </c>
      <c r="E204" s="248">
        <v>616.23583583508366</v>
      </c>
      <c r="G204" s="248">
        <f t="shared" si="91"/>
        <v>0</v>
      </c>
      <c r="I204" s="248">
        <v>616.23583583508366</v>
      </c>
      <c r="K204" s="295">
        <f t="shared" si="89"/>
        <v>0</v>
      </c>
    </row>
    <row r="205" spans="2:19" x14ac:dyDescent="0.2">
      <c r="B205" s="203" t="s">
        <v>531</v>
      </c>
      <c r="C205" s="248">
        <v>0</v>
      </c>
      <c r="E205" s="248">
        <v>3402.2651449800928</v>
      </c>
      <c r="G205" s="248">
        <f t="shared" si="91"/>
        <v>0</v>
      </c>
      <c r="I205" s="248">
        <v>3402.2651449800928</v>
      </c>
      <c r="K205" s="295">
        <f t="shared" si="89"/>
        <v>0</v>
      </c>
    </row>
    <row r="206" spans="2:19" x14ac:dyDescent="0.2">
      <c r="B206" s="203" t="s">
        <v>542</v>
      </c>
      <c r="C206" s="248">
        <v>0</v>
      </c>
      <c r="E206" s="248">
        <v>229.94813284002646</v>
      </c>
      <c r="G206" s="248">
        <f t="shared" si="91"/>
        <v>0</v>
      </c>
      <c r="I206" s="248">
        <v>229.94813284002646</v>
      </c>
      <c r="K206" s="295">
        <f t="shared" si="89"/>
        <v>0</v>
      </c>
    </row>
    <row r="207" spans="2:19" ht="17" x14ac:dyDescent="0.2">
      <c r="B207" s="203"/>
      <c r="C207" s="3" t="s">
        <v>451</v>
      </c>
      <c r="E207" s="3" t="s">
        <v>453</v>
      </c>
      <c r="G207" s="25" t="s">
        <v>450</v>
      </c>
      <c r="I207" s="25" t="s">
        <v>39</v>
      </c>
      <c r="K207" s="25">
        <f>SUM(K171:K206)</f>
        <v>-1E-10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5" t="s">
        <v>456</v>
      </c>
      <c r="D210" s="405"/>
      <c r="E210" s="405"/>
      <c r="F210" s="405"/>
      <c r="G210" s="405"/>
      <c r="L210" s="241"/>
      <c r="M210" s="241"/>
    </row>
    <row r="213" spans="2:15" x14ac:dyDescent="0.2">
      <c r="B213" s="201" t="s">
        <v>405</v>
      </c>
      <c r="C213" s="248" cm="1">
        <f t="array" ref="C213:C227">TRANSPOSE((AR120:BF120))</f>
        <v>1043.9873925509492</v>
      </c>
      <c r="E213" s="248">
        <f t="shared" ref="E213:E227" si="92">AM124</f>
        <v>1043.9873925509492</v>
      </c>
      <c r="G213" s="295">
        <f>C213-E213</f>
        <v>0</v>
      </c>
    </row>
    <row r="214" spans="2:15" x14ac:dyDescent="0.2">
      <c r="B214" s="201" t="s">
        <v>406</v>
      </c>
      <c r="C214" s="248">
        <v>208.65218594918355</v>
      </c>
      <c r="E214" s="248">
        <f t="shared" si="92"/>
        <v>208.65218594918355</v>
      </c>
      <c r="G214" s="295">
        <f t="shared" ref="G214:G227" si="93">C214-E214</f>
        <v>0</v>
      </c>
      <c r="N214" s="241"/>
      <c r="O214" s="241"/>
    </row>
    <row r="215" spans="2:15" x14ac:dyDescent="0.2">
      <c r="B215" s="201" t="s">
        <v>407</v>
      </c>
      <c r="C215" s="248">
        <v>306.591996148688</v>
      </c>
      <c r="E215" s="248">
        <f t="shared" si="92"/>
        <v>306.591996148688</v>
      </c>
      <c r="G215" s="295">
        <f t="shared" si="93"/>
        <v>0</v>
      </c>
    </row>
    <row r="216" spans="2:15" x14ac:dyDescent="0.2">
      <c r="B216" s="201" t="s">
        <v>540</v>
      </c>
      <c r="C216" s="248">
        <v>1011.7674660019052</v>
      </c>
      <c r="D216" s="250"/>
      <c r="E216" s="248">
        <f t="shared" si="92"/>
        <v>1011.7674660019052</v>
      </c>
      <c r="F216" s="250"/>
      <c r="G216" s="295">
        <f t="shared" si="93"/>
        <v>0</v>
      </c>
    </row>
    <row r="217" spans="2:15" x14ac:dyDescent="0.2">
      <c r="B217" s="201" t="s">
        <v>519</v>
      </c>
      <c r="C217" s="248">
        <v>208.55560337725498</v>
      </c>
      <c r="E217" s="248">
        <f t="shared" si="92"/>
        <v>208.55560337725498</v>
      </c>
      <c r="G217" s="295">
        <f t="shared" si="93"/>
        <v>0</v>
      </c>
      <c r="H217" s="241"/>
      <c r="I217" s="241"/>
      <c r="J217" s="241"/>
      <c r="K217" s="241"/>
    </row>
    <row r="218" spans="2:15" x14ac:dyDescent="0.2">
      <c r="B218" s="201" t="s">
        <v>518</v>
      </c>
      <c r="C218" s="248">
        <v>298.6148747230165</v>
      </c>
      <c r="E218" s="248">
        <f t="shared" si="92"/>
        <v>298.6148747230165</v>
      </c>
      <c r="G218" s="295">
        <f t="shared" si="93"/>
        <v>0</v>
      </c>
    </row>
    <row r="219" spans="2:15" x14ac:dyDescent="0.2">
      <c r="B219" s="201" t="s">
        <v>432</v>
      </c>
      <c r="C219" s="248">
        <v>1011.7674660019052</v>
      </c>
      <c r="E219" s="248">
        <f t="shared" si="92"/>
        <v>1011.7674660019052</v>
      </c>
      <c r="G219" s="295">
        <f t="shared" si="93"/>
        <v>0</v>
      </c>
    </row>
    <row r="220" spans="2:15" x14ac:dyDescent="0.2">
      <c r="B220" s="201" t="s">
        <v>429</v>
      </c>
      <c r="C220" s="248">
        <v>208.55560337725498</v>
      </c>
      <c r="D220" s="169" t="s">
        <v>459</v>
      </c>
      <c r="E220" s="248">
        <f t="shared" si="92"/>
        <v>208.55560337725498</v>
      </c>
      <c r="F220" s="169" t="s">
        <v>455</v>
      </c>
      <c r="G220" s="295">
        <f t="shared" si="93"/>
        <v>0</v>
      </c>
    </row>
    <row r="221" spans="2:15" x14ac:dyDescent="0.2">
      <c r="B221" s="201" t="s">
        <v>443</v>
      </c>
      <c r="C221" s="248">
        <v>298.6148747230165</v>
      </c>
      <c r="E221" s="248">
        <f t="shared" si="92"/>
        <v>298.6148747230165</v>
      </c>
      <c r="G221" s="295">
        <f t="shared" si="93"/>
        <v>0</v>
      </c>
    </row>
    <row r="222" spans="2:15" x14ac:dyDescent="0.2">
      <c r="B222" s="201" t="s">
        <v>430</v>
      </c>
      <c r="C222" s="248">
        <v>377083.01935921365</v>
      </c>
      <c r="E222" s="248">
        <f t="shared" si="92"/>
        <v>377083.01935921371</v>
      </c>
      <c r="G222" s="295">
        <f t="shared" si="93"/>
        <v>0</v>
      </c>
    </row>
    <row r="223" spans="2:15" x14ac:dyDescent="0.2">
      <c r="B223" s="201" t="s">
        <v>425</v>
      </c>
      <c r="C223" s="248">
        <v>3997.4881942225597</v>
      </c>
      <c r="E223" s="248">
        <f t="shared" si="92"/>
        <v>3997.4881942225602</v>
      </c>
      <c r="G223" s="295">
        <f t="shared" si="93"/>
        <v>0</v>
      </c>
    </row>
    <row r="224" spans="2:15" x14ac:dyDescent="0.2">
      <c r="B224" s="201" t="s">
        <v>640</v>
      </c>
      <c r="C224" s="248">
        <v>46.0998047134687</v>
      </c>
      <c r="E224" s="248">
        <f t="shared" si="92"/>
        <v>46.099804713468714</v>
      </c>
      <c r="G224" s="295">
        <f t="shared" si="93"/>
        <v>0</v>
      </c>
    </row>
    <row r="225" spans="2:11" x14ac:dyDescent="0.2">
      <c r="B225" s="201" t="s">
        <v>643</v>
      </c>
      <c r="C225" s="248">
        <v>46.099804713468714</v>
      </c>
      <c r="E225" s="248">
        <f t="shared" si="92"/>
        <v>46.099804713468714</v>
      </c>
      <c r="G225" s="295">
        <f t="shared" si="93"/>
        <v>0</v>
      </c>
    </row>
    <row r="226" spans="2:11" x14ac:dyDescent="0.2">
      <c r="B226" s="201" t="s">
        <v>81</v>
      </c>
      <c r="C226" s="248">
        <v>1314.2879334772852</v>
      </c>
      <c r="E226" s="248">
        <f t="shared" si="92"/>
        <v>1314.2879334772852</v>
      </c>
      <c r="G226" s="295">
        <f t="shared" si="93"/>
        <v>0</v>
      </c>
    </row>
    <row r="227" spans="2:11" x14ac:dyDescent="0.2">
      <c r="B227" s="201" t="s">
        <v>417</v>
      </c>
      <c r="C227" s="248">
        <v>4248.4491136552024</v>
      </c>
      <c r="D227" s="169"/>
      <c r="E227" s="248">
        <f t="shared" si="92"/>
        <v>4248.4491136552024</v>
      </c>
      <c r="G227" s="295">
        <f t="shared" si="93"/>
        <v>0</v>
      </c>
    </row>
    <row r="228" spans="2:11" x14ac:dyDescent="0.2">
      <c r="B228" s="203"/>
      <c r="C228" s="169" t="s">
        <v>449</v>
      </c>
      <c r="D228" s="169"/>
      <c r="E228" s="169" t="s">
        <v>446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opLeftCell="A106" zoomScale="75" workbookViewId="0">
      <selection activeCell="L149" sqref="L14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697</v>
      </c>
      <c r="AQ1" s="256"/>
      <c r="AR1" s="204" t="s">
        <v>405</v>
      </c>
      <c r="AS1" s="204" t="s">
        <v>406</v>
      </c>
      <c r="AT1" s="204" t="s">
        <v>407</v>
      </c>
      <c r="AU1" s="204" t="s">
        <v>540</v>
      </c>
      <c r="AV1" s="204" t="s">
        <v>519</v>
      </c>
      <c r="AW1" s="204" t="s">
        <v>518</v>
      </c>
      <c r="AX1" s="204" t="s">
        <v>432</v>
      </c>
      <c r="AY1" s="204" t="s">
        <v>429</v>
      </c>
      <c r="AZ1" s="204" t="s">
        <v>443</v>
      </c>
      <c r="BA1" s="204" t="s">
        <v>430</v>
      </c>
      <c r="BB1" s="204" t="s">
        <v>425</v>
      </c>
      <c r="BC1" s="204" t="s">
        <v>640</v>
      </c>
      <c r="BD1" s="204" t="s">
        <v>643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540</v>
      </c>
      <c r="BP1" s="204" t="s">
        <v>519</v>
      </c>
      <c r="BQ1" s="204" t="s">
        <v>518</v>
      </c>
      <c r="BR1" s="204" t="s">
        <v>432</v>
      </c>
      <c r="BS1" s="204" t="s">
        <v>429</v>
      </c>
      <c r="BT1" s="204" t="s">
        <v>443</v>
      </c>
      <c r="BU1" s="204" t="s">
        <v>430</v>
      </c>
      <c r="BV1" s="204" t="s">
        <v>425</v>
      </c>
      <c r="BW1" s="204" t="s">
        <v>640</v>
      </c>
      <c r="BX1" s="204" t="s">
        <v>643</v>
      </c>
      <c r="BY1" s="204" t="s">
        <v>81</v>
      </c>
      <c r="BZ1" s="204" t="s">
        <v>417</v>
      </c>
    </row>
    <row r="2" spans="2:78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458</v>
      </c>
      <c r="C6" s="280">
        <v>1</v>
      </c>
      <c r="AQ6" s="201" t="s">
        <v>458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458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551</v>
      </c>
      <c r="C7" s="280">
        <v>1</v>
      </c>
      <c r="AQ7" s="201" t="s">
        <v>551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551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552</v>
      </c>
      <c r="C8" s="280">
        <v>1</v>
      </c>
      <c r="AQ8" s="201" t="s">
        <v>552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552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495</v>
      </c>
      <c r="C9" s="280">
        <v>1</v>
      </c>
      <c r="AQ9" s="201" t="s">
        <v>495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495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544</v>
      </c>
      <c r="C10" s="280">
        <v>1</v>
      </c>
      <c r="AQ10" s="201" t="s">
        <v>544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544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526</v>
      </c>
      <c r="C11" s="280">
        <v>1</v>
      </c>
      <c r="AQ11" s="202" t="s">
        <v>526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526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493</v>
      </c>
      <c r="C12" s="280">
        <v>1</v>
      </c>
      <c r="AQ12" s="201" t="s">
        <v>493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493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496</v>
      </c>
      <c r="C13" s="280">
        <v>1</v>
      </c>
      <c r="AQ13" s="202" t="s">
        <v>496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496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521</v>
      </c>
      <c r="C14" s="280">
        <v>1</v>
      </c>
      <c r="AQ14" s="201" t="s">
        <v>521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521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514</v>
      </c>
      <c r="C15" s="280">
        <v>1</v>
      </c>
      <c r="AQ15" s="203" t="s">
        <v>514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514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500</v>
      </c>
      <c r="C16" s="280">
        <v>1</v>
      </c>
      <c r="AQ16" s="201" t="s">
        <v>500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500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525</v>
      </c>
      <c r="C17" s="280">
        <v>1</v>
      </c>
      <c r="AQ17" s="202" t="s">
        <v>525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525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520</v>
      </c>
      <c r="C18" s="280">
        <v>1</v>
      </c>
      <c r="AQ18" s="202" t="s">
        <v>520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520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517</v>
      </c>
      <c r="C19" s="280">
        <v>1</v>
      </c>
      <c r="AQ19" s="202" t="s">
        <v>517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517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523</v>
      </c>
      <c r="C20" s="280">
        <v>1</v>
      </c>
      <c r="AQ20" s="202" t="s">
        <v>523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523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522</v>
      </c>
      <c r="C21" s="280">
        <v>1</v>
      </c>
      <c r="AQ21" s="203" t="s">
        <v>522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522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508</v>
      </c>
      <c r="C22" s="280">
        <v>1</v>
      </c>
      <c r="AQ22" s="203" t="s">
        <v>508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508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541</v>
      </c>
      <c r="C23" s="280">
        <v>1</v>
      </c>
      <c r="AQ23" s="203" t="s">
        <v>541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541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509</v>
      </c>
      <c r="C24" s="280">
        <v>1</v>
      </c>
      <c r="AQ24" s="203" t="s">
        <v>509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509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511</v>
      </c>
      <c r="C25" s="280">
        <v>1</v>
      </c>
      <c r="AQ25" s="203" t="s">
        <v>511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511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510</v>
      </c>
      <c r="C26" s="280">
        <v>1</v>
      </c>
      <c r="AQ26" s="203" t="s">
        <v>510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510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606</v>
      </c>
      <c r="C27" s="280">
        <v>1</v>
      </c>
      <c r="AQ27" s="203" t="s">
        <v>606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606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506</v>
      </c>
      <c r="C28" s="280">
        <v>1</v>
      </c>
      <c r="AQ28" s="249" t="s">
        <v>506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506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682</v>
      </c>
      <c r="C29" s="280">
        <v>1</v>
      </c>
      <c r="AQ29" s="249" t="s">
        <v>682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682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505</v>
      </c>
      <c r="C30" s="280">
        <v>1</v>
      </c>
      <c r="AQ30" s="203" t="s">
        <v>505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505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507</v>
      </c>
      <c r="C31" s="280">
        <v>1</v>
      </c>
      <c r="AQ31" s="201" t="s">
        <v>507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507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641</v>
      </c>
      <c r="C32" s="280">
        <v>1</v>
      </c>
      <c r="AQ32" s="203" t="s">
        <v>641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641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644</v>
      </c>
      <c r="C33" s="280">
        <v>1</v>
      </c>
      <c r="AQ33" s="203" t="s">
        <v>644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644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529</v>
      </c>
      <c r="C34" s="280">
        <v>1</v>
      </c>
      <c r="AQ34" s="203" t="s">
        <v>529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529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530</v>
      </c>
      <c r="C35" s="280">
        <v>1</v>
      </c>
      <c r="AQ35" s="203" t="s">
        <v>530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530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531</v>
      </c>
      <c r="C36" s="280">
        <v>1</v>
      </c>
      <c r="AQ36" s="203" t="s">
        <v>531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531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542</v>
      </c>
      <c r="C37" s="280">
        <v>1</v>
      </c>
      <c r="AQ37" s="203" t="s">
        <v>542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542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558</v>
      </c>
      <c r="AQ38" s="203"/>
      <c r="AR38" s="405" t="s">
        <v>555</v>
      </c>
      <c r="AS38" s="405"/>
      <c r="AT38" s="405"/>
      <c r="AU38" s="405"/>
      <c r="AV38" s="405"/>
      <c r="AW38" s="405"/>
      <c r="AX38" s="405"/>
      <c r="AY38" s="405"/>
      <c r="AZ38" s="405"/>
      <c r="BA38" s="405"/>
      <c r="BB38" s="405"/>
      <c r="BC38" s="405"/>
      <c r="BD38" s="405"/>
      <c r="BE38" s="405"/>
      <c r="BF38" s="405"/>
      <c r="BK38" s="203"/>
      <c r="BL38" s="405" t="s">
        <v>556</v>
      </c>
      <c r="BM38" s="405"/>
      <c r="BN38" s="405"/>
      <c r="BO38" s="405"/>
      <c r="BP38" s="405"/>
      <c r="BQ38" s="405"/>
      <c r="BR38" s="405"/>
      <c r="BS38" s="405"/>
      <c r="BT38" s="405"/>
      <c r="BU38" s="405"/>
      <c r="BV38" s="405"/>
      <c r="BW38" s="405"/>
      <c r="BX38" s="405"/>
      <c r="BY38" s="405"/>
      <c r="BZ38" s="405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540</v>
      </c>
      <c r="AV41" s="204" t="s">
        <v>519</v>
      </c>
      <c r="AW41" s="204" t="s">
        <v>518</v>
      </c>
      <c r="AX41" s="204" t="s">
        <v>432</v>
      </c>
      <c r="AY41" s="204" t="s">
        <v>429</v>
      </c>
      <c r="AZ41" s="204" t="s">
        <v>443</v>
      </c>
      <c r="BA41" s="204" t="s">
        <v>430</v>
      </c>
      <c r="BB41" s="204" t="s">
        <v>425</v>
      </c>
      <c r="BC41" s="204" t="s">
        <v>640</v>
      </c>
      <c r="BD41" s="204" t="s">
        <v>643</v>
      </c>
      <c r="BE41" s="204" t="s">
        <v>81</v>
      </c>
      <c r="BF41" s="204" t="s">
        <v>417</v>
      </c>
    </row>
    <row r="42" spans="2:78" x14ac:dyDescent="0.2">
      <c r="AQ42" s="201" t="s">
        <v>413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415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23054812.906863328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436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458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551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552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495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544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526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493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496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521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514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500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525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520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7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517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523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522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508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541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509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511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510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606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506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682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505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507</v>
      </c>
      <c r="AR71" s="280">
        <f t="shared" ref="AR71:BF71" si="6">AR112</f>
        <v>0</v>
      </c>
      <c r="AS71" s="280">
        <f t="shared" si="6"/>
        <v>0</v>
      </c>
      <c r="AT71" s="280">
        <f t="shared" si="6"/>
        <v>0</v>
      </c>
      <c r="AU71" s="280">
        <f t="shared" si="6"/>
        <v>0</v>
      </c>
      <c r="AV71" s="280">
        <f t="shared" si="6"/>
        <v>0</v>
      </c>
      <c r="AW71" s="280">
        <f t="shared" si="6"/>
        <v>0</v>
      </c>
      <c r="AX71" s="280">
        <f t="shared" si="6"/>
        <v>0</v>
      </c>
      <c r="AY71" s="280">
        <f t="shared" si="6"/>
        <v>0</v>
      </c>
      <c r="AZ71" s="280">
        <f t="shared" si="6"/>
        <v>0</v>
      </c>
      <c r="BA71" s="280">
        <f t="shared" si="6"/>
        <v>0</v>
      </c>
      <c r="BB71" s="280">
        <f t="shared" si="6"/>
        <v>0</v>
      </c>
      <c r="BC71" s="280">
        <f t="shared" si="6"/>
        <v>0</v>
      </c>
      <c r="BD71" s="280">
        <f t="shared" si="6"/>
        <v>0</v>
      </c>
      <c r="BE71" s="280">
        <f t="shared" si="6"/>
        <v>0</v>
      </c>
      <c r="BF71" s="280">
        <f t="shared" si="6"/>
        <v>0</v>
      </c>
    </row>
    <row r="72" spans="43:58" x14ac:dyDescent="0.2">
      <c r="AQ72" s="203" t="s">
        <v>641</v>
      </c>
      <c r="AR72" s="280">
        <f t="shared" ref="AR72:BF72" si="7">AR113</f>
        <v>0</v>
      </c>
      <c r="AS72" s="280">
        <f t="shared" si="7"/>
        <v>0</v>
      </c>
      <c r="AT72" s="280">
        <f t="shared" si="7"/>
        <v>0</v>
      </c>
      <c r="AU72" s="280">
        <f t="shared" si="7"/>
        <v>0</v>
      </c>
      <c r="AV72" s="280">
        <f t="shared" si="7"/>
        <v>0</v>
      </c>
      <c r="AW72" s="280">
        <f t="shared" si="7"/>
        <v>0</v>
      </c>
      <c r="AX72" s="280">
        <f t="shared" si="7"/>
        <v>0</v>
      </c>
      <c r="AY72" s="280">
        <f t="shared" si="7"/>
        <v>0</v>
      </c>
      <c r="AZ72" s="280">
        <f t="shared" si="7"/>
        <v>0</v>
      </c>
      <c r="BA72" s="280">
        <f t="shared" si="7"/>
        <v>0</v>
      </c>
      <c r="BB72" s="280">
        <f t="shared" si="7"/>
        <v>0</v>
      </c>
      <c r="BC72" s="280">
        <f t="shared" si="7"/>
        <v>0</v>
      </c>
      <c r="BD72" s="280">
        <f t="shared" si="7"/>
        <v>-23.917987170512152</v>
      </c>
      <c r="BE72" s="280">
        <f t="shared" si="7"/>
        <v>0</v>
      </c>
      <c r="BF72" s="280">
        <f t="shared" si="7"/>
        <v>0</v>
      </c>
    </row>
    <row r="73" spans="43:58" x14ac:dyDescent="0.2">
      <c r="AQ73" s="203" t="s">
        <v>644</v>
      </c>
      <c r="AR73" s="280">
        <f t="shared" ref="AR73:BF73" si="8">AR114</f>
        <v>0</v>
      </c>
      <c r="AS73" s="280">
        <f t="shared" si="8"/>
        <v>0</v>
      </c>
      <c r="AT73" s="280">
        <f t="shared" si="8"/>
        <v>0</v>
      </c>
      <c r="AU73" s="280">
        <f t="shared" si="8"/>
        <v>0</v>
      </c>
      <c r="AV73" s="280">
        <f t="shared" si="8"/>
        <v>0</v>
      </c>
      <c r="AW73" s="280">
        <f t="shared" si="8"/>
        <v>0</v>
      </c>
      <c r="AX73" s="280">
        <f t="shared" si="8"/>
        <v>0</v>
      </c>
      <c r="AY73" s="280">
        <f t="shared" si="8"/>
        <v>0</v>
      </c>
      <c r="AZ73" s="280">
        <f t="shared" si="8"/>
        <v>0</v>
      </c>
      <c r="BA73" s="280">
        <f t="shared" si="8"/>
        <v>0</v>
      </c>
      <c r="BB73" s="280">
        <f t="shared" si="8"/>
        <v>0</v>
      </c>
      <c r="BC73" s="280">
        <f t="shared" si="8"/>
        <v>0</v>
      </c>
      <c r="BD73" s="280">
        <f t="shared" si="8"/>
        <v>0</v>
      </c>
      <c r="BE73" s="280">
        <f t="shared" si="8"/>
        <v>0</v>
      </c>
      <c r="BF73" s="280">
        <f t="shared" si="8"/>
        <v>-23.917987170512156</v>
      </c>
    </row>
    <row r="74" spans="43:58" x14ac:dyDescent="0.2">
      <c r="AQ74" s="203" t="s">
        <v>529</v>
      </c>
      <c r="AR74" s="280">
        <f t="shared" ref="AR74:BF74" si="9">AR115</f>
        <v>0</v>
      </c>
      <c r="AS74" s="280">
        <f t="shared" si="9"/>
        <v>0</v>
      </c>
      <c r="AT74" s="280">
        <f t="shared" si="9"/>
        <v>0</v>
      </c>
      <c r="AU74" s="280">
        <f t="shared" si="9"/>
        <v>0</v>
      </c>
      <c r="AV74" s="280">
        <f t="shared" si="9"/>
        <v>0</v>
      </c>
      <c r="AW74" s="280">
        <f t="shared" si="9"/>
        <v>0</v>
      </c>
      <c r="AX74" s="280">
        <f t="shared" si="9"/>
        <v>0</v>
      </c>
      <c r="AY74" s="280">
        <f t="shared" si="9"/>
        <v>0</v>
      </c>
      <c r="AZ74" s="280">
        <f t="shared" si="9"/>
        <v>0</v>
      </c>
      <c r="BA74" s="280">
        <f t="shared" si="9"/>
        <v>0</v>
      </c>
      <c r="BB74" s="280">
        <f t="shared" si="9"/>
        <v>0</v>
      </c>
      <c r="BC74" s="280">
        <f t="shared" si="9"/>
        <v>0</v>
      </c>
      <c r="BD74" s="280">
        <f t="shared" si="9"/>
        <v>0</v>
      </c>
      <c r="BE74" s="280">
        <f t="shared" si="9"/>
        <v>0</v>
      </c>
      <c r="BF74" s="280">
        <f t="shared" si="9"/>
        <v>3963.8871338071585</v>
      </c>
    </row>
    <row r="75" spans="43:58" x14ac:dyDescent="0.2">
      <c r="AQ75" s="203" t="s">
        <v>530</v>
      </c>
      <c r="AR75" s="280">
        <f>AR116</f>
        <v>0</v>
      </c>
      <c r="AS75" s="280">
        <f t="shared" ref="AS75:BF77" si="10">AS116</f>
        <v>0</v>
      </c>
      <c r="AT75" s="280">
        <f t="shared" si="10"/>
        <v>0</v>
      </c>
      <c r="AU75" s="280">
        <f t="shared" si="10"/>
        <v>0</v>
      </c>
      <c r="AV75" s="280">
        <f t="shared" si="10"/>
        <v>0</v>
      </c>
      <c r="AW75" s="280">
        <f t="shared" si="10"/>
        <v>0</v>
      </c>
      <c r="AX75" s="280">
        <f t="shared" si="10"/>
        <v>0</v>
      </c>
      <c r="AY75" s="280">
        <f t="shared" si="10"/>
        <v>0</v>
      </c>
      <c r="AZ75" s="280">
        <f t="shared" si="10"/>
        <v>0</v>
      </c>
      <c r="BA75" s="280">
        <f t="shared" si="10"/>
        <v>0</v>
      </c>
      <c r="BB75" s="280">
        <f t="shared" si="10"/>
        <v>0</v>
      </c>
      <c r="BC75" s="280">
        <f t="shared" si="10"/>
        <v>0</v>
      </c>
      <c r="BD75" s="280">
        <f t="shared" si="10"/>
        <v>0</v>
      </c>
      <c r="BE75" s="280">
        <f t="shared" si="10"/>
        <v>0</v>
      </c>
      <c r="BF75" s="280">
        <f t="shared" si="10"/>
        <v>0</v>
      </c>
    </row>
    <row r="76" spans="43:58" x14ac:dyDescent="0.2">
      <c r="AQ76" s="203" t="s">
        <v>531</v>
      </c>
      <c r="AR76" s="280">
        <f>AR117</f>
        <v>0</v>
      </c>
      <c r="AS76" s="280">
        <f t="shared" si="10"/>
        <v>0</v>
      </c>
      <c r="AT76" s="280">
        <f t="shared" si="10"/>
        <v>0</v>
      </c>
      <c r="AU76" s="280">
        <f t="shared" si="10"/>
        <v>0</v>
      </c>
      <c r="AV76" s="280">
        <f t="shared" si="10"/>
        <v>0</v>
      </c>
      <c r="AW76" s="280">
        <f t="shared" si="10"/>
        <v>0</v>
      </c>
      <c r="AX76" s="280">
        <f t="shared" si="10"/>
        <v>0</v>
      </c>
      <c r="AY76" s="280">
        <f t="shared" si="10"/>
        <v>0</v>
      </c>
      <c r="AZ76" s="280">
        <f t="shared" si="10"/>
        <v>0</v>
      </c>
      <c r="BA76" s="280">
        <f t="shared" si="10"/>
        <v>0</v>
      </c>
      <c r="BB76" s="280">
        <f t="shared" si="10"/>
        <v>0</v>
      </c>
      <c r="BC76" s="280">
        <f t="shared" si="10"/>
        <v>0</v>
      </c>
      <c r="BD76" s="280">
        <f t="shared" si="10"/>
        <v>0</v>
      </c>
      <c r="BE76" s="280">
        <f t="shared" si="10"/>
        <v>0</v>
      </c>
      <c r="BF76" s="280">
        <f t="shared" si="10"/>
        <v>0</v>
      </c>
    </row>
    <row r="77" spans="43:58" x14ac:dyDescent="0.2">
      <c r="AQ77" s="203" t="s">
        <v>542</v>
      </c>
      <c r="AR77" s="280">
        <f>AR118</f>
        <v>0</v>
      </c>
      <c r="AS77" s="280">
        <f t="shared" si="10"/>
        <v>0</v>
      </c>
      <c r="AT77" s="280">
        <f t="shared" si="10"/>
        <v>0</v>
      </c>
      <c r="AU77" s="280">
        <f t="shared" si="10"/>
        <v>0</v>
      </c>
      <c r="AV77" s="280">
        <f t="shared" si="10"/>
        <v>0</v>
      </c>
      <c r="AW77" s="280">
        <f t="shared" si="10"/>
        <v>0</v>
      </c>
      <c r="AX77" s="280">
        <f t="shared" si="10"/>
        <v>0</v>
      </c>
      <c r="AY77" s="280">
        <f t="shared" si="10"/>
        <v>0</v>
      </c>
      <c r="AZ77" s="280">
        <f t="shared" si="10"/>
        <v>0</v>
      </c>
      <c r="BA77" s="280">
        <f t="shared" si="10"/>
        <v>0</v>
      </c>
      <c r="BB77" s="280">
        <f t="shared" si="10"/>
        <v>0</v>
      </c>
      <c r="BC77" s="280">
        <f t="shared" si="10"/>
        <v>0</v>
      </c>
      <c r="BD77" s="280">
        <f t="shared" si="10"/>
        <v>0</v>
      </c>
      <c r="BE77" s="280">
        <f t="shared" si="10"/>
        <v>0</v>
      </c>
      <c r="BF77" s="280">
        <f t="shared" si="10"/>
        <v>0</v>
      </c>
    </row>
    <row r="78" spans="43:58" x14ac:dyDescent="0.2">
      <c r="AQ78" s="203"/>
      <c r="AR78" s="405" t="s">
        <v>557</v>
      </c>
      <c r="AS78" s="405"/>
      <c r="AT78" s="405"/>
      <c r="AU78" s="405"/>
      <c r="AV78" s="405"/>
      <c r="AW78" s="405"/>
      <c r="AX78" s="405"/>
      <c r="AY78" s="405"/>
      <c r="AZ78" s="405"/>
      <c r="BA78" s="405"/>
      <c r="BB78" s="405"/>
      <c r="BC78" s="405"/>
      <c r="BD78" s="405"/>
      <c r="BE78" s="405"/>
      <c r="BF78" s="405"/>
    </row>
    <row r="82" spans="33:66" ht="112" x14ac:dyDescent="0.2">
      <c r="AQ82" s="256"/>
      <c r="AR82" s="204" t="s">
        <v>405</v>
      </c>
      <c r="AS82" s="204" t="s">
        <v>406</v>
      </c>
      <c r="AT82" s="204" t="s">
        <v>407</v>
      </c>
      <c r="AU82" s="204" t="s">
        <v>540</v>
      </c>
      <c r="AV82" s="204" t="s">
        <v>519</v>
      </c>
      <c r="AW82" s="204" t="s">
        <v>518</v>
      </c>
      <c r="AX82" s="204" t="s">
        <v>432</v>
      </c>
      <c r="AY82" s="204" t="s">
        <v>429</v>
      </c>
      <c r="AZ82" s="204" t="s">
        <v>443</v>
      </c>
      <c r="BA82" s="204" t="s">
        <v>430</v>
      </c>
      <c r="BB82" s="204" t="s">
        <v>425</v>
      </c>
      <c r="BC82" s="204" t="s">
        <v>640</v>
      </c>
      <c r="BD82" s="204" t="s">
        <v>643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Ore_to_PI!O218</f>
        <v>23054812.906863328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11">SUM(AR85:BF85)</f>
        <v>23054812.906863328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11"/>
        <v>0</v>
      </c>
      <c r="BK86" s="201" t="s">
        <v>436</v>
      </c>
      <c r="BL86" s="240"/>
      <c r="BM86" s="240"/>
      <c r="BN86" s="248">
        <f t="shared" ref="BN86:BN118" si="12">SUM(BL86:BM86)</f>
        <v>0</v>
      </c>
    </row>
    <row r="87" spans="33:66" x14ac:dyDescent="0.2">
      <c r="AG87" s="201"/>
      <c r="AH87" s="201"/>
      <c r="AQ87" s="201" t="s">
        <v>458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11"/>
        <v>-223.79999999999998</v>
      </c>
      <c r="BK87" s="201" t="s">
        <v>458</v>
      </c>
      <c r="BL87" s="240"/>
      <c r="BM87" s="240"/>
      <c r="BN87" s="248">
        <f t="shared" si="12"/>
        <v>0</v>
      </c>
    </row>
    <row r="88" spans="33:66" x14ac:dyDescent="0.2">
      <c r="AG88" s="201"/>
      <c r="AH88" s="201"/>
      <c r="AQ88" s="201" t="s">
        <v>551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11"/>
        <v>21382.808435999999</v>
      </c>
      <c r="BK88" s="201" t="s">
        <v>551</v>
      </c>
      <c r="BL88" s="240"/>
      <c r="BM88" s="240"/>
      <c r="BN88" s="248">
        <f t="shared" si="12"/>
        <v>0</v>
      </c>
    </row>
    <row r="89" spans="33:66" x14ac:dyDescent="0.2">
      <c r="AG89" s="201"/>
      <c r="AH89" s="201"/>
      <c r="AQ89" s="201" t="s">
        <v>552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11"/>
        <v>-250.1</v>
      </c>
      <c r="BK89" s="201" t="s">
        <v>552</v>
      </c>
      <c r="BL89" s="240"/>
      <c r="BM89" s="240"/>
      <c r="BN89" s="248">
        <f t="shared" si="12"/>
        <v>0</v>
      </c>
    </row>
    <row r="90" spans="33:66" x14ac:dyDescent="0.2">
      <c r="AG90" s="201"/>
      <c r="AH90" s="201"/>
      <c r="AQ90" s="201" t="s">
        <v>495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11"/>
        <v>5540.6175999999996</v>
      </c>
      <c r="BK90" s="201" t="s">
        <v>495</v>
      </c>
      <c r="BL90" s="240"/>
      <c r="BM90" s="240"/>
      <c r="BN90" s="248">
        <f t="shared" si="12"/>
        <v>0</v>
      </c>
    </row>
    <row r="91" spans="33:66" x14ac:dyDescent="0.2">
      <c r="AG91" s="201"/>
      <c r="AH91" s="201"/>
      <c r="AQ91" s="201" t="s">
        <v>544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11"/>
        <v>0</v>
      </c>
      <c r="BK91" s="201" t="s">
        <v>544</v>
      </c>
      <c r="BL91" s="240"/>
      <c r="BM91" s="240"/>
      <c r="BN91" s="248">
        <f t="shared" si="12"/>
        <v>0</v>
      </c>
    </row>
    <row r="92" spans="33:66" ht="16" x14ac:dyDescent="0.2">
      <c r="AG92" s="242"/>
      <c r="AH92" s="242"/>
      <c r="AQ92" s="202" t="s">
        <v>526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11"/>
        <v>-841.69623437072971</v>
      </c>
      <c r="BK92" s="202" t="s">
        <v>526</v>
      </c>
      <c r="BL92" s="240"/>
      <c r="BM92" s="240"/>
      <c r="BN92" s="248">
        <f t="shared" si="12"/>
        <v>0</v>
      </c>
    </row>
    <row r="93" spans="33:66" ht="16" x14ac:dyDescent="0.2">
      <c r="AG93" s="202"/>
      <c r="AH93" s="202"/>
      <c r="AQ93" s="201" t="s">
        <v>493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11"/>
        <v>0</v>
      </c>
      <c r="BK93" s="201" t="s">
        <v>493</v>
      </c>
      <c r="BL93" s="240"/>
      <c r="BM93" s="240">
        <f>Ore_to_PI!AH70</f>
        <v>-99.008821849873215</v>
      </c>
      <c r="BN93" s="248">
        <f t="shared" si="12"/>
        <v>-99.008821849873215</v>
      </c>
    </row>
    <row r="94" spans="33:66" ht="16" x14ac:dyDescent="0.2">
      <c r="AG94" s="203"/>
      <c r="AH94" s="203"/>
      <c r="AQ94" s="202" t="s">
        <v>496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11"/>
        <v>-1202.01</v>
      </c>
      <c r="BK94" s="202" t="s">
        <v>496</v>
      </c>
      <c r="BL94" s="240"/>
      <c r="BM94" s="244"/>
      <c r="BN94" s="248">
        <f t="shared" si="12"/>
        <v>0</v>
      </c>
    </row>
    <row r="95" spans="33:66" x14ac:dyDescent="0.2">
      <c r="AG95" s="203"/>
      <c r="AH95" s="203"/>
      <c r="AQ95" s="201" t="s">
        <v>521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11"/>
        <v>0</v>
      </c>
      <c r="BK95" s="201" t="s">
        <v>521</v>
      </c>
      <c r="BL95" s="240"/>
      <c r="BM95" s="240">
        <f>Ore_to_PI!AI149</f>
        <v>-98.84370786785361</v>
      </c>
      <c r="BN95" s="248">
        <f t="shared" si="12"/>
        <v>-98.84370786785361</v>
      </c>
    </row>
    <row r="96" spans="33:66" x14ac:dyDescent="0.2">
      <c r="AG96" s="203"/>
      <c r="AH96" s="203"/>
      <c r="AQ96" s="203" t="s">
        <v>514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11"/>
        <v>-284.89999999999998</v>
      </c>
      <c r="BK96" s="203" t="s">
        <v>514</v>
      </c>
      <c r="BL96" s="240"/>
      <c r="BM96" s="240"/>
      <c r="BN96" s="248">
        <f t="shared" si="12"/>
        <v>0</v>
      </c>
    </row>
    <row r="97" spans="33:71" x14ac:dyDescent="0.2">
      <c r="AG97" s="203"/>
      <c r="AH97" s="203"/>
      <c r="AQ97" s="201" t="s">
        <v>500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11"/>
        <v>0</v>
      </c>
      <c r="BK97" s="201" t="s">
        <v>500</v>
      </c>
      <c r="BL97" s="240"/>
      <c r="BM97" s="240">
        <f>Ore_to_PI!AI234</f>
        <v>-99.008821849873215</v>
      </c>
      <c r="BN97" s="248">
        <f t="shared" si="12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525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11"/>
        <v>-841.69623437072971</v>
      </c>
      <c r="BK98" s="202" t="s">
        <v>525</v>
      </c>
      <c r="BL98" s="240"/>
      <c r="BM98" s="240"/>
      <c r="BN98" s="248">
        <f t="shared" si="12"/>
        <v>0</v>
      </c>
    </row>
    <row r="99" spans="33:71" ht="16" x14ac:dyDescent="0.2">
      <c r="AG99" s="203"/>
      <c r="AH99" s="203"/>
      <c r="AQ99" s="202" t="s">
        <v>520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11"/>
        <v>-1202.01</v>
      </c>
      <c r="BK99" s="202" t="s">
        <v>520</v>
      </c>
      <c r="BL99" s="240"/>
      <c r="BM99" s="240"/>
      <c r="BN99" s="248">
        <f t="shared" si="12"/>
        <v>0</v>
      </c>
    </row>
    <row r="100" spans="33:71" ht="16" x14ac:dyDescent="0.2">
      <c r="AG100" s="203"/>
      <c r="AH100" s="203"/>
      <c r="AQ100" s="202" t="s">
        <v>517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11"/>
        <v>-284.89999999999998</v>
      </c>
      <c r="BK100" s="202" t="s">
        <v>517</v>
      </c>
      <c r="BL100" s="240"/>
      <c r="BM100" s="240"/>
      <c r="BN100" s="248">
        <f t="shared" si="12"/>
        <v>0</v>
      </c>
    </row>
    <row r="101" spans="33:71" ht="16" x14ac:dyDescent="0.2">
      <c r="AG101" s="249"/>
      <c r="AH101" s="249"/>
      <c r="AQ101" s="202" t="s">
        <v>523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11"/>
        <v>-834.48831000000007</v>
      </c>
      <c r="BK101" s="202" t="s">
        <v>523</v>
      </c>
      <c r="BL101" s="240"/>
      <c r="BM101" s="240"/>
      <c r="BN101" s="248">
        <f t="shared" si="12"/>
        <v>0</v>
      </c>
    </row>
    <row r="102" spans="33:71" x14ac:dyDescent="0.2">
      <c r="AG102" s="203"/>
      <c r="AH102" s="203"/>
      <c r="AQ102" s="203" t="s">
        <v>522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11"/>
        <v>0</v>
      </c>
      <c r="BH102" s="25"/>
      <c r="BI102" s="25"/>
      <c r="BK102" s="203" t="s">
        <v>522</v>
      </c>
      <c r="BL102" s="240"/>
      <c r="BM102" s="240">
        <f>Ore_to_PI!BT63</f>
        <v>-1454.2261001517452</v>
      </c>
      <c r="BN102" s="248">
        <f t="shared" si="12"/>
        <v>-1454.2261001517452</v>
      </c>
    </row>
    <row r="103" spans="33:71" x14ac:dyDescent="0.2">
      <c r="AG103" s="203"/>
      <c r="AH103" s="203"/>
      <c r="AQ103" s="203" t="s">
        <v>508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11"/>
        <v>-1202.01</v>
      </c>
      <c r="BK103" s="203" t="s">
        <v>508</v>
      </c>
      <c r="BL103" s="240"/>
      <c r="BM103" s="240"/>
      <c r="BN103" s="248">
        <f t="shared" si="12"/>
        <v>0</v>
      </c>
    </row>
    <row r="104" spans="33:71" x14ac:dyDescent="0.2">
      <c r="AG104" s="203"/>
      <c r="AH104" s="203"/>
      <c r="AQ104" s="203" t="s">
        <v>541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11"/>
        <v>-284.89999999999998</v>
      </c>
      <c r="BK104" s="203" t="s">
        <v>541</v>
      </c>
      <c r="BL104" s="240"/>
      <c r="BM104" s="240"/>
      <c r="BN104" s="248">
        <f t="shared" si="12"/>
        <v>0</v>
      </c>
    </row>
    <row r="105" spans="33:71" x14ac:dyDescent="0.2">
      <c r="AG105" s="203"/>
      <c r="AH105" s="203"/>
      <c r="AQ105" s="203" t="s">
        <v>509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11"/>
        <v>-634.9</v>
      </c>
      <c r="BK105" s="203" t="s">
        <v>509</v>
      </c>
      <c r="BL105" s="240"/>
      <c r="BM105" s="240"/>
      <c r="BN105" s="248">
        <f t="shared" si="12"/>
        <v>0</v>
      </c>
    </row>
    <row r="106" spans="33:71" x14ac:dyDescent="0.2">
      <c r="AG106" s="203"/>
      <c r="AH106" s="203"/>
      <c r="AQ106" s="203" t="s">
        <v>511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11"/>
        <v>0</v>
      </c>
      <c r="BK106" s="203" t="s">
        <v>511</v>
      </c>
      <c r="BL106" s="240"/>
      <c r="BM106" s="240">
        <f>Ore_to_PI!CP119</f>
        <v>-601.6</v>
      </c>
      <c r="BN106" s="248">
        <f t="shared" si="12"/>
        <v>-601.6</v>
      </c>
    </row>
    <row r="107" spans="33:71" x14ac:dyDescent="0.2">
      <c r="AG107" s="203"/>
      <c r="AH107" s="203"/>
      <c r="AQ107" s="203" t="s">
        <v>510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11"/>
        <v>0</v>
      </c>
      <c r="BK107" s="203" t="s">
        <v>510</v>
      </c>
      <c r="BL107" s="240"/>
      <c r="BM107" s="240">
        <f>Ore_to_PI!CP145</f>
        <v>-89.61674376121961</v>
      </c>
      <c r="BN107" s="248">
        <f t="shared" si="12"/>
        <v>-89.61674376121961</v>
      </c>
    </row>
    <row r="108" spans="33:71" x14ac:dyDescent="0.2">
      <c r="AG108" s="203"/>
      <c r="AH108" s="203"/>
      <c r="AQ108" s="203" t="s">
        <v>606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11"/>
        <v>6546468.5968566798</v>
      </c>
      <c r="BK108" s="203" t="s">
        <v>606</v>
      </c>
      <c r="BL108" s="240"/>
      <c r="BM108" s="240"/>
      <c r="BN108" s="248">
        <f t="shared" si="12"/>
        <v>0</v>
      </c>
    </row>
    <row r="109" spans="33:71" ht="16" x14ac:dyDescent="0.2">
      <c r="AG109" s="203"/>
      <c r="AH109" s="203"/>
      <c r="AQ109" s="249" t="s">
        <v>506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11"/>
        <v>-37.006500000000003</v>
      </c>
      <c r="BK109" s="249" t="s">
        <v>506</v>
      </c>
      <c r="BL109" s="240"/>
      <c r="BM109" s="240"/>
      <c r="BN109" s="248">
        <f t="shared" si="12"/>
        <v>0</v>
      </c>
    </row>
    <row r="110" spans="33:71" ht="16" x14ac:dyDescent="0.2">
      <c r="AG110" s="203"/>
      <c r="AH110" s="203"/>
      <c r="AQ110" s="249" t="s">
        <v>682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11"/>
        <v>0</v>
      </c>
      <c r="BK110" s="249" t="s">
        <v>682</v>
      </c>
      <c r="BL110" s="240"/>
      <c r="BM110" s="240">
        <f>Ore_to_PI!CP282</f>
        <v>-221.69899000000004</v>
      </c>
      <c r="BN110" s="248">
        <f t="shared" si="12"/>
        <v>-221.69899000000004</v>
      </c>
    </row>
    <row r="111" spans="33:71" x14ac:dyDescent="0.2">
      <c r="AG111" s="203"/>
      <c r="AH111" s="203"/>
      <c r="AQ111" s="203" t="s">
        <v>505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11"/>
        <v>0</v>
      </c>
      <c r="BK111" s="203" t="s">
        <v>505</v>
      </c>
      <c r="BL111" s="240"/>
      <c r="BM111" s="240">
        <f>Ore_to_PI!CP228</f>
        <v>-284.89999999999998</v>
      </c>
      <c r="BN111" s="248">
        <f t="shared" si="12"/>
        <v>-284.89999999999998</v>
      </c>
    </row>
    <row r="112" spans="33:71" x14ac:dyDescent="0.2">
      <c r="AG112" s="203"/>
      <c r="AH112" s="203"/>
      <c r="AQ112" s="201" t="s">
        <v>507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11"/>
        <v>0</v>
      </c>
      <c r="BK112" s="201" t="s">
        <v>507</v>
      </c>
      <c r="BL112" s="240"/>
      <c r="BM112" s="240">
        <f>Ore_to_PI!CP258</f>
        <v>-89.542108138870873</v>
      </c>
      <c r="BN112" s="248">
        <f t="shared" si="12"/>
        <v>-89.542108138870873</v>
      </c>
    </row>
    <row r="113" spans="2:66" x14ac:dyDescent="0.2">
      <c r="AG113" s="203"/>
      <c r="AH113" s="203"/>
      <c r="AQ113" s="203" t="s">
        <v>641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11"/>
        <v>-23.917987170512152</v>
      </c>
      <c r="BK113" s="203" t="s">
        <v>641</v>
      </c>
      <c r="BL113" s="240"/>
      <c r="BM113" s="240"/>
      <c r="BN113" s="248">
        <f t="shared" si="12"/>
        <v>0</v>
      </c>
    </row>
    <row r="114" spans="2:66" x14ac:dyDescent="0.2">
      <c r="AG114" s="203"/>
      <c r="AH114" s="203"/>
      <c r="AQ114" s="203" t="s">
        <v>644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11"/>
        <v>-23.917987170512156</v>
      </c>
      <c r="BK114" s="203" t="s">
        <v>644</v>
      </c>
      <c r="BL114" s="240">
        <f>Ore_to_PI!EZ241</f>
        <v>-23.917987170512156</v>
      </c>
      <c r="BM114" s="240"/>
      <c r="BN114" s="248">
        <f t="shared" si="12"/>
        <v>-23.917987170512156</v>
      </c>
    </row>
    <row r="115" spans="2:66" x14ac:dyDescent="0.2">
      <c r="AG115" s="203"/>
      <c r="AH115" s="203"/>
      <c r="AQ115" s="203" t="s">
        <v>529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11"/>
        <v>3963.8871338071585</v>
      </c>
      <c r="BK115" s="203" t="s">
        <v>529</v>
      </c>
      <c r="BL115" s="240"/>
      <c r="BM115" s="240"/>
      <c r="BN115" s="248">
        <f t="shared" si="12"/>
        <v>0</v>
      </c>
    </row>
    <row r="116" spans="2:66" x14ac:dyDescent="0.2">
      <c r="AG116" s="203"/>
      <c r="AH116" s="203"/>
      <c r="AQ116" s="203" t="s">
        <v>530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11"/>
        <v>0</v>
      </c>
      <c r="BK116" s="203" t="s">
        <v>530</v>
      </c>
      <c r="BL116" s="240">
        <f>Ore_to_PI!FF131</f>
        <v>0</v>
      </c>
      <c r="BM116" s="240"/>
      <c r="BN116" s="248">
        <f t="shared" si="12"/>
        <v>0</v>
      </c>
    </row>
    <row r="117" spans="2:66" x14ac:dyDescent="0.2">
      <c r="AG117" s="203"/>
      <c r="AH117" s="203"/>
      <c r="AQ117" s="203" t="s">
        <v>531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11"/>
        <v>0</v>
      </c>
      <c r="BK117" s="203" t="s">
        <v>531</v>
      </c>
      <c r="BL117" s="240"/>
      <c r="BM117" s="240">
        <f>Ore_to_PI!FF149</f>
        <v>-126.30390709179704</v>
      </c>
      <c r="BN117" s="248">
        <f t="shared" si="12"/>
        <v>-126.30390709179704</v>
      </c>
    </row>
    <row r="118" spans="2:66" x14ac:dyDescent="0.2">
      <c r="AG118" s="203"/>
      <c r="AH118" s="203"/>
      <c r="AQ118" s="203" t="s">
        <v>542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11"/>
        <v>0</v>
      </c>
      <c r="BK118" s="203" t="s">
        <v>542</v>
      </c>
      <c r="BL118" s="240"/>
      <c r="BM118" s="240">
        <f>Ore_to_PI!FF109</f>
        <v>-89.61</v>
      </c>
      <c r="BN118" s="248">
        <f t="shared" si="12"/>
        <v>-89.61</v>
      </c>
    </row>
    <row r="119" spans="2:66" x14ac:dyDescent="0.2">
      <c r="AG119" s="203"/>
      <c r="AH119" s="203"/>
      <c r="AQ119" s="203"/>
      <c r="AR119" s="405" t="s">
        <v>408</v>
      </c>
      <c r="AS119" s="405"/>
      <c r="AT119" s="405"/>
      <c r="AU119" s="405"/>
      <c r="AV119" s="405"/>
      <c r="AW119" s="405"/>
      <c r="AX119" s="405"/>
      <c r="AY119" s="405"/>
      <c r="AZ119" s="405"/>
      <c r="BA119" s="405"/>
      <c r="BB119" s="405"/>
      <c r="BC119" s="405"/>
      <c r="BD119" s="405"/>
      <c r="BE119" s="405"/>
      <c r="BF119" s="405"/>
      <c r="BG119" s="25" t="s">
        <v>450</v>
      </c>
      <c r="BL119" s="405" t="s">
        <v>410</v>
      </c>
      <c r="BM119" s="405"/>
      <c r="BN119" s="25" t="s">
        <v>462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23061940.509675328</v>
      </c>
      <c r="AU120" s="248">
        <f t="shared" ref="AU120:BF120" si="13">SUM(AU83:AU118)</f>
        <v>-841.69623437072971</v>
      </c>
      <c r="AV120" s="248">
        <f t="shared" si="13"/>
        <v>-1202.01</v>
      </c>
      <c r="AW120" s="248">
        <f t="shared" si="13"/>
        <v>-284.89999999999998</v>
      </c>
      <c r="AX120" s="248">
        <f t="shared" si="13"/>
        <v>-841.69623437072971</v>
      </c>
      <c r="AY120" s="248">
        <f t="shared" si="13"/>
        <v>-1202.01</v>
      </c>
      <c r="AZ120" s="248">
        <f t="shared" si="13"/>
        <v>-284.89999999999998</v>
      </c>
      <c r="BA120" s="248">
        <f t="shared" si="13"/>
        <v>-1276.6099999999999</v>
      </c>
      <c r="BB120" s="248">
        <f t="shared" si="13"/>
        <v>-359.5</v>
      </c>
      <c r="BC120" s="248">
        <f t="shared" si="13"/>
        <v>-37.006500000000003</v>
      </c>
      <c r="BD120" s="248">
        <f t="shared" si="13"/>
        <v>-23.917987170512152</v>
      </c>
      <c r="BE120" s="248">
        <f t="shared" si="13"/>
        <v>6544999.2085466795</v>
      </c>
      <c r="BF120" s="248">
        <f t="shared" si="13"/>
        <v>9405.986746636645</v>
      </c>
      <c r="BL120" s="25"/>
      <c r="BM120" s="25"/>
    </row>
    <row r="121" spans="2:66" ht="13" customHeight="1" x14ac:dyDescent="0.2">
      <c r="C121" s="406"/>
      <c r="D121" s="406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5" t="s">
        <v>449</v>
      </c>
      <c r="AS121" s="405"/>
      <c r="AT121" s="405"/>
      <c r="AU121" s="405"/>
      <c r="AV121" s="405"/>
      <c r="AW121" s="405"/>
      <c r="AX121" s="405"/>
      <c r="AY121" s="405"/>
      <c r="AZ121" s="405"/>
      <c r="BA121" s="405"/>
      <c r="BB121" s="405"/>
      <c r="BC121" s="405"/>
      <c r="BD121" s="405"/>
      <c r="BE121" s="405"/>
      <c r="BF121" s="405"/>
      <c r="BL121" s="25"/>
      <c r="BM121" s="25"/>
    </row>
    <row r="122" spans="2:66" ht="236" x14ac:dyDescent="0.2">
      <c r="B122" s="236"/>
      <c r="C122" s="204" t="s">
        <v>413</v>
      </c>
      <c r="D122" s="204" t="s">
        <v>415</v>
      </c>
      <c r="E122" s="204" t="s">
        <v>416</v>
      </c>
      <c r="F122" s="204" t="s">
        <v>436</v>
      </c>
      <c r="G122" s="204" t="s">
        <v>458</v>
      </c>
      <c r="H122" s="204" t="s">
        <v>551</v>
      </c>
      <c r="I122" s="204" t="s">
        <v>552</v>
      </c>
      <c r="J122" s="204" t="s">
        <v>495</v>
      </c>
      <c r="K122" s="204" t="s">
        <v>544</v>
      </c>
      <c r="L122" s="206" t="s">
        <v>526</v>
      </c>
      <c r="M122" s="204" t="s">
        <v>493</v>
      </c>
      <c r="N122" s="206" t="s">
        <v>496</v>
      </c>
      <c r="O122" s="204" t="s">
        <v>521</v>
      </c>
      <c r="P122" s="207" t="s">
        <v>514</v>
      </c>
      <c r="Q122" s="204" t="s">
        <v>500</v>
      </c>
      <c r="R122" s="206" t="s">
        <v>525</v>
      </c>
      <c r="S122" s="206" t="s">
        <v>520</v>
      </c>
      <c r="T122" s="206" t="s">
        <v>517</v>
      </c>
      <c r="U122" s="206" t="s">
        <v>523</v>
      </c>
      <c r="V122" s="207" t="s">
        <v>522</v>
      </c>
      <c r="W122" s="207" t="s">
        <v>508</v>
      </c>
      <c r="X122" s="207" t="s">
        <v>541</v>
      </c>
      <c r="Y122" s="207" t="s">
        <v>509</v>
      </c>
      <c r="Z122" s="207" t="s">
        <v>511</v>
      </c>
      <c r="AA122" s="207" t="s">
        <v>510</v>
      </c>
      <c r="AB122" s="207" t="s">
        <v>606</v>
      </c>
      <c r="AC122" s="229" t="s">
        <v>506</v>
      </c>
      <c r="AD122" s="229" t="s">
        <v>682</v>
      </c>
      <c r="AE122" s="207" t="s">
        <v>505</v>
      </c>
      <c r="AF122" s="204" t="s">
        <v>551</v>
      </c>
      <c r="AG122" s="204" t="s">
        <v>552</v>
      </c>
      <c r="AH122" s="204" t="s">
        <v>544</v>
      </c>
      <c r="AI122" s="206" t="s">
        <v>526</v>
      </c>
      <c r="AJ122" s="204" t="s">
        <v>493</v>
      </c>
      <c r="AK122" s="206" t="s">
        <v>496</v>
      </c>
      <c r="AL122" s="204" t="s">
        <v>521</v>
      </c>
      <c r="AM122" s="207" t="s">
        <v>514</v>
      </c>
    </row>
    <row r="123" spans="2:66" x14ac:dyDescent="0.2">
      <c r="B123" s="201" t="s">
        <v>405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>
        <f>Ore_to_PI!BE52</f>
        <v>0</v>
      </c>
      <c r="AJ123" s="227">
        <f>Ore_to_PI!BE70</f>
        <v>0</v>
      </c>
      <c r="AK123" s="227"/>
      <c r="AL123" s="227"/>
      <c r="AM123" s="227"/>
    </row>
    <row r="124" spans="2:66" x14ac:dyDescent="0.2">
      <c r="B124" s="201" t="s">
        <v>406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>
        <f>Ore_to_PI!BF132</f>
        <v>0</v>
      </c>
      <c r="AL124" s="227">
        <f>Ore_to_PI!BF149</f>
        <v>0</v>
      </c>
      <c r="AM124" s="227"/>
    </row>
    <row r="125" spans="2:66" x14ac:dyDescent="0.2">
      <c r="B125" s="201" t="s">
        <v>407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27">
        <f>Ore_to_PI!BF217</f>
        <v>-20.915097846405036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540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27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519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518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432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429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443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430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-89.61674376121961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/>
      <c r="AG133" s="227"/>
      <c r="AH133" s="227"/>
      <c r="AI133" s="227"/>
      <c r="AJ133" s="227"/>
      <c r="AK133" s="227"/>
      <c r="AL133" s="227"/>
      <c r="AM133" s="227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640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</row>
    <row r="135" spans="2:65" x14ac:dyDescent="0.2">
      <c r="B135" s="201" t="s">
        <v>643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/>
      <c r="AI136" s="227"/>
      <c r="AJ136" s="227"/>
      <c r="AK136" s="227"/>
      <c r="AL136" s="227"/>
      <c r="AM136" s="227"/>
    </row>
    <row r="137" spans="2:65" x14ac:dyDescent="0.2">
      <c r="B137" s="201" t="s">
        <v>417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/>
      <c r="AK137" s="227"/>
      <c r="AL137" s="227"/>
      <c r="AM137" s="227"/>
    </row>
    <row r="138" spans="2:65" x14ac:dyDescent="0.2">
      <c r="B138" s="201"/>
      <c r="C138" s="405" t="s">
        <v>409</v>
      </c>
      <c r="D138" s="405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05"/>
      <c r="P138" s="405"/>
      <c r="Q138" s="405"/>
      <c r="R138" s="405"/>
      <c r="S138" s="405"/>
      <c r="T138" s="405"/>
      <c r="U138" s="405"/>
      <c r="V138" s="405"/>
      <c r="W138" s="405"/>
      <c r="X138" s="405"/>
      <c r="Y138" s="405"/>
      <c r="Z138" s="405"/>
      <c r="AA138" s="405"/>
      <c r="AB138" s="405"/>
      <c r="AC138" s="405"/>
      <c r="AD138" s="405"/>
      <c r="AE138" s="405"/>
      <c r="AF138" s="405"/>
      <c r="AG138" s="405"/>
      <c r="AH138" s="405"/>
      <c r="AI138" s="405"/>
      <c r="AJ138" s="405"/>
      <c r="AK138" s="405"/>
      <c r="AL138" s="405"/>
      <c r="AM138" s="25" t="s">
        <v>446</v>
      </c>
      <c r="AN138" s="25"/>
    </row>
    <row r="139" spans="2:65" x14ac:dyDescent="0.2">
      <c r="B139" s="201"/>
      <c r="C139" s="248">
        <f t="shared" ref="C139:G139" si="14">SUM(C123:C137)</f>
        <v>0</v>
      </c>
      <c r="D139" s="248">
        <f t="shared" si="14"/>
        <v>0</v>
      </c>
      <c r="E139" s="248">
        <f t="shared" si="14"/>
        <v>0</v>
      </c>
      <c r="F139" s="248">
        <f t="shared" si="14"/>
        <v>0</v>
      </c>
      <c r="G139" s="248">
        <f t="shared" si="14"/>
        <v>0</v>
      </c>
      <c r="H139" s="248">
        <f t="shared" ref="H139:AL139" si="15">SUM(H123:H137)</f>
        <v>0</v>
      </c>
      <c r="I139" s="248">
        <f t="shared" si="15"/>
        <v>0</v>
      </c>
      <c r="J139" s="248">
        <f t="shared" si="15"/>
        <v>0</v>
      </c>
      <c r="K139" s="248">
        <f t="shared" si="15"/>
        <v>0</v>
      </c>
      <c r="L139" s="248">
        <f t="shared" si="15"/>
        <v>-841.69623437072971</v>
      </c>
      <c r="M139" s="248">
        <f t="shared" si="15"/>
        <v>-99.008821849873215</v>
      </c>
      <c r="N139" s="248">
        <f t="shared" si="15"/>
        <v>-1202.01</v>
      </c>
      <c r="O139" s="248">
        <f t="shared" si="15"/>
        <v>-98.84370786785361</v>
      </c>
      <c r="P139" s="248">
        <f t="shared" si="15"/>
        <v>-284.89999999999998</v>
      </c>
      <c r="Q139" s="248">
        <f t="shared" si="15"/>
        <v>-99.008821849873215</v>
      </c>
      <c r="R139" s="248">
        <f t="shared" si="15"/>
        <v>-841.69623437072971</v>
      </c>
      <c r="S139" s="248">
        <f t="shared" si="15"/>
        <v>-1202.01</v>
      </c>
      <c r="T139" s="248">
        <f t="shared" si="15"/>
        <v>-284.89999999999998</v>
      </c>
      <c r="U139" s="248">
        <f t="shared" si="15"/>
        <v>-834.48831000000007</v>
      </c>
      <c r="V139" s="248">
        <f t="shared" si="15"/>
        <v>-1454.2261001517452</v>
      </c>
      <c r="W139" s="248">
        <f t="shared" si="15"/>
        <v>-1202.01</v>
      </c>
      <c r="X139" s="248">
        <f t="shared" si="15"/>
        <v>-284.89999999999998</v>
      </c>
      <c r="Y139" s="248">
        <f t="shared" si="15"/>
        <v>-634.9</v>
      </c>
      <c r="Z139" s="248">
        <f t="shared" si="15"/>
        <v>-601.6</v>
      </c>
      <c r="AA139" s="248">
        <f t="shared" si="15"/>
        <v>-89.61674376121961</v>
      </c>
      <c r="AB139" s="248">
        <f t="shared" si="15"/>
        <v>6546468.5968566798</v>
      </c>
      <c r="AC139" s="248">
        <f t="shared" si="15"/>
        <v>-37.006500000000003</v>
      </c>
      <c r="AD139" s="248">
        <f t="shared" si="15"/>
        <v>-221.69899000000004</v>
      </c>
      <c r="AE139" s="248">
        <f t="shared" si="15"/>
        <v>-284.89999999999998</v>
      </c>
      <c r="AF139" s="248">
        <f t="shared" si="15"/>
        <v>0</v>
      </c>
      <c r="AG139" s="248">
        <f t="shared" si="15"/>
        <v>0</v>
      </c>
      <c r="AH139" s="248">
        <f t="shared" si="15"/>
        <v>0</v>
      </c>
      <c r="AI139" s="248">
        <f t="shared" si="15"/>
        <v>0</v>
      </c>
      <c r="AJ139" s="248">
        <f t="shared" si="15"/>
        <v>0</v>
      </c>
      <c r="AK139" s="248">
        <f t="shared" si="15"/>
        <v>0</v>
      </c>
      <c r="AL139" s="248">
        <f t="shared" si="15"/>
        <v>0</v>
      </c>
    </row>
    <row r="140" spans="2:65" x14ac:dyDescent="0.2">
      <c r="B140" s="201"/>
      <c r="C140" s="405" t="s">
        <v>447</v>
      </c>
      <c r="D140" s="405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05"/>
      <c r="P140" s="405"/>
      <c r="Q140" s="405"/>
      <c r="R140" s="405"/>
      <c r="S140" s="405"/>
      <c r="T140" s="405"/>
      <c r="U140" s="405"/>
      <c r="V140" s="405"/>
      <c r="W140" s="405"/>
      <c r="X140" s="405"/>
      <c r="Y140" s="405"/>
      <c r="Z140" s="405"/>
      <c r="AA140" s="405"/>
      <c r="AB140" s="405"/>
      <c r="AC140" s="405"/>
      <c r="AD140" s="405"/>
      <c r="AE140" s="405"/>
      <c r="AF140" s="405"/>
      <c r="AG140" s="405"/>
      <c r="AH140" s="405"/>
      <c r="AI140" s="405"/>
      <c r="AJ140" s="405"/>
      <c r="AK140" s="405"/>
      <c r="AL140" s="405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413</v>
      </c>
      <c r="D151" s="204" t="s">
        <v>415</v>
      </c>
      <c r="E151" s="204" t="s">
        <v>416</v>
      </c>
      <c r="F151" s="204" t="s">
        <v>436</v>
      </c>
      <c r="G151" s="204" t="s">
        <v>458</v>
      </c>
      <c r="H151" s="204" t="s">
        <v>551</v>
      </c>
      <c r="I151" s="204" t="s">
        <v>552</v>
      </c>
      <c r="J151" s="204" t="s">
        <v>495</v>
      </c>
      <c r="K151" s="204" t="s">
        <v>544</v>
      </c>
      <c r="L151" s="206" t="s">
        <v>526</v>
      </c>
      <c r="M151" s="204" t="s">
        <v>493</v>
      </c>
      <c r="N151" s="206" t="s">
        <v>496</v>
      </c>
      <c r="O151" s="204" t="s">
        <v>521</v>
      </c>
      <c r="P151" s="207" t="s">
        <v>514</v>
      </c>
      <c r="Q151" s="204" t="s">
        <v>500</v>
      </c>
      <c r="R151" s="206" t="s">
        <v>525</v>
      </c>
      <c r="S151" s="206" t="s">
        <v>520</v>
      </c>
      <c r="T151" s="206" t="s">
        <v>517</v>
      </c>
      <c r="U151" s="206" t="s">
        <v>523</v>
      </c>
      <c r="V151" s="207" t="s">
        <v>522</v>
      </c>
      <c r="W151" s="207" t="s">
        <v>508</v>
      </c>
      <c r="X151" s="207" t="s">
        <v>541</v>
      </c>
      <c r="Y151" s="207" t="s">
        <v>509</v>
      </c>
      <c r="Z151" s="207" t="s">
        <v>511</v>
      </c>
      <c r="AA151" s="207" t="s">
        <v>510</v>
      </c>
      <c r="AB151" s="207" t="s">
        <v>606</v>
      </c>
      <c r="AC151" s="229" t="s">
        <v>506</v>
      </c>
      <c r="AD151" s="229" t="s">
        <v>682</v>
      </c>
      <c r="AE151" s="207" t="s">
        <v>505</v>
      </c>
      <c r="AF151" s="204" t="s">
        <v>507</v>
      </c>
      <c r="AG151" s="207" t="s">
        <v>641</v>
      </c>
      <c r="AH151" s="207" t="s">
        <v>644</v>
      </c>
      <c r="AI151" s="207" t="s">
        <v>529</v>
      </c>
      <c r="AJ151" s="207" t="s">
        <v>530</v>
      </c>
      <c r="AK151" s="207" t="s">
        <v>531</v>
      </c>
      <c r="AL151" s="207" t="s">
        <v>542</v>
      </c>
      <c r="AM151" s="207"/>
      <c r="AN151" s="207"/>
    </row>
    <row r="152" spans="2:44" x14ac:dyDescent="0.2">
      <c r="B152" s="201" t="s">
        <v>412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437</v>
      </c>
      <c r="C154" s="240"/>
      <c r="D154" s="240"/>
      <c r="E154" s="240">
        <f>Ore_to_PI!O218</f>
        <v>23054812.906863328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461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457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554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553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494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543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5" t="s">
        <v>57</v>
      </c>
      <c r="D161" s="405"/>
      <c r="E161" s="405"/>
      <c r="F161" s="405"/>
      <c r="G161" s="405"/>
      <c r="H161" s="405"/>
      <c r="I161" s="405"/>
      <c r="J161" s="405"/>
      <c r="K161" s="405"/>
      <c r="L161" s="405"/>
      <c r="M161" s="405"/>
      <c r="N161" s="405"/>
      <c r="O161" s="405"/>
      <c r="P161" s="405"/>
      <c r="Q161" s="405"/>
      <c r="R161" s="405"/>
      <c r="S161" s="405"/>
      <c r="T161" s="405"/>
      <c r="U161" s="405"/>
      <c r="V161" s="405"/>
      <c r="W161" s="405"/>
      <c r="X161" s="405"/>
      <c r="Y161" s="405"/>
      <c r="Z161" s="405"/>
      <c r="AA161" s="405"/>
      <c r="AB161" s="405"/>
      <c r="AC161" s="405"/>
      <c r="AD161" s="405"/>
      <c r="AE161" s="405"/>
      <c r="AF161" s="405"/>
      <c r="AG161" s="405"/>
      <c r="AH161" s="405"/>
      <c r="AI161" s="405"/>
      <c r="AJ161" s="405"/>
      <c r="AK161" s="405"/>
      <c r="AL161" s="405"/>
      <c r="AM161" s="25"/>
      <c r="AN161" s="25"/>
    </row>
    <row r="162" spans="2:40" x14ac:dyDescent="0.2">
      <c r="C162" s="248">
        <f t="shared" ref="C162:AL162" si="16">SUM(C152:C160)</f>
        <v>-841.69623437072971</v>
      </c>
      <c r="D162" s="248">
        <f t="shared" si="16"/>
        <v>-1202.01</v>
      </c>
      <c r="E162" s="248">
        <f t="shared" si="16"/>
        <v>23054812.906863328</v>
      </c>
      <c r="F162" s="248">
        <f t="shared" si="16"/>
        <v>0</v>
      </c>
      <c r="G162" s="248">
        <f t="shared" si="16"/>
        <v>-74.599999999999994</v>
      </c>
      <c r="H162" s="248">
        <f t="shared" si="16"/>
        <v>7127.6028120000001</v>
      </c>
      <c r="I162" s="248">
        <f t="shared" si="16"/>
        <v>-250.1</v>
      </c>
      <c r="J162" s="248">
        <f t="shared" si="16"/>
        <v>5540.6175999999996</v>
      </c>
      <c r="K162" s="248">
        <f t="shared" si="16"/>
        <v>0</v>
      </c>
      <c r="L162" s="248">
        <f t="shared" si="16"/>
        <v>0</v>
      </c>
      <c r="M162" s="248">
        <f t="shared" si="16"/>
        <v>0</v>
      </c>
      <c r="N162" s="248">
        <f t="shared" si="16"/>
        <v>0</v>
      </c>
      <c r="O162" s="248">
        <f t="shared" si="16"/>
        <v>0</v>
      </c>
      <c r="P162" s="248">
        <f t="shared" si="16"/>
        <v>0</v>
      </c>
      <c r="Q162" s="248">
        <f t="shared" si="16"/>
        <v>0</v>
      </c>
      <c r="R162" s="248">
        <f t="shared" si="16"/>
        <v>0</v>
      </c>
      <c r="S162" s="248">
        <f t="shared" si="16"/>
        <v>0</v>
      </c>
      <c r="T162" s="248">
        <f t="shared" si="16"/>
        <v>0</v>
      </c>
      <c r="U162" s="248">
        <f t="shared" si="16"/>
        <v>0</v>
      </c>
      <c r="V162" s="248">
        <f t="shared" si="16"/>
        <v>0</v>
      </c>
      <c r="W162" s="248">
        <f t="shared" si="16"/>
        <v>0</v>
      </c>
      <c r="X162" s="248">
        <f t="shared" si="16"/>
        <v>0</v>
      </c>
      <c r="Y162" s="248">
        <f t="shared" si="16"/>
        <v>0</v>
      </c>
      <c r="Z162" s="248">
        <f t="shared" si="16"/>
        <v>0</v>
      </c>
      <c r="AA162" s="248">
        <f t="shared" si="16"/>
        <v>0</v>
      </c>
      <c r="AB162" s="248">
        <f t="shared" si="16"/>
        <v>0</v>
      </c>
      <c r="AC162" s="248">
        <f t="shared" si="16"/>
        <v>0</v>
      </c>
      <c r="AD162" s="248">
        <f t="shared" si="16"/>
        <v>0</v>
      </c>
      <c r="AE162" s="248">
        <f t="shared" si="16"/>
        <v>0</v>
      </c>
      <c r="AF162" s="248">
        <f t="shared" si="16"/>
        <v>0</v>
      </c>
      <c r="AG162" s="248">
        <f t="shared" si="16"/>
        <v>0</v>
      </c>
      <c r="AH162" s="248">
        <f t="shared" si="16"/>
        <v>0</v>
      </c>
      <c r="AI162" s="248">
        <f t="shared" si="16"/>
        <v>0</v>
      </c>
      <c r="AJ162" s="248">
        <f t="shared" si="16"/>
        <v>0</v>
      </c>
      <c r="AK162" s="248">
        <f t="shared" si="16"/>
        <v>0</v>
      </c>
      <c r="AL162" s="248">
        <f t="shared" si="16"/>
        <v>0</v>
      </c>
    </row>
    <row r="163" spans="2:40" x14ac:dyDescent="0.2">
      <c r="C163" s="405" t="s">
        <v>448</v>
      </c>
      <c r="D163" s="405"/>
      <c r="E163" s="405"/>
      <c r="F163" s="405"/>
      <c r="G163" s="405"/>
      <c r="H163" s="405"/>
      <c r="I163" s="405"/>
      <c r="J163" s="405"/>
      <c r="K163" s="405"/>
      <c r="L163" s="405"/>
      <c r="M163" s="405"/>
      <c r="N163" s="405"/>
      <c r="O163" s="405"/>
      <c r="P163" s="405"/>
      <c r="Q163" s="405"/>
      <c r="R163" s="405"/>
      <c r="S163" s="405"/>
      <c r="T163" s="405"/>
      <c r="U163" s="405"/>
      <c r="V163" s="405"/>
      <c r="W163" s="405"/>
      <c r="X163" s="405"/>
      <c r="Y163" s="405"/>
      <c r="Z163" s="405"/>
      <c r="AA163" s="405"/>
      <c r="AB163" s="405"/>
      <c r="AC163" s="405"/>
      <c r="AD163" s="405"/>
      <c r="AE163" s="405"/>
      <c r="AF163" s="405"/>
      <c r="AG163" s="405"/>
      <c r="AH163" s="405"/>
      <c r="AI163" s="405"/>
      <c r="AJ163" s="405"/>
      <c r="AK163" s="405"/>
      <c r="AL163" s="405"/>
      <c r="AM163" s="25"/>
      <c r="AN163" s="25"/>
    </row>
    <row r="167" spans="2:40" x14ac:dyDescent="0.2">
      <c r="C167" s="405" t="s">
        <v>638</v>
      </c>
      <c r="D167" s="405"/>
      <c r="E167" s="405"/>
      <c r="F167" s="405"/>
      <c r="G167" s="405"/>
      <c r="H167" s="405"/>
      <c r="I167" s="405"/>
      <c r="J167" s="405"/>
      <c r="K167" s="405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413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 t="shared" ref="G170:G196" si="17"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415</v>
      </c>
      <c r="C171" s="248">
        <v>-1202.01</v>
      </c>
      <c r="E171" s="248">
        <v>0</v>
      </c>
      <c r="G171" s="248">
        <f t="shared" si="17"/>
        <v>-1202.01</v>
      </c>
      <c r="I171" s="248">
        <v>0</v>
      </c>
      <c r="K171" s="295">
        <f t="shared" ref="K171:K205" si="18">C171+E171-G171-I171</f>
        <v>0</v>
      </c>
    </row>
    <row r="172" spans="2:40" x14ac:dyDescent="0.2">
      <c r="B172" s="201" t="s">
        <v>416</v>
      </c>
      <c r="C172" s="248">
        <v>23054812.906863328</v>
      </c>
      <c r="E172" s="248">
        <v>0</v>
      </c>
      <c r="G172" s="248">
        <f t="shared" si="17"/>
        <v>23054812.906863328</v>
      </c>
      <c r="I172" s="248">
        <v>0</v>
      </c>
      <c r="K172" s="295">
        <f t="shared" si="18"/>
        <v>0</v>
      </c>
    </row>
    <row r="173" spans="2:40" x14ac:dyDescent="0.2">
      <c r="B173" s="201" t="s">
        <v>436</v>
      </c>
      <c r="C173" s="248">
        <v>0</v>
      </c>
      <c r="E173" s="248">
        <v>0</v>
      </c>
      <c r="G173" s="248">
        <f t="shared" si="17"/>
        <v>0</v>
      </c>
      <c r="I173" s="248">
        <v>0</v>
      </c>
      <c r="K173" s="295">
        <f t="shared" si="18"/>
        <v>0</v>
      </c>
    </row>
    <row r="174" spans="2:40" x14ac:dyDescent="0.2">
      <c r="B174" s="201" t="s">
        <v>458</v>
      </c>
      <c r="C174" s="248">
        <v>-74.599999999999994</v>
      </c>
      <c r="E174" s="248">
        <v>0</v>
      </c>
      <c r="G174" s="248">
        <f t="shared" si="17"/>
        <v>-223.79999999999998</v>
      </c>
      <c r="I174" s="248">
        <v>0</v>
      </c>
      <c r="K174" s="295" t="s">
        <v>645</v>
      </c>
    </row>
    <row r="175" spans="2:40" x14ac:dyDescent="0.2">
      <c r="B175" s="201" t="s">
        <v>491</v>
      </c>
      <c r="C175" s="248">
        <v>7127.6028120000001</v>
      </c>
      <c r="E175" s="248">
        <v>0</v>
      </c>
      <c r="G175" s="248">
        <f t="shared" si="17"/>
        <v>21382.808435999999</v>
      </c>
      <c r="I175" s="248">
        <v>0</v>
      </c>
      <c r="K175" s="295" t="s">
        <v>645</v>
      </c>
    </row>
    <row r="176" spans="2:40" x14ac:dyDescent="0.2">
      <c r="B176" s="201" t="s">
        <v>492</v>
      </c>
      <c r="C176" s="248">
        <v>-250.1</v>
      </c>
      <c r="E176" s="248">
        <v>0</v>
      </c>
      <c r="G176" s="248">
        <f t="shared" si="17"/>
        <v>-250.1</v>
      </c>
      <c r="I176" s="248">
        <v>0</v>
      </c>
      <c r="K176" s="295">
        <f t="shared" si="18"/>
        <v>0</v>
      </c>
    </row>
    <row r="177" spans="2:18" x14ac:dyDescent="0.2">
      <c r="B177" s="201" t="s">
        <v>495</v>
      </c>
      <c r="C177" s="248">
        <v>5540.6175999999996</v>
      </c>
      <c r="E177" s="248">
        <v>0</v>
      </c>
      <c r="G177" s="248">
        <f t="shared" si="17"/>
        <v>5540.6175999999996</v>
      </c>
      <c r="I177" s="248">
        <v>0</v>
      </c>
      <c r="K177" s="295">
        <f t="shared" si="18"/>
        <v>0</v>
      </c>
    </row>
    <row r="178" spans="2:18" x14ac:dyDescent="0.2">
      <c r="B178" s="201" t="s">
        <v>544</v>
      </c>
      <c r="C178" s="248">
        <v>0</v>
      </c>
      <c r="E178" s="248">
        <v>0</v>
      </c>
      <c r="G178" s="248">
        <f t="shared" si="17"/>
        <v>0</v>
      </c>
      <c r="I178" s="248">
        <v>0</v>
      </c>
      <c r="K178" s="295">
        <f t="shared" si="18"/>
        <v>0</v>
      </c>
    </row>
    <row r="179" spans="2:18" ht="16" x14ac:dyDescent="0.2">
      <c r="B179" s="202" t="s">
        <v>526</v>
      </c>
      <c r="C179" s="248">
        <v>0</v>
      </c>
      <c r="E179" s="248">
        <v>-841.69623437072971</v>
      </c>
      <c r="G179" s="248">
        <f t="shared" si="17"/>
        <v>-841.69623437072971</v>
      </c>
      <c r="I179" s="248">
        <v>0</v>
      </c>
      <c r="K179" s="295">
        <f t="shared" si="18"/>
        <v>0</v>
      </c>
    </row>
    <row r="180" spans="2:18" x14ac:dyDescent="0.2">
      <c r="B180" s="201" t="s">
        <v>493</v>
      </c>
      <c r="C180" s="248">
        <v>0</v>
      </c>
      <c r="E180" s="248">
        <v>-99.008821849873215</v>
      </c>
      <c r="G180" s="248">
        <f t="shared" si="17"/>
        <v>0</v>
      </c>
      <c r="I180" s="248">
        <v>-99.008821849873215</v>
      </c>
      <c r="K180" s="295">
        <f t="shared" si="18"/>
        <v>0</v>
      </c>
    </row>
    <row r="181" spans="2:18" ht="16" x14ac:dyDescent="0.2">
      <c r="B181" s="202" t="s">
        <v>496</v>
      </c>
      <c r="C181" s="248">
        <v>0</v>
      </c>
      <c r="E181" s="248">
        <v>-1202.01</v>
      </c>
      <c r="G181" s="248">
        <f t="shared" si="17"/>
        <v>-1202.01</v>
      </c>
      <c r="I181" s="248">
        <v>0</v>
      </c>
      <c r="K181" s="295">
        <f t="shared" si="18"/>
        <v>0</v>
      </c>
    </row>
    <row r="182" spans="2:18" x14ac:dyDescent="0.2">
      <c r="B182" s="201" t="s">
        <v>521</v>
      </c>
      <c r="C182" s="248">
        <v>0</v>
      </c>
      <c r="E182" s="248">
        <v>-98.84370786785361</v>
      </c>
      <c r="G182" s="248">
        <f t="shared" si="17"/>
        <v>0</v>
      </c>
      <c r="I182" s="248">
        <v>-98.84370786785361</v>
      </c>
      <c r="K182" s="295">
        <f t="shared" si="18"/>
        <v>0</v>
      </c>
    </row>
    <row r="183" spans="2:18" x14ac:dyDescent="0.2">
      <c r="B183" s="203" t="s">
        <v>514</v>
      </c>
      <c r="C183" s="248">
        <v>0</v>
      </c>
      <c r="D183" s="255" t="s">
        <v>452</v>
      </c>
      <c r="E183" s="248">
        <v>-284.89999999999998</v>
      </c>
      <c r="F183" s="169" t="s">
        <v>454</v>
      </c>
      <c r="G183" s="248">
        <f t="shared" si="17"/>
        <v>-284.89999999999998</v>
      </c>
      <c r="H183" s="169" t="s">
        <v>454</v>
      </c>
      <c r="I183" s="248">
        <v>0</v>
      </c>
      <c r="J183" s="255" t="s">
        <v>455</v>
      </c>
      <c r="K183" s="295">
        <f t="shared" si="18"/>
        <v>0</v>
      </c>
      <c r="P183" s="204"/>
    </row>
    <row r="184" spans="2:18" x14ac:dyDescent="0.2">
      <c r="B184" s="201" t="s">
        <v>500</v>
      </c>
      <c r="C184" s="248">
        <v>0</v>
      </c>
      <c r="E184" s="248">
        <v>-99.008821849873215</v>
      </c>
      <c r="G184" s="248">
        <f t="shared" si="17"/>
        <v>0</v>
      </c>
      <c r="I184" s="248">
        <v>-99.008821849873215</v>
      </c>
      <c r="K184" s="295">
        <f t="shared" si="18"/>
        <v>0</v>
      </c>
    </row>
    <row r="185" spans="2:18" ht="16" x14ac:dyDescent="0.2">
      <c r="B185" s="202" t="s">
        <v>525</v>
      </c>
      <c r="C185" s="248">
        <v>0</v>
      </c>
      <c r="E185" s="248">
        <v>-841.69623437072971</v>
      </c>
      <c r="G185" s="248">
        <f t="shared" si="17"/>
        <v>-841.69623437072971</v>
      </c>
      <c r="I185" s="248">
        <v>0</v>
      </c>
      <c r="K185" s="295">
        <f t="shared" si="18"/>
        <v>0</v>
      </c>
    </row>
    <row r="186" spans="2:18" ht="16" x14ac:dyDescent="0.2">
      <c r="B186" s="202" t="s">
        <v>520</v>
      </c>
      <c r="C186" s="248">
        <v>0</v>
      </c>
      <c r="E186" s="248">
        <v>-1202.01</v>
      </c>
      <c r="G186" s="248">
        <f t="shared" si="17"/>
        <v>-1202.01</v>
      </c>
      <c r="I186" s="248">
        <v>0</v>
      </c>
      <c r="K186" s="295">
        <f t="shared" si="18"/>
        <v>0</v>
      </c>
    </row>
    <row r="187" spans="2:18" ht="16" x14ac:dyDescent="0.2">
      <c r="B187" s="202" t="s">
        <v>517</v>
      </c>
      <c r="C187" s="248">
        <v>0</v>
      </c>
      <c r="E187" s="248">
        <v>-284.89999999999998</v>
      </c>
      <c r="G187" s="248">
        <f t="shared" si="17"/>
        <v>-284.89999999999998</v>
      </c>
      <c r="I187" s="248">
        <v>0</v>
      </c>
      <c r="K187" s="295">
        <f t="shared" si="18"/>
        <v>0</v>
      </c>
    </row>
    <row r="188" spans="2:18" ht="16" x14ac:dyDescent="0.2">
      <c r="B188" s="202" t="s">
        <v>523</v>
      </c>
      <c r="C188" s="248">
        <v>0</v>
      </c>
      <c r="E188" s="248">
        <v>-834.48831000000007</v>
      </c>
      <c r="G188" s="248">
        <f t="shared" si="17"/>
        <v>-834.48831000000007</v>
      </c>
      <c r="I188" s="248">
        <v>0</v>
      </c>
      <c r="K188" s="295">
        <f t="shared" si="18"/>
        <v>0</v>
      </c>
    </row>
    <row r="189" spans="2:18" x14ac:dyDescent="0.2">
      <c r="B189" s="203" t="s">
        <v>522</v>
      </c>
      <c r="C189" s="248">
        <v>0</v>
      </c>
      <c r="E189" s="248">
        <v>-1454.2261001517452</v>
      </c>
      <c r="G189" s="248">
        <f t="shared" si="17"/>
        <v>0</v>
      </c>
      <c r="I189" s="248">
        <v>-1454.2261001517452</v>
      </c>
      <c r="K189" s="295">
        <f t="shared" si="18"/>
        <v>0</v>
      </c>
    </row>
    <row r="190" spans="2:18" x14ac:dyDescent="0.2">
      <c r="B190" s="203" t="s">
        <v>508</v>
      </c>
      <c r="C190" s="248">
        <v>0</v>
      </c>
      <c r="E190" s="248">
        <v>-1202.01</v>
      </c>
      <c r="G190" s="248">
        <f t="shared" si="17"/>
        <v>-1202.01</v>
      </c>
      <c r="I190" s="248">
        <v>0</v>
      </c>
      <c r="K190" s="295">
        <f t="shared" si="18"/>
        <v>0</v>
      </c>
      <c r="N190" s="25"/>
      <c r="P190" s="25"/>
      <c r="Q190" s="25"/>
      <c r="R190" s="25"/>
    </row>
    <row r="191" spans="2:18" x14ac:dyDescent="0.2">
      <c r="B191" s="203" t="s">
        <v>541</v>
      </c>
      <c r="C191" s="248">
        <v>0</v>
      </c>
      <c r="E191" s="248">
        <v>-284.89999999999998</v>
      </c>
      <c r="G191" s="248">
        <f t="shared" si="17"/>
        <v>-284.89999999999998</v>
      </c>
      <c r="I191" s="248">
        <v>0</v>
      </c>
      <c r="K191" s="295">
        <f t="shared" si="18"/>
        <v>0</v>
      </c>
      <c r="N191" s="25"/>
      <c r="P191" s="25"/>
      <c r="Q191" s="25"/>
      <c r="R191" s="25"/>
    </row>
    <row r="192" spans="2:18" x14ac:dyDescent="0.2">
      <c r="B192" s="203" t="s">
        <v>509</v>
      </c>
      <c r="C192" s="248">
        <v>0</v>
      </c>
      <c r="E192" s="248">
        <v>-634.9</v>
      </c>
      <c r="G192" s="248">
        <f t="shared" si="17"/>
        <v>-634.9</v>
      </c>
      <c r="I192" s="248">
        <v>0</v>
      </c>
      <c r="K192" s="295">
        <f t="shared" si="18"/>
        <v>0</v>
      </c>
      <c r="N192" s="25"/>
      <c r="P192" s="25"/>
      <c r="Q192" s="25"/>
      <c r="R192" s="25"/>
    </row>
    <row r="193" spans="2:19" x14ac:dyDescent="0.2">
      <c r="B193" s="203" t="s">
        <v>511</v>
      </c>
      <c r="C193" s="248">
        <v>0</v>
      </c>
      <c r="E193" s="248">
        <v>-601.6</v>
      </c>
      <c r="G193" s="248">
        <f t="shared" si="17"/>
        <v>0</v>
      </c>
      <c r="I193" s="248">
        <v>-601.6</v>
      </c>
      <c r="K193" s="295">
        <f t="shared" si="18"/>
        <v>0</v>
      </c>
      <c r="N193" s="25"/>
      <c r="P193" s="25"/>
      <c r="Q193" s="25"/>
      <c r="R193" s="25"/>
    </row>
    <row r="194" spans="2:19" x14ac:dyDescent="0.2">
      <c r="B194" s="203" t="s">
        <v>510</v>
      </c>
      <c r="C194" s="248">
        <v>0</v>
      </c>
      <c r="E194" s="248">
        <v>-89.61674376121961</v>
      </c>
      <c r="G194" s="248">
        <f t="shared" si="17"/>
        <v>0</v>
      </c>
      <c r="I194" s="248">
        <v>-89.61674376121961</v>
      </c>
      <c r="K194" s="295">
        <f t="shared" si="18"/>
        <v>0</v>
      </c>
      <c r="N194" s="25"/>
      <c r="P194" s="25"/>
      <c r="Q194" s="25"/>
      <c r="R194" s="25"/>
    </row>
    <row r="195" spans="2:19" x14ac:dyDescent="0.2">
      <c r="B195" s="203" t="s">
        <v>606</v>
      </c>
      <c r="C195" s="248">
        <v>0</v>
      </c>
      <c r="E195" s="248">
        <v>6546468.5968566798</v>
      </c>
      <c r="G195" s="248">
        <f t="shared" si="17"/>
        <v>6546468.5968566798</v>
      </c>
      <c r="I195" s="248">
        <v>0</v>
      </c>
      <c r="K195" s="295">
        <f t="shared" si="18"/>
        <v>0</v>
      </c>
    </row>
    <row r="196" spans="2:19" ht="16" x14ac:dyDescent="0.2">
      <c r="B196" s="249" t="s">
        <v>506</v>
      </c>
      <c r="C196" s="248">
        <v>0</v>
      </c>
      <c r="E196" s="248">
        <v>-37.006500000000003</v>
      </c>
      <c r="G196" s="248">
        <f t="shared" si="17"/>
        <v>-37.006500000000003</v>
      </c>
      <c r="I196" s="248">
        <v>0</v>
      </c>
      <c r="K196" s="295">
        <f t="shared" si="18"/>
        <v>0</v>
      </c>
    </row>
    <row r="197" spans="2:19" ht="16" x14ac:dyDescent="0.2">
      <c r="B197" s="249" t="s">
        <v>682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8"/>
        <v>0</v>
      </c>
    </row>
    <row r="198" spans="2:19" x14ac:dyDescent="0.2">
      <c r="B198" s="203" t="s">
        <v>505</v>
      </c>
      <c r="C198" s="248">
        <v>0</v>
      </c>
      <c r="E198" s="248">
        <v>-284.89999999999998</v>
      </c>
      <c r="G198" s="248">
        <f t="shared" ref="G198:G205" si="19">BG111</f>
        <v>0</v>
      </c>
      <c r="I198" s="248">
        <v>-284.89999999999998</v>
      </c>
      <c r="K198" s="295">
        <f t="shared" si="18"/>
        <v>0</v>
      </c>
      <c r="L198" s="25"/>
    </row>
    <row r="199" spans="2:19" x14ac:dyDescent="0.2">
      <c r="B199" s="201" t="s">
        <v>507</v>
      </c>
      <c r="C199" s="248">
        <v>0</v>
      </c>
      <c r="E199" s="248">
        <v>0</v>
      </c>
      <c r="G199" s="248">
        <f t="shared" si="19"/>
        <v>0</v>
      </c>
      <c r="I199" s="248">
        <v>-89.542108138870873</v>
      </c>
      <c r="K199" s="295">
        <f t="shared" si="18"/>
        <v>89.542108138870873</v>
      </c>
    </row>
    <row r="200" spans="2:19" x14ac:dyDescent="0.2">
      <c r="B200" s="203" t="s">
        <v>641</v>
      </c>
      <c r="C200" s="248">
        <v>0</v>
      </c>
      <c r="E200" s="248">
        <v>0</v>
      </c>
      <c r="G200" s="248">
        <f t="shared" si="19"/>
        <v>-23.917987170512152</v>
      </c>
      <c r="I200" s="248">
        <v>0</v>
      </c>
      <c r="K200" s="295">
        <f t="shared" si="18"/>
        <v>23.917987170512152</v>
      </c>
    </row>
    <row r="201" spans="2:19" x14ac:dyDescent="0.2">
      <c r="B201" s="203" t="s">
        <v>644</v>
      </c>
      <c r="C201" s="248">
        <v>0</v>
      </c>
      <c r="E201" s="248">
        <v>0</v>
      </c>
      <c r="G201" s="248">
        <f t="shared" si="19"/>
        <v>-23.917987170512156</v>
      </c>
      <c r="I201" s="248">
        <v>-23.917987170512156</v>
      </c>
      <c r="K201" s="295" t="s">
        <v>645</v>
      </c>
    </row>
    <row r="202" spans="2:19" x14ac:dyDescent="0.2">
      <c r="B202" s="203" t="s">
        <v>529</v>
      </c>
      <c r="C202" s="248">
        <v>0</v>
      </c>
      <c r="E202" s="248">
        <v>0</v>
      </c>
      <c r="G202" s="248">
        <f t="shared" si="19"/>
        <v>3963.8871338071585</v>
      </c>
      <c r="I202" s="248">
        <v>0</v>
      </c>
      <c r="K202" s="295">
        <f t="shared" si="18"/>
        <v>-3963.8871338071585</v>
      </c>
      <c r="P202" s="241"/>
      <c r="Q202" s="241"/>
      <c r="R202" s="241"/>
      <c r="S202" s="241"/>
    </row>
    <row r="203" spans="2:19" x14ac:dyDescent="0.2">
      <c r="B203" s="203" t="s">
        <v>530</v>
      </c>
      <c r="C203" s="248">
        <v>0</v>
      </c>
      <c r="E203" s="248">
        <v>0</v>
      </c>
      <c r="G203" s="248">
        <f t="shared" si="19"/>
        <v>0</v>
      </c>
      <c r="I203" s="248">
        <v>0</v>
      </c>
      <c r="K203" s="295">
        <f t="shared" si="18"/>
        <v>0</v>
      </c>
    </row>
    <row r="204" spans="2:19" x14ac:dyDescent="0.2">
      <c r="B204" s="203" t="s">
        <v>531</v>
      </c>
      <c r="C204" s="248">
        <v>0</v>
      </c>
      <c r="E204" s="248">
        <v>0</v>
      </c>
      <c r="G204" s="248">
        <f t="shared" si="19"/>
        <v>0</v>
      </c>
      <c r="I204" s="248">
        <v>-126.30390709179704</v>
      </c>
      <c r="K204" s="295">
        <f t="shared" si="18"/>
        <v>126.30390709179704</v>
      </c>
    </row>
    <row r="205" spans="2:19" x14ac:dyDescent="0.2">
      <c r="B205" s="203" t="s">
        <v>542</v>
      </c>
      <c r="C205" s="248">
        <v>0</v>
      </c>
      <c r="E205" s="248">
        <v>0</v>
      </c>
      <c r="G205" s="248">
        <f t="shared" si="19"/>
        <v>0</v>
      </c>
      <c r="I205" s="248">
        <v>-89.61</v>
      </c>
      <c r="K205" s="295">
        <f t="shared" si="18"/>
        <v>89.61</v>
      </c>
    </row>
    <row r="206" spans="2:19" ht="17" x14ac:dyDescent="0.2">
      <c r="B206" s="203"/>
      <c r="C206" s="3" t="s">
        <v>451</v>
      </c>
      <c r="E206" s="3" t="s">
        <v>453</v>
      </c>
      <c r="G206" s="25" t="s">
        <v>450</v>
      </c>
      <c r="I206" s="25" t="s">
        <v>39</v>
      </c>
      <c r="K206" s="25">
        <f>SUM(K170:K205)</f>
        <v>-3634.5131314059781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405</v>
      </c>
      <c r="C213" s="301">
        <v>0</v>
      </c>
      <c r="N213" s="241"/>
      <c r="O213" s="241"/>
    </row>
    <row r="214" spans="2:15" x14ac:dyDescent="0.2">
      <c r="B214" s="300" t="s">
        <v>406</v>
      </c>
      <c r="C214" s="301">
        <v>0</v>
      </c>
    </row>
    <row r="215" spans="2:15" x14ac:dyDescent="0.2">
      <c r="B215" s="300" t="s">
        <v>407</v>
      </c>
      <c r="C215" s="301">
        <f>Ore_to_PI!AA195</f>
        <v>80616.370239891301</v>
      </c>
    </row>
    <row r="216" spans="2:15" x14ac:dyDescent="0.2">
      <c r="B216" s="300" t="s">
        <v>540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519</v>
      </c>
      <c r="C217" s="301">
        <f>Ore_to_PI!AS113</f>
        <v>2824.8856477449194</v>
      </c>
    </row>
    <row r="218" spans="2:15" x14ac:dyDescent="0.2">
      <c r="B218" s="300" t="s">
        <v>518</v>
      </c>
      <c r="C218" s="301">
        <f>Ore_to_PI!AS190</f>
        <v>282.1287710315147</v>
      </c>
    </row>
    <row r="219" spans="2:15" x14ac:dyDescent="0.2">
      <c r="B219" s="300" t="s">
        <v>432</v>
      </c>
      <c r="C219" s="301">
        <f>Ore_to_PI!BL35</f>
        <v>12479.249680000003</v>
      </c>
    </row>
    <row r="220" spans="2:15" x14ac:dyDescent="0.2">
      <c r="B220" s="300" t="s">
        <v>429</v>
      </c>
      <c r="C220" s="301">
        <f>Ore_to_PI!BK116</f>
        <v>34.678095164114971</v>
      </c>
    </row>
    <row r="221" spans="2:15" x14ac:dyDescent="0.2">
      <c r="B221" s="300" t="s">
        <v>443</v>
      </c>
      <c r="C221" s="301">
        <f>Ore_to_PI!BK195</f>
        <v>50.358084153937838</v>
      </c>
    </row>
    <row r="222" spans="2:15" x14ac:dyDescent="0.2">
      <c r="B222" s="300" t="s">
        <v>430</v>
      </c>
      <c r="C222" s="301">
        <v>0</v>
      </c>
    </row>
    <row r="223" spans="2:15" x14ac:dyDescent="0.2">
      <c r="B223" s="300" t="s">
        <v>425</v>
      </c>
      <c r="C223" s="301">
        <v>0</v>
      </c>
    </row>
    <row r="224" spans="2:15" x14ac:dyDescent="0.2">
      <c r="B224" s="201" t="s">
        <v>640</v>
      </c>
      <c r="C224" s="301">
        <f>Ore_to_PI!DB229</f>
        <v>33191.859393697465</v>
      </c>
    </row>
    <row r="225" spans="2:11" x14ac:dyDescent="0.2">
      <c r="B225" s="201" t="s">
        <v>643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417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5" t="s">
        <v>410</v>
      </c>
      <c r="AD50" s="405"/>
      <c r="AE50" s="405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5" t="s">
        <v>408</v>
      </c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AD53" s="25"/>
      <c r="AE53" s="25"/>
      <c r="AF53" s="25"/>
      <c r="AG53" s="25"/>
      <c r="AH53" s="25"/>
      <c r="AI53" s="25"/>
    </row>
    <row r="58" spans="2:35" x14ac:dyDescent="0.2">
      <c r="C58" s="406"/>
      <c r="D58" s="406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5" t="s">
        <v>409</v>
      </c>
      <c r="D73" s="405"/>
      <c r="E73" s="405"/>
      <c r="F73" s="405"/>
      <c r="G73" s="405"/>
      <c r="H73" s="405"/>
      <c r="I73" s="405"/>
      <c r="J73" s="405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423</v>
      </c>
      <c r="C88" s="205"/>
      <c r="D88" s="205"/>
      <c r="E88" s="205"/>
      <c r="F88" s="205"/>
      <c r="G88" s="205"/>
    </row>
    <row r="89" spans="2:7" x14ac:dyDescent="0.2">
      <c r="B89" s="201" t="s">
        <v>424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5" t="s">
        <v>57</v>
      </c>
      <c r="D92" s="405"/>
      <c r="E92" s="405"/>
      <c r="F92" s="405"/>
      <c r="G92" s="40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5" t="s">
        <v>314</v>
      </c>
      <c r="E2" s="325"/>
      <c r="F2" s="325"/>
      <c r="G2" s="325"/>
      <c r="V2" s="164"/>
    </row>
    <row r="3" spans="2:22" x14ac:dyDescent="0.2">
      <c r="B3" s="3"/>
      <c r="C3" s="3"/>
      <c r="D3" s="430" t="s">
        <v>82</v>
      </c>
      <c r="E3" s="430"/>
      <c r="F3" s="430"/>
      <c r="G3" s="430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10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7" t="s">
        <v>352</v>
      </c>
      <c r="S4" s="407"/>
      <c r="T4" s="407"/>
      <c r="U4" s="407"/>
      <c r="V4" s="164"/>
    </row>
    <row r="5" spans="2:22" ht="14.5" customHeight="1" x14ac:dyDescent="0.2">
      <c r="B5" s="410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7"/>
      <c r="S5" s="407"/>
      <c r="T5" s="407"/>
      <c r="U5" s="407"/>
      <c r="V5" s="164"/>
    </row>
    <row r="6" spans="2:22" x14ac:dyDescent="0.2">
      <c r="B6" s="410"/>
      <c r="C6" s="147" t="s">
        <v>611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7"/>
      <c r="S6" s="407"/>
      <c r="T6" s="407"/>
      <c r="U6" s="407"/>
      <c r="V6" s="164"/>
    </row>
    <row r="7" spans="2:22" ht="16" thickBot="1" x14ac:dyDescent="0.25">
      <c r="B7" s="410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8"/>
      <c r="S7" s="408"/>
      <c r="T7" s="408"/>
      <c r="U7" s="408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7" t="s">
        <v>351</v>
      </c>
      <c r="Q8" s="423"/>
      <c r="R8" s="425" t="s">
        <v>338</v>
      </c>
      <c r="S8" s="426"/>
      <c r="T8" s="411" t="s">
        <v>397</v>
      </c>
      <c r="U8" s="412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7"/>
      <c r="Q9" s="423"/>
      <c r="R9" s="427"/>
      <c r="S9" s="428"/>
      <c r="T9" s="413"/>
      <c r="U9" s="414"/>
      <c r="V9" s="164"/>
    </row>
    <row r="10" spans="2:22" x14ac:dyDescent="0.2">
      <c r="L10" s="3"/>
      <c r="M10" s="3"/>
      <c r="O10" s="164"/>
      <c r="P10" s="407"/>
      <c r="Q10" s="423"/>
      <c r="R10" s="427"/>
      <c r="S10" s="428"/>
      <c r="T10" s="413"/>
      <c r="U10" s="414"/>
      <c r="V10" s="164"/>
    </row>
    <row r="11" spans="2:22" x14ac:dyDescent="0.2">
      <c r="B11" s="3"/>
      <c r="C11" s="3"/>
      <c r="D11" s="325" t="s">
        <v>314</v>
      </c>
      <c r="E11" s="325"/>
      <c r="F11" s="325"/>
      <c r="G11" s="325"/>
      <c r="H11" s="325"/>
      <c r="L11" s="3"/>
      <c r="M11" s="3"/>
      <c r="O11" s="164"/>
      <c r="P11" s="407"/>
      <c r="Q11" s="423"/>
      <c r="R11" s="427"/>
      <c r="S11" s="428"/>
      <c r="T11" s="413"/>
      <c r="U11" s="414"/>
      <c r="V11" s="164"/>
    </row>
    <row r="12" spans="2:22" x14ac:dyDescent="0.2">
      <c r="B12" s="3"/>
      <c r="C12" s="3"/>
      <c r="D12" s="430" t="s">
        <v>82</v>
      </c>
      <c r="E12" s="430"/>
      <c r="F12" s="430"/>
      <c r="G12" s="430"/>
      <c r="H12" s="430"/>
      <c r="L12" s="3"/>
      <c r="M12" s="3"/>
      <c r="O12" s="164"/>
      <c r="P12" s="424" t="s">
        <v>396</v>
      </c>
      <c r="Q12" s="423"/>
      <c r="R12" s="419" t="s">
        <v>313</v>
      </c>
      <c r="S12" s="420"/>
      <c r="T12" s="415" t="s">
        <v>611</v>
      </c>
      <c r="U12" s="416"/>
      <c r="V12" s="164"/>
    </row>
    <row r="13" spans="2:22" ht="14.5" customHeight="1" x14ac:dyDescent="0.2">
      <c r="B13" s="409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7"/>
      <c r="Q13" s="423"/>
      <c r="R13" s="419"/>
      <c r="S13" s="420"/>
      <c r="T13" s="415"/>
      <c r="U13" s="416"/>
      <c r="V13" s="164"/>
    </row>
    <row r="14" spans="2:22" x14ac:dyDescent="0.2">
      <c r="B14" s="409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7"/>
      <c r="Q14" s="423"/>
      <c r="R14" s="419"/>
      <c r="S14" s="420"/>
      <c r="T14" s="415"/>
      <c r="U14" s="416"/>
      <c r="V14" s="164"/>
    </row>
    <row r="15" spans="2:22" ht="16" thickBot="1" x14ac:dyDescent="0.25">
      <c r="B15" s="409"/>
      <c r="C15" s="147" t="s">
        <v>611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7"/>
      <c r="Q15" s="423"/>
      <c r="R15" s="421"/>
      <c r="S15" s="422"/>
      <c r="T15" s="417"/>
      <c r="U15" s="418"/>
      <c r="V15" s="164"/>
    </row>
    <row r="16" spans="2:22" x14ac:dyDescent="0.2">
      <c r="B16" s="409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5" t="s">
        <v>314</v>
      </c>
      <c r="E19" s="325"/>
      <c r="F19" s="325"/>
      <c r="G19" s="325"/>
      <c r="L19" s="3"/>
      <c r="M19" s="3"/>
    </row>
    <row r="20" spans="2:13" x14ac:dyDescent="0.2">
      <c r="B20" s="3"/>
      <c r="C20" s="3"/>
      <c r="D20" s="430" t="s">
        <v>82</v>
      </c>
      <c r="E20" s="430"/>
      <c r="F20" s="430"/>
      <c r="G20" s="430"/>
      <c r="K20" s="3"/>
      <c r="L20" s="3"/>
    </row>
    <row r="21" spans="2:13" x14ac:dyDescent="0.2">
      <c r="B21" s="431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31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31"/>
      <c r="C23" s="147" t="s">
        <v>611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31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9" t="s">
        <v>393</v>
      </c>
      <c r="D30" s="192" t="s">
        <v>81</v>
      </c>
      <c r="E30" s="192" t="s">
        <v>349</v>
      </c>
    </row>
    <row r="31" spans="2:13" x14ac:dyDescent="0.2">
      <c r="B31" s="429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429"/>
      <c r="C32" s="147" t="s">
        <v>611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9"/>
      <c r="C33" s="146" t="s">
        <v>397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610</v>
      </c>
    </row>
    <row r="38" spans="2:5" ht="18" x14ac:dyDescent="0.25">
      <c r="B38" s="294" t="s">
        <v>609</v>
      </c>
      <c r="C38" s="3">
        <f>E_tot/(Ore_to_PI!FL126/1000)</f>
        <v>1709947857.6107066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32" t="s">
        <v>353</v>
      </c>
      <c r="F3" s="432"/>
      <c r="G3" s="432"/>
      <c r="H3"/>
      <c r="I3"/>
      <c r="L3" s="405" t="s">
        <v>435</v>
      </c>
      <c r="M3" s="405"/>
      <c r="N3" s="405"/>
      <c r="P3"/>
      <c r="T3" s="169" t="s">
        <v>434</v>
      </c>
    </row>
    <row r="4" spans="3:20" ht="16" thickBot="1" x14ac:dyDescent="0.25">
      <c r="E4" s="430" t="s">
        <v>11</v>
      </c>
      <c r="F4" s="430"/>
      <c r="G4" s="430"/>
      <c r="H4"/>
      <c r="I4"/>
      <c r="L4" s="430" t="s">
        <v>48</v>
      </c>
      <c r="M4" s="430"/>
      <c r="N4" s="430"/>
      <c r="P4"/>
      <c r="T4" s="3" t="s">
        <v>48</v>
      </c>
    </row>
    <row r="5" spans="3:20" ht="14.5" customHeight="1" thickBot="1" x14ac:dyDescent="0.25">
      <c r="C5" s="410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1073280789.1622852</v>
      </c>
    </row>
    <row r="6" spans="3:20" x14ac:dyDescent="0.2">
      <c r="C6" s="410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10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5" t="s">
        <v>435</v>
      </c>
      <c r="M9" s="405"/>
      <c r="N9" s="405"/>
      <c r="O9" s="405"/>
    </row>
    <row r="10" spans="3:20" x14ac:dyDescent="0.2">
      <c r="E10" s="432" t="s">
        <v>353</v>
      </c>
      <c r="F10" s="432"/>
      <c r="L10" s="430" t="s">
        <v>48</v>
      </c>
      <c r="M10" s="430"/>
      <c r="N10" s="430"/>
      <c r="O10" s="430"/>
    </row>
    <row r="11" spans="3:20" x14ac:dyDescent="0.2">
      <c r="E11" s="430" t="s">
        <v>11</v>
      </c>
      <c r="F11" s="430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09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9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9"/>
      <c r="D14" s="153" t="s">
        <v>23</v>
      </c>
      <c r="E14" s="3" t="s">
        <v>98</v>
      </c>
      <c r="F14" s="3">
        <f>Kiln_H2OWaste</f>
        <v>46711.101435505501</v>
      </c>
      <c r="L14" s="405" t="s">
        <v>435</v>
      </c>
      <c r="M14" s="405"/>
      <c r="N14" s="405"/>
    </row>
    <row r="15" spans="3:20" x14ac:dyDescent="0.2">
      <c r="C15" s="409"/>
      <c r="D15" s="3" t="s">
        <v>19</v>
      </c>
      <c r="E15" s="17">
        <f>SUM(E13:E14)</f>
        <v>0</v>
      </c>
      <c r="F15" s="17">
        <f>SUM(F13:F14)</f>
        <v>46716.086188050598</v>
      </c>
      <c r="L15" s="430" t="s">
        <v>48</v>
      </c>
      <c r="M15" s="430"/>
      <c r="N15" s="430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405" t="s">
        <v>435</v>
      </c>
      <c r="M19" s="405"/>
    </row>
    <row r="20" spans="3:16" x14ac:dyDescent="0.2">
      <c r="C20" s="431" t="s">
        <v>350</v>
      </c>
      <c r="E20" s="154" t="s">
        <v>347</v>
      </c>
      <c r="L20" s="430" t="s">
        <v>48</v>
      </c>
      <c r="M20" s="430"/>
    </row>
    <row r="21" spans="3:16" ht="14.5" customHeight="1" x14ac:dyDescent="0.2">
      <c r="C21" s="431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31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31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24" t="s">
        <v>70</v>
      </c>
      <c r="I2" s="324"/>
      <c r="J2" s="324"/>
      <c r="K2" s="324"/>
      <c r="L2" s="324"/>
      <c r="M2" s="324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24" t="s">
        <v>74</v>
      </c>
      <c r="I3" s="324"/>
      <c r="J3" s="324"/>
      <c r="K3" s="13"/>
      <c r="L3" s="332" t="s">
        <v>75</v>
      </c>
      <c r="M3" s="332"/>
      <c r="N3" s="7"/>
      <c r="AN3" s="440" t="s">
        <v>78</v>
      </c>
      <c r="AO3" s="440"/>
      <c r="AP3" s="440"/>
      <c r="AQ3" s="440"/>
      <c r="AR3" s="440"/>
      <c r="AS3" s="440"/>
      <c r="AT3" s="440"/>
      <c r="AU3" s="440"/>
      <c r="AV3" s="440"/>
      <c r="AW3" s="440"/>
      <c r="AX3" s="440"/>
      <c r="AY3" s="440"/>
      <c r="AZ3" s="440"/>
      <c r="BA3" s="440"/>
      <c r="BB3" s="440"/>
      <c r="BC3" s="440"/>
      <c r="BD3" s="440"/>
      <c r="BE3" s="440"/>
      <c r="BF3" s="440"/>
      <c r="BG3" s="440"/>
      <c r="BH3" s="440"/>
      <c r="BI3" s="440"/>
      <c r="BJ3" s="440"/>
      <c r="BK3" s="440"/>
    </row>
    <row r="4" spans="3:69" ht="17" x14ac:dyDescent="0.25">
      <c r="C4" s="13" t="s">
        <v>11</v>
      </c>
      <c r="D4" s="13" t="s">
        <v>76</v>
      </c>
      <c r="E4" s="13"/>
      <c r="F4" s="13"/>
      <c r="AN4" s="440"/>
      <c r="AO4" s="440"/>
      <c r="AP4" s="440"/>
      <c r="AQ4" s="440"/>
      <c r="AR4" s="440"/>
      <c r="AS4" s="440"/>
      <c r="AT4" s="440"/>
      <c r="AU4" s="440"/>
      <c r="AV4" s="440"/>
      <c r="AW4" s="440"/>
      <c r="AX4" s="440"/>
      <c r="AY4" s="440"/>
      <c r="AZ4" s="440"/>
      <c r="BA4" s="440"/>
      <c r="BB4" s="440"/>
      <c r="BC4" s="440"/>
      <c r="BD4" s="440"/>
      <c r="BE4" s="440"/>
      <c r="BF4" s="440"/>
      <c r="BG4" s="440"/>
      <c r="BH4" s="440"/>
      <c r="BI4" s="440"/>
      <c r="BJ4" s="440"/>
      <c r="BK4" s="44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24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24"/>
      <c r="J5" s="324"/>
      <c r="K5" s="324"/>
      <c r="L5" s="324"/>
      <c r="M5" s="324"/>
      <c r="AN5" s="440"/>
      <c r="AO5" s="440"/>
      <c r="AP5" s="440"/>
      <c r="AQ5" s="440"/>
      <c r="AR5" s="440"/>
      <c r="AS5" s="440"/>
      <c r="AT5" s="440"/>
      <c r="AU5" s="440"/>
      <c r="AV5" s="440"/>
      <c r="AW5" s="440"/>
      <c r="AX5" s="440"/>
      <c r="AY5" s="440"/>
      <c r="AZ5" s="440"/>
      <c r="BA5" s="440"/>
      <c r="BB5" s="440"/>
      <c r="BC5" s="440"/>
      <c r="BD5" s="440"/>
      <c r="BE5" s="440"/>
      <c r="BF5" s="440"/>
      <c r="BG5" s="440"/>
      <c r="BH5" s="440"/>
      <c r="BI5" s="440"/>
      <c r="BJ5" s="440"/>
      <c r="BK5" s="44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9">
        <v>6</v>
      </c>
      <c r="BJ10" s="439"/>
      <c r="BK10" s="439"/>
      <c r="BL10" s="439"/>
      <c r="BM10" s="439"/>
      <c r="BN10" s="439"/>
      <c r="BO10" s="439"/>
      <c r="BP10" s="439"/>
      <c r="BQ10" s="439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9"/>
      <c r="BJ11" s="439"/>
      <c r="BK11" s="439"/>
      <c r="BL11" s="439"/>
      <c r="BM11" s="439"/>
      <c r="BN11" s="439"/>
      <c r="BO11" s="439"/>
      <c r="BP11" s="439"/>
      <c r="BQ11" s="43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6" t="s">
        <v>112</v>
      </c>
    </row>
    <row r="18" spans="3:87" ht="18.5" customHeight="1" x14ac:dyDescent="0.25">
      <c r="BI18" s="436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6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34">
        <v>1</v>
      </c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1"/>
      <c r="Q28" s="1"/>
      <c r="R28" s="1"/>
      <c r="S28" s="1"/>
      <c r="T28" s="1"/>
      <c r="U28" s="1"/>
      <c r="V28" s="1"/>
      <c r="W28" s="433">
        <v>3</v>
      </c>
      <c r="X28" s="433"/>
      <c r="Y28" s="433"/>
      <c r="Z28" s="433"/>
      <c r="AA28" s="433"/>
      <c r="AB28" s="433"/>
      <c r="AC28" s="433"/>
      <c r="AD28" s="433"/>
      <c r="AE28" s="433"/>
      <c r="AF28" s="433"/>
      <c r="AG28" s="43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34">
        <v>4</v>
      </c>
      <c r="AU28" s="434"/>
      <c r="AV28" s="434"/>
      <c r="AW28" s="434"/>
      <c r="AX28" s="434"/>
      <c r="AY28" s="434"/>
      <c r="AZ28" s="434"/>
      <c r="BA28" s="434"/>
      <c r="BB28" s="434"/>
      <c r="BC28" s="434"/>
      <c r="BD28" s="434"/>
      <c r="BE28" s="434"/>
      <c r="BF28" s="434"/>
      <c r="BG28" s="434"/>
      <c r="BH28" s="434"/>
      <c r="BI28" s="434"/>
      <c r="BT28" s="434">
        <v>5</v>
      </c>
      <c r="BU28" s="434"/>
      <c r="BV28" s="434"/>
      <c r="BW28" s="434"/>
      <c r="BX28" s="434"/>
      <c r="BY28" s="434"/>
      <c r="BZ28" s="434"/>
      <c r="CA28" s="434"/>
      <c r="CB28" s="434"/>
      <c r="CC28" s="434"/>
      <c r="CD28" s="434"/>
      <c r="CE28" s="434"/>
      <c r="CF28" s="434"/>
      <c r="CG28" s="434"/>
      <c r="CH28" s="434"/>
      <c r="CI28" s="43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8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8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7" t="s">
        <v>80</v>
      </c>
      <c r="AK37" s="437"/>
      <c r="AL37" s="437"/>
      <c r="AM37" s="437"/>
      <c r="AN37" s="437"/>
      <c r="AO37" s="43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7" t="s">
        <v>81</v>
      </c>
      <c r="S38" s="437"/>
      <c r="T38" s="437"/>
      <c r="U38" s="43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7"/>
      <c r="AK38" s="437"/>
      <c r="AL38" s="437"/>
      <c r="AM38" s="437"/>
      <c r="AN38" s="437"/>
      <c r="AO38" s="43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7" t="s">
        <v>97</v>
      </c>
      <c r="BM38" s="437"/>
      <c r="BN38" s="437"/>
      <c r="BO38" s="43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7"/>
      <c r="S39" s="437"/>
      <c r="T39" s="437"/>
      <c r="U39" s="43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7"/>
      <c r="AK39" s="437"/>
      <c r="AL39" s="437"/>
      <c r="AM39" s="437"/>
      <c r="AN39" s="437"/>
      <c r="AO39" s="437"/>
      <c r="AP39" s="51"/>
      <c r="AQ39" s="51"/>
      <c r="AR39" s="1"/>
      <c r="AS39" s="1"/>
      <c r="AT39" s="1"/>
      <c r="AU39" s="1"/>
      <c r="AV39" s="1"/>
      <c r="AW39" s="1"/>
      <c r="AX39" s="1"/>
      <c r="BL39" s="437"/>
      <c r="BM39" s="437"/>
      <c r="BN39" s="437"/>
      <c r="BO39" s="43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7"/>
      <c r="S40" s="437"/>
      <c r="T40" s="437"/>
      <c r="U40" s="43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7"/>
      <c r="AK40" s="437"/>
      <c r="AL40" s="437"/>
      <c r="AM40" s="437"/>
      <c r="AN40" s="437"/>
      <c r="AO40" s="437"/>
      <c r="AP40" s="51"/>
      <c r="AQ40" s="51"/>
      <c r="AR40" s="1"/>
      <c r="AS40" s="56"/>
      <c r="AT40" s="1"/>
      <c r="AU40" s="1"/>
      <c r="AV40" s="1"/>
      <c r="AW40" s="1"/>
      <c r="AX40" s="1"/>
      <c r="BL40" s="437"/>
      <c r="BM40" s="437"/>
      <c r="BN40" s="437"/>
      <c r="BO40" s="437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7"/>
      <c r="AK41" s="437"/>
      <c r="AL41" s="437"/>
      <c r="AM41" s="437"/>
      <c r="AN41" s="437"/>
      <c r="AO41" s="437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71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7"/>
      <c r="AK42" s="437"/>
      <c r="AL42" s="437"/>
      <c r="AM42" s="437"/>
      <c r="AN42" s="437"/>
      <c r="AO42" s="437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58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72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9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58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9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340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33">
        <v>2</v>
      </c>
      <c r="D57" s="433"/>
      <c r="E57" s="433"/>
      <c r="F57" s="433"/>
      <c r="G57" s="433"/>
      <c r="H57" s="433"/>
      <c r="I57" s="433"/>
      <c r="J57" s="433"/>
      <c r="K57" s="433"/>
      <c r="L57" s="433"/>
      <c r="M57" s="433"/>
      <c r="N57" s="433"/>
      <c r="O57" s="43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5" t="s">
        <v>314</v>
      </c>
      <c r="E4" s="325"/>
      <c r="F4" s="325"/>
      <c r="G4" s="325"/>
      <c r="H4" s="164"/>
      <c r="I4" s="164"/>
      <c r="P4" s="164"/>
      <c r="Q4" s="164"/>
      <c r="R4" s="164"/>
      <c r="S4" s="407" t="s">
        <v>352</v>
      </c>
      <c r="T4" s="407"/>
      <c r="U4" s="407"/>
      <c r="V4" s="407"/>
      <c r="W4" s="164"/>
    </row>
    <row r="5" spans="1:23" x14ac:dyDescent="0.2">
      <c r="A5" s="164"/>
      <c r="B5" s="166"/>
      <c r="C5" s="166"/>
      <c r="D5" s="430" t="s">
        <v>82</v>
      </c>
      <c r="E5" s="430"/>
      <c r="F5" s="430"/>
      <c r="G5" s="430"/>
      <c r="H5" s="164"/>
      <c r="I5" s="164"/>
      <c r="P5" s="164"/>
      <c r="Q5" s="164"/>
      <c r="R5" s="164"/>
      <c r="S5" s="407"/>
      <c r="T5" s="407"/>
      <c r="U5" s="407"/>
      <c r="V5" s="407"/>
      <c r="W5" s="164"/>
    </row>
    <row r="6" spans="1:23" ht="15" customHeight="1" x14ac:dyDescent="0.2">
      <c r="A6" s="164"/>
      <c r="B6" s="410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7"/>
      <c r="T6" s="407"/>
      <c r="U6" s="407"/>
      <c r="V6" s="407"/>
      <c r="W6" s="164"/>
    </row>
    <row r="7" spans="1:23" ht="16" thickBot="1" x14ac:dyDescent="0.25">
      <c r="A7" s="164"/>
      <c r="B7" s="410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8"/>
      <c r="T7" s="408"/>
      <c r="U7" s="408"/>
      <c r="V7" s="408"/>
      <c r="W7" s="164"/>
    </row>
    <row r="8" spans="1:23" x14ac:dyDescent="0.2">
      <c r="A8" s="164"/>
      <c r="B8" s="410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7" t="s">
        <v>351</v>
      </c>
      <c r="R8" s="423"/>
      <c r="S8" s="425" t="s">
        <v>338</v>
      </c>
      <c r="T8" s="426"/>
      <c r="U8" s="411" t="s">
        <v>397</v>
      </c>
      <c r="V8" s="412"/>
      <c r="W8" s="164"/>
    </row>
    <row r="9" spans="1:23" x14ac:dyDescent="0.2">
      <c r="A9" s="164"/>
      <c r="B9" s="410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7"/>
      <c r="R9" s="423"/>
      <c r="S9" s="427"/>
      <c r="T9" s="428"/>
      <c r="U9" s="413"/>
      <c r="V9" s="414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7"/>
      <c r="R10" s="423"/>
      <c r="S10" s="427"/>
      <c r="T10" s="428"/>
      <c r="U10" s="413"/>
      <c r="V10" s="414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7"/>
      <c r="R11" s="423"/>
      <c r="S11" s="427"/>
      <c r="T11" s="428"/>
      <c r="U11" s="413"/>
      <c r="V11" s="414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41" t="s">
        <v>396</v>
      </c>
      <c r="R12" s="423"/>
      <c r="S12" s="419" t="s">
        <v>313</v>
      </c>
      <c r="T12" s="420"/>
      <c r="U12" s="415" t="s">
        <v>339</v>
      </c>
      <c r="V12" s="416"/>
      <c r="W12" s="164"/>
    </row>
    <row r="13" spans="1:23" x14ac:dyDescent="0.2">
      <c r="A13" s="164"/>
      <c r="B13" s="166"/>
      <c r="C13" s="166"/>
      <c r="D13" s="325" t="s">
        <v>314</v>
      </c>
      <c r="E13" s="325"/>
      <c r="F13" s="325"/>
      <c r="G13" s="325"/>
      <c r="H13" s="325"/>
      <c r="I13" s="164"/>
      <c r="P13" s="164"/>
      <c r="Q13" s="407"/>
      <c r="R13" s="423"/>
      <c r="S13" s="419"/>
      <c r="T13" s="420"/>
      <c r="U13" s="415"/>
      <c r="V13" s="416"/>
      <c r="W13" s="164"/>
    </row>
    <row r="14" spans="1:23" ht="15" customHeight="1" x14ac:dyDescent="0.2">
      <c r="A14" s="164"/>
      <c r="B14" s="166"/>
      <c r="C14" s="166"/>
      <c r="D14" s="430" t="s">
        <v>82</v>
      </c>
      <c r="E14" s="430"/>
      <c r="F14" s="430"/>
      <c r="G14" s="430"/>
      <c r="H14" s="430"/>
      <c r="I14" s="164"/>
      <c r="P14" s="164"/>
      <c r="Q14" s="407"/>
      <c r="R14" s="423"/>
      <c r="S14" s="419"/>
      <c r="T14" s="420"/>
      <c r="U14" s="415"/>
      <c r="V14" s="416"/>
      <c r="W14" s="164"/>
    </row>
    <row r="15" spans="1:23" ht="16" thickBot="1" x14ac:dyDescent="0.25">
      <c r="A15" s="164"/>
      <c r="B15" s="409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7"/>
      <c r="R15" s="423"/>
      <c r="S15" s="421"/>
      <c r="T15" s="422"/>
      <c r="U15" s="417"/>
      <c r="V15" s="418"/>
      <c r="W15" s="164"/>
    </row>
    <row r="16" spans="1:23" x14ac:dyDescent="0.2">
      <c r="A16" s="164"/>
      <c r="B16" s="409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9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9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5" t="s">
        <v>314</v>
      </c>
      <c r="E21" s="325"/>
      <c r="F21" s="325"/>
      <c r="G21" s="325"/>
      <c r="H21" s="164"/>
      <c r="I21" s="164"/>
    </row>
    <row r="22" spans="1:12" ht="15" customHeight="1" x14ac:dyDescent="0.2">
      <c r="A22" s="164"/>
      <c r="B22" s="166"/>
      <c r="C22" s="166"/>
      <c r="D22" s="430" t="s">
        <v>82</v>
      </c>
      <c r="E22" s="430"/>
      <c r="F22" s="430"/>
      <c r="G22" s="430"/>
      <c r="H22" s="164"/>
      <c r="I22" s="164"/>
    </row>
    <row r="23" spans="1:12" x14ac:dyDescent="0.2">
      <c r="A23" s="164"/>
      <c r="B23" s="431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31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31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31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9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429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9"/>
      <c r="C34" s="147" t="s">
        <v>339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9"/>
      <c r="C35" s="146" t="s">
        <v>397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658</v>
      </c>
      <c r="D50" s="201" t="s">
        <v>659</v>
      </c>
      <c r="E50" s="201" t="s">
        <v>660</v>
      </c>
    </row>
    <row r="51" spans="2:5" x14ac:dyDescent="0.2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540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519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518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443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640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643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417</v>
      </c>
      <c r="C65" s="3" t="s">
        <v>379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367</vt:i4>
      </vt:variant>
    </vt:vector>
  </HeadingPairs>
  <TitlesOfParts>
    <vt:vector size="380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2025-07-23T16:37:14Z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